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filterPrivacy="1" defaultThemeVersion="124226"/>
  <xr:revisionPtr revIDLastSave="0" documentId="13_ncr:1_{54631444-0F29-0C44-AD76-C7282C47D62F}" xr6:coauthVersionLast="47" xr6:coauthVersionMax="47" xr10:uidLastSave="{00000000-0000-0000-0000-000000000000}"/>
  <workbookProtection workbookAlgorithmName="SHA-512" workbookHashValue="fn8nDddyo/+iCppX7GYvQsvKf0nCdksfurr8ybhoCsbdGdMahq7zxH2Qp2DijIQXZwNAUJ341qtJzYdylljyVg==" workbookSaltValue="5ciTFg1JZGtQOBlRtAERQw==" workbookSpinCount="100000" lockStructure="1"/>
  <bookViews>
    <workbookView xWindow="260" yWindow="600" windowWidth="51200" windowHeight="26700" tabRatio="862" activeTab="1" xr2:uid="{2276AEF9-3C76-D84B-9E66-58B70DDD9ECB}"/>
  </bookViews>
  <sheets>
    <sheet name="Техн_інформація" sheetId="2" state="hidden" r:id="rId1"/>
    <sheet name="АЗ_ОПД" sheetId="23" r:id="rId2"/>
    <sheet name="ЗЗ" sheetId="24" r:id="rId3"/>
    <sheet name="ЕКС" sheetId="25" r:id="rId4"/>
    <sheet name="ЗМХ" sheetId="16" r:id="rId5"/>
    <sheet name="КП_досудове" sheetId="17" r:id="rId6"/>
    <sheet name="КП_суд І інст." sheetId="18" r:id="rId7"/>
    <sheet name="КП_суд апел. інст." sheetId="19" r:id="rId8"/>
    <sheet name="КП_суд кас. інст." sheetId="20" r:id="rId9"/>
    <sheet name="ЦАС" sheetId="15" r:id="rId10"/>
    <sheet name="ВСР та СК" sheetId="26" r:id="rId11"/>
    <sheet name="ПД" sheetId="21" r:id="rId12"/>
    <sheet name="ІНШЕ" sheetId="22" r:id="rId13"/>
  </sheets>
  <definedNames>
    <definedName name="ActReturn">Техн_інформація!$D$115:$D$120</definedName>
    <definedName name="CAS_list">Техн_інформація!$AC$119:$AC$126</definedName>
    <definedName name="CourtChange">Техн_інформація!$D$92:$D$112</definedName>
    <definedName name="Duration">Техн_інформація!$D$123:$D$127</definedName>
    <definedName name="Duration_res">Техн_інформація!$D$123:$E$127</definedName>
    <definedName name="EpisodesMean">Техн_інформація!$U$1:$V$21</definedName>
    <definedName name="EXTR">Техн_інформація!$A$66:$A$68</definedName>
    <definedName name="EXTR_res">Техн_інформація!$A$66:$B$68</definedName>
    <definedName name="Form1">Техн_інформація!$AC$10:$AC$13</definedName>
    <definedName name="Form7">Техн_інформація!$AC$129:$AC$130</definedName>
    <definedName name="Gravity">Техн_інформація!$A$59:$A$63</definedName>
    <definedName name="GravityMean">Техн_інформація!$A$59:$B$63</definedName>
    <definedName name="K_ot_dosud">Техн_інформація!$U$40:$U$41</definedName>
    <definedName name="Kacts">Техн_інформація!$I$16:$I$65</definedName>
    <definedName name="Kactsres">Техн_інформація!$I$15:$J$65</definedName>
    <definedName name="KOsProv">Техн_інформація!$D$78:$D$79</definedName>
    <definedName name="KRes1">Техн_інформація!$A$199:$A$202</definedName>
    <definedName name="KRes1_res">Техн_інформація!$A$199:$B$202</definedName>
    <definedName name="KRes10">Техн_інформація!$A$250:$A$252</definedName>
    <definedName name="KRes10_res">Техн_інформація!$A$250:$B$252</definedName>
    <definedName name="KRes2">Техн_інформація!$A$205:$A$208</definedName>
    <definedName name="KRes2_res">Техн_інформація!$A$205:$B$208</definedName>
    <definedName name="KRes3">Техн_інформація!$A$211:$A$216</definedName>
    <definedName name="KRes3_res">Техн_інформація!$A$211:$B$216</definedName>
    <definedName name="KRes4">Техн_інформація!$A$219:$A$224</definedName>
    <definedName name="KRes4_res">Техн_інформація!$A$219:$B$224</definedName>
    <definedName name="KRes5">Техн_інформація!$A$227:$A$233</definedName>
    <definedName name="KRes5_res">Техн_інформація!$A$227:$B$233</definedName>
    <definedName name="Kres6">Техн_інформація!$A$236:$A$241</definedName>
    <definedName name="KRes6_res">Техн_інформація!$A$236:$B$241</definedName>
    <definedName name="KRes7">Техн_інформація!$A$244:$A$247</definedName>
    <definedName name="KRes7_res">Техн_інформація!$A$244:$B$247</definedName>
    <definedName name="Krez1">Техн_інформація!$AC$35:$AC$38</definedName>
    <definedName name="Krez1_rez">Техн_інформація!$AC$35:$AD$38</definedName>
    <definedName name="Krez10">Техн_інформація!$AC$106:$AC$109</definedName>
    <definedName name="Krez10_rez">Техн_інформація!$AC$106:$AD$109</definedName>
    <definedName name="Krez11">Техн_інформація!$AC$112:$AC$114</definedName>
    <definedName name="Krez11_rez">Техн_інформація!$AC$112:$AD$114</definedName>
    <definedName name="Krez2">Техн_інформація!$AC$41:$AC$44</definedName>
    <definedName name="Krez2_rez">Техн_інформація!$AC$41:$AD$44</definedName>
    <definedName name="Krez3">Техн_інформація!$AC$47:$AC$52</definedName>
    <definedName name="Krez3_rez">Техн_інформація!$AC$47:$AD$52</definedName>
    <definedName name="Krez4">Техн_інформація!$AC$55:$AC$60</definedName>
    <definedName name="Krez4_rez">Техн_інформація!$AC$55:$AD$60</definedName>
    <definedName name="Krez5">Техн_інформація!$AC$63:$AC$68</definedName>
    <definedName name="Krez5_rez">Техн_інформація!$AC$63:$AD$68</definedName>
    <definedName name="Krez6a">Техн_інформація!$AC$72:$AC$82</definedName>
    <definedName name="Krez6a_rez">Техн_інформація!$AC$72:$AD$82</definedName>
    <definedName name="Krez6b">Техн_інформація!$AC$84:$AC$89</definedName>
    <definedName name="Krez6b_rez">Техн_інформація!$AC$84:$AD$89</definedName>
    <definedName name="Krez7">Техн_інформація!$AC$92:$AC$97</definedName>
    <definedName name="Krez7_rez">Техн_інформація!$AC$92:$AD$97</definedName>
    <definedName name="Krez8">Техн_інформація!$AC$100:$AC$103</definedName>
    <definedName name="Krez8_rez">Техн_інформація!$AC$100:$AD$103</definedName>
    <definedName name="Krouts">Техн_інформація!$I$15:$I$65</definedName>
    <definedName name="KspApel_res">Техн_інформація!$G$72:$H$79</definedName>
    <definedName name="Kspcat">Техн_інформація!$B$4:$C$19</definedName>
    <definedName name="KspKas_res">Техн_інформація!$G$72:$J$79</definedName>
    <definedName name="Kstop">Техн_інформація!$A$42:$D$43</definedName>
    <definedName name="KStPr_res">Техн_інформація!$D$72:$E$75</definedName>
    <definedName name="KStPrPreTrial_res">Техн_інформація!$A$72:$B$75</definedName>
    <definedName name="Kzvit">Техн_інформація!$U$26:$V$30</definedName>
    <definedName name="Kzzz">Техн_інформація!$U$34:$X$37</definedName>
    <definedName name="MED">Техн_інформація!$A$42:$E$43</definedName>
    <definedName name="MedRes">Техн_інформація!$L$36:$M$55</definedName>
    <definedName name="More_than_5_days">Техн_інформація!$AH$29:$AH$74</definedName>
    <definedName name="NightAA">Техн_інформація!$A$42:$C$43</definedName>
    <definedName name="NightAD">Техн_інформація!$A$42:$C$43</definedName>
    <definedName name="Num_Episodes">Техн_інформація!$A$90:$A$190</definedName>
    <definedName name="NumEpisodes">Техн_інформація!$E$1:$E$20</definedName>
    <definedName name="NumEpisodesCrim">Техн_інформація!$I$15:$I$35</definedName>
    <definedName name="NumEpisodesCrim_res">Техн_інформація!$A$90:$B$190</definedName>
    <definedName name="NumPartners">Техн_інформація!$U$1:$U$21</definedName>
    <definedName name="NumPartnersCrim">Техн_інформація!$W$1:$W$21</definedName>
    <definedName name="NumPartnersCrim_res">Техн_інформація!$W$1:$X$21</definedName>
    <definedName name="PartnersMean">Техн_інформація!$E$1:$G$20</definedName>
    <definedName name="PreTrialCont">Техн_інформація!$A$78:$A$81</definedName>
    <definedName name="PreTrialCont_res">Техн_інформація!$A$78:$B$81</definedName>
    <definedName name="PreTrialGravity">Техн_інформація!$A$84:$A$88</definedName>
    <definedName name="PreTrialGravity_res">Техн_інформація!$A$84:$B$88</definedName>
    <definedName name="PrevMeasure">Техн_інформація!$A$192:$A$193</definedName>
    <definedName name="PrevMeasure_res">Техн_інформація!$A$192:$B$193</definedName>
    <definedName name="_xlnm.Print_Area" localSheetId="1">АЗ_ОПД!$A$1:$D$21</definedName>
    <definedName name="_xlnm.Print_Area" localSheetId="3">ЕКС!$A$1:$D$23</definedName>
    <definedName name="_xlnm.Print_Area" localSheetId="2">ЗЗ!$A$1:$D$30</definedName>
    <definedName name="_xlnm.Print_Area" localSheetId="4">ЗМХ!$A$1:$D$21</definedName>
    <definedName name="Process">Техн_інформація!$AC$134:$AC$136</definedName>
    <definedName name="Refusal">Техн_інформація!$A$42:$B$43</definedName>
    <definedName name="SpCatAA">Техн_інформація!$A$49:$B$56</definedName>
    <definedName name="Trial1Gravity">Техн_інформація!$D$84:$D$89</definedName>
    <definedName name="Trial1Gravity_res">Техн_інформація!$D$84:$F$89</definedName>
    <definedName name="TrialGravity">Техн_інформація!$AC$139:$AC$144</definedName>
    <definedName name="TrialGravity_res">Техн_інформація!$AC$139:$AD$144</definedName>
    <definedName name="ZMH">Техн_інформація!$L$29:$L$33</definedName>
    <definedName name="ZMH1">Техн_інформація!$L$29:$L$32</definedName>
    <definedName name="ZMH1_res">Техн_інформація!$L$29:$M$32</definedName>
    <definedName name="ZMHres">Техн_інформація!$L$29:$M$33</definedName>
    <definedName name="Zvit">Техн_інформація!$U$26:$U$30</definedName>
    <definedName name="ЗП">Техн_інформація!$AA$13:$AA$16</definedName>
    <definedName name="Коск1">Техн_інформація!$AC$16:$AC$17</definedName>
    <definedName name="Коск1_1">Техн_інформація!$AC$16:$AD$17</definedName>
    <definedName name="Коск2">Техн_інформація!$AC$20:$AC$21</definedName>
    <definedName name="Коск2_1">Техн_інформація!$AC$20:$AD$21</definedName>
    <definedName name="Коск3">Техн_інформація!$AC$24:$AC$25</definedName>
    <definedName name="Коск3_1">Техн_інформація!$AC$24:$AD$25</definedName>
    <definedName name="Коскат">Техн_інформація!$B$4:$C$18</definedName>
    <definedName name="Кприп">Техн_інформація!$AC$4:$AD$7</definedName>
    <definedName name="Прод_ДР_опції">Техн_інформація!$AC$29:$AC$30</definedName>
    <definedName name="ТакНі">Техн_інформація!$A$1:$A$2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2" l="1"/>
  <c r="D9" i="22"/>
  <c r="D8" i="22"/>
  <c r="C3" i="26"/>
  <c r="E20" i="26"/>
  <c r="D18" i="26"/>
  <c r="D25" i="26"/>
  <c r="E24" i="26"/>
  <c r="E23" i="26"/>
  <c r="E22" i="26"/>
  <c r="E21" i="26"/>
  <c r="D10" i="26"/>
  <c r="D9" i="26"/>
  <c r="D28" i="15"/>
  <c r="D30" i="15"/>
  <c r="D17" i="15"/>
  <c r="D11" i="17"/>
  <c r="D72" i="20"/>
  <c r="D74" i="19"/>
  <c r="C67" i="20"/>
  <c r="C66" i="20"/>
  <c r="D65" i="20"/>
  <c r="D63" i="20"/>
  <c r="C69" i="19"/>
  <c r="D67" i="19"/>
  <c r="D65" i="19"/>
  <c r="C68" i="19"/>
  <c r="C70" i="18"/>
  <c r="C69" i="18"/>
  <c r="C60" i="20"/>
  <c r="C59" i="20"/>
  <c r="D58" i="20"/>
  <c r="C62" i="19"/>
  <c r="D60" i="19"/>
  <c r="C61" i="19"/>
  <c r="C62" i="18"/>
  <c r="D57" i="20"/>
  <c r="D56" i="20"/>
  <c r="D55" i="20"/>
  <c r="D54" i="20"/>
  <c r="D53" i="20"/>
  <c r="D59" i="19"/>
  <c r="D58" i="19"/>
  <c r="D57" i="19"/>
  <c r="D56" i="19"/>
  <c r="D55" i="19"/>
  <c r="D60" i="18"/>
  <c r="D59" i="18"/>
  <c r="D58" i="18"/>
  <c r="D57" i="18"/>
  <c r="D56" i="18"/>
  <c r="D58" i="17"/>
  <c r="D57" i="17"/>
  <c r="D56" i="17"/>
  <c r="D55" i="17"/>
  <c r="D54" i="17"/>
  <c r="D14" i="18"/>
  <c r="D12" i="19"/>
  <c r="D12" i="18"/>
  <c r="E20" i="25"/>
  <c r="E21" i="25"/>
  <c r="B10" i="24"/>
  <c r="D5" i="22"/>
  <c r="D5" i="21"/>
  <c r="A3" i="21"/>
  <c r="A21" i="21" s="1"/>
  <c r="D9" i="15"/>
  <c r="D5" i="20"/>
  <c r="D5" i="19"/>
  <c r="D5" i="18"/>
  <c r="D5" i="17"/>
  <c r="D20" i="16"/>
  <c r="D22" i="25"/>
  <c r="D29" i="24"/>
  <c r="D20" i="23"/>
  <c r="B21" i="24"/>
  <c r="B27" i="24"/>
  <c r="D15" i="20"/>
  <c r="D17" i="19"/>
  <c r="D18" i="18"/>
  <c r="D23" i="25"/>
  <c r="B17" i="25"/>
  <c r="D17" i="25"/>
  <c r="B10" i="25"/>
  <c r="B7" i="25"/>
  <c r="D10" i="25"/>
  <c r="A3" i="25" s="1"/>
  <c r="A25" i="25" s="1"/>
  <c r="D19" i="25"/>
  <c r="D30" i="24"/>
  <c r="B17" i="24"/>
  <c r="D17" i="24"/>
  <c r="B7" i="24"/>
  <c r="D15" i="24"/>
  <c r="D21" i="23"/>
  <c r="B19" i="23"/>
  <c r="B17" i="23"/>
  <c r="D17" i="23" s="1"/>
  <c r="B10" i="23"/>
  <c r="B7" i="23"/>
  <c r="D7" i="23" s="1"/>
  <c r="D10" i="15"/>
  <c r="D17" i="22"/>
  <c r="E16" i="22"/>
  <c r="E15" i="22"/>
  <c r="E14" i="22"/>
  <c r="E13" i="22"/>
  <c r="E12" i="22"/>
  <c r="D11" i="22" s="1"/>
  <c r="D12" i="21"/>
  <c r="D6" i="21"/>
  <c r="D19" i="21"/>
  <c r="E18" i="21"/>
  <c r="E17" i="21"/>
  <c r="E16" i="21"/>
  <c r="E15" i="21"/>
  <c r="E14" i="21"/>
  <c r="D13" i="21"/>
  <c r="C24" i="15"/>
  <c r="D25" i="15" s="1"/>
  <c r="D26" i="15"/>
  <c r="D27" i="15"/>
  <c r="E36" i="15"/>
  <c r="E35" i="15"/>
  <c r="E34" i="15"/>
  <c r="E33" i="15"/>
  <c r="E32" i="15"/>
  <c r="D37" i="15"/>
  <c r="D34" i="20"/>
  <c r="D36" i="19"/>
  <c r="D37" i="18"/>
  <c r="D37" i="17"/>
  <c r="D8" i="20"/>
  <c r="D6" i="20"/>
  <c r="D73" i="20"/>
  <c r="D70" i="20"/>
  <c r="D50" i="20"/>
  <c r="D48" i="20" s="1"/>
  <c r="D47" i="20" s="1"/>
  <c r="D39" i="20"/>
  <c r="D37" i="20"/>
  <c r="E33" i="20"/>
  <c r="E32" i="20"/>
  <c r="E31" i="20"/>
  <c r="E30" i="20"/>
  <c r="D28" i="20"/>
  <c r="E29" i="20"/>
  <c r="D26" i="20"/>
  <c r="D24" i="20"/>
  <c r="E23" i="20"/>
  <c r="F22" i="20" s="1"/>
  <c r="H22" i="20" s="1"/>
  <c r="E22" i="20"/>
  <c r="E21" i="20"/>
  <c r="F21" i="20"/>
  <c r="H21" i="20"/>
  <c r="E20" i="20"/>
  <c r="E19" i="20"/>
  <c r="F19" i="20" s="1"/>
  <c r="H19" i="20" s="1"/>
  <c r="E18" i="20"/>
  <c r="F18" i="20"/>
  <c r="H18" i="20" s="1"/>
  <c r="D12" i="20"/>
  <c r="D8" i="19"/>
  <c r="D6" i="19" s="1"/>
  <c r="D75" i="19"/>
  <c r="D72" i="19"/>
  <c r="D52" i="19"/>
  <c r="D50" i="19" s="1"/>
  <c r="D49" i="19" s="1"/>
  <c r="D41" i="19"/>
  <c r="D39" i="19"/>
  <c r="E35" i="19"/>
  <c r="E34" i="19"/>
  <c r="E33" i="19"/>
  <c r="E32" i="19"/>
  <c r="E31" i="19"/>
  <c r="D28" i="19"/>
  <c r="D26" i="19"/>
  <c r="E25" i="19"/>
  <c r="F25" i="19" s="1"/>
  <c r="H25" i="19" s="1"/>
  <c r="E24" i="19"/>
  <c r="E23" i="19"/>
  <c r="F23" i="19"/>
  <c r="H23" i="19" s="1"/>
  <c r="E22" i="19"/>
  <c r="F22" i="19" s="1"/>
  <c r="H22" i="19" s="1"/>
  <c r="E21" i="19"/>
  <c r="F21" i="19" s="1"/>
  <c r="H21" i="19" s="1"/>
  <c r="E20" i="19"/>
  <c r="D14" i="19"/>
  <c r="E21" i="18"/>
  <c r="E26" i="18"/>
  <c r="F26" i="18" s="1"/>
  <c r="H26" i="18" s="1"/>
  <c r="E25" i="18"/>
  <c r="F24" i="18"/>
  <c r="H24" i="18"/>
  <c r="F25" i="18"/>
  <c r="H25" i="18" s="1"/>
  <c r="E24" i="18"/>
  <c r="E23" i="18"/>
  <c r="F23" i="18" s="1"/>
  <c r="H23" i="18" s="1"/>
  <c r="E22" i="18"/>
  <c r="F21" i="18" s="1"/>
  <c r="H21" i="18" s="1"/>
  <c r="F22" i="18"/>
  <c r="H22" i="18"/>
  <c r="D8" i="18"/>
  <c r="D6" i="18"/>
  <c r="D15" i="18"/>
  <c r="D11" i="18"/>
  <c r="D75" i="18"/>
  <c r="D73" i="18"/>
  <c r="C63" i="18"/>
  <c r="D61" i="18"/>
  <c r="D53" i="18"/>
  <c r="D51" i="18" s="1"/>
  <c r="D50" i="18" s="1"/>
  <c r="D42" i="18"/>
  <c r="D40" i="18"/>
  <c r="E36" i="18"/>
  <c r="E35" i="18"/>
  <c r="E34" i="18"/>
  <c r="E33" i="18"/>
  <c r="E32" i="18"/>
  <c r="D31" i="18"/>
  <c r="D29" i="18"/>
  <c r="D27" i="18"/>
  <c r="D8" i="17"/>
  <c r="D6" i="17"/>
  <c r="D59" i="17"/>
  <c r="D51" i="17"/>
  <c r="D49" i="17"/>
  <c r="D48" i="17" s="1"/>
  <c r="D42" i="17"/>
  <c r="D40" i="17"/>
  <c r="E36" i="17"/>
  <c r="E35" i="17"/>
  <c r="E34" i="17"/>
  <c r="E33" i="17"/>
  <c r="E32" i="17"/>
  <c r="D31" i="17"/>
  <c r="D29" i="17"/>
  <c r="D27" i="17"/>
  <c r="E26" i="17"/>
  <c r="F26" i="17"/>
  <c r="H26" i="17"/>
  <c r="E25" i="17"/>
  <c r="F25" i="17"/>
  <c r="H25" i="17"/>
  <c r="E24" i="17"/>
  <c r="F24" i="17"/>
  <c r="H24" i="17"/>
  <c r="E23" i="17"/>
  <c r="F22" i="17" s="1"/>
  <c r="H22" i="17" s="1"/>
  <c r="D21" i="17" s="1"/>
  <c r="D18" i="17" s="1"/>
  <c r="D17" i="17" s="1"/>
  <c r="E22" i="17"/>
  <c r="D19" i="17"/>
  <c r="B16" i="16"/>
  <c r="B18" i="16"/>
  <c r="D21" i="16"/>
  <c r="B10" i="16"/>
  <c r="B7" i="16"/>
  <c r="D7" i="16"/>
  <c r="D10" i="16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D6" i="16"/>
  <c r="D6" i="25"/>
  <c r="D7" i="25"/>
  <c r="D6" i="24"/>
  <c r="D7" i="24"/>
  <c r="D68" i="18"/>
  <c r="D66" i="18"/>
  <c r="B24" i="24"/>
  <c r="B19" i="24"/>
  <c r="D19" i="24"/>
  <c r="D30" i="19"/>
  <c r="D15" i="25"/>
  <c r="C3" i="21"/>
  <c r="C21" i="21"/>
  <c r="F23" i="17"/>
  <c r="H23" i="17" s="1"/>
  <c r="F20" i="20"/>
  <c r="H20" i="20"/>
  <c r="D10" i="24"/>
  <c r="A32" i="24" s="1"/>
  <c r="C32" i="24"/>
  <c r="A3" i="15" l="1"/>
  <c r="C3" i="22"/>
  <c r="C19" i="22" s="1"/>
  <c r="A3" i="22"/>
  <c r="A19" i="22" s="1"/>
  <c r="D19" i="26"/>
  <c r="A3" i="26" s="1"/>
  <c r="A27" i="26" s="1"/>
  <c r="D52" i="20"/>
  <c r="D45" i="20"/>
  <c r="D43" i="20" s="1"/>
  <c r="D41" i="20" s="1"/>
  <c r="D36" i="20" s="1"/>
  <c r="D54" i="19"/>
  <c r="D47" i="19"/>
  <c r="D45" i="19" s="1"/>
  <c r="D43" i="19" s="1"/>
  <c r="D38" i="19" s="1"/>
  <c r="A3" i="16"/>
  <c r="D17" i="20"/>
  <c r="D14" i="20" s="1"/>
  <c r="D13" i="20" s="1"/>
  <c r="C3" i="20" s="1"/>
  <c r="C75" i="20" s="1"/>
  <c r="D20" i="18"/>
  <c r="D17" i="18" s="1"/>
  <c r="D16" i="18" s="1"/>
  <c r="A3" i="18" s="1"/>
  <c r="A77" i="18" s="1"/>
  <c r="D48" i="18"/>
  <c r="D46" i="18" s="1"/>
  <c r="D44" i="18" s="1"/>
  <c r="D39" i="18" s="1"/>
  <c r="D55" i="18"/>
  <c r="D53" i="17"/>
  <c r="D46" i="17" s="1"/>
  <c r="D44" i="17" s="1"/>
  <c r="D39" i="17" s="1"/>
  <c r="A3" i="24"/>
  <c r="C3" i="24"/>
  <c r="F23" i="20"/>
  <c r="H23" i="20" s="1"/>
  <c r="F20" i="19"/>
  <c r="H20" i="19" s="1"/>
  <c r="C3" i="16"/>
  <c r="F24" i="19"/>
  <c r="H24" i="19" s="1"/>
  <c r="C3" i="25"/>
  <c r="C25" i="25" s="1"/>
  <c r="C3" i="15"/>
  <c r="D31" i="15"/>
  <c r="B15" i="16"/>
  <c r="D15" i="16" s="1"/>
  <c r="D15" i="23"/>
  <c r="D6" i="23"/>
  <c r="D10" i="23"/>
  <c r="C3" i="18" l="1"/>
  <c r="C77" i="18" s="1"/>
  <c r="A3" i="20"/>
  <c r="A75" i="20" s="1"/>
  <c r="C27" i="26"/>
  <c r="A3" i="17"/>
  <c r="A61" i="17" s="1"/>
  <c r="C3" i="17"/>
  <c r="C61" i="17" s="1"/>
  <c r="D19" i="19"/>
  <c r="D16" i="19" s="1"/>
  <c r="D15" i="19" s="1"/>
  <c r="A23" i="16"/>
  <c r="A39" i="15"/>
  <c r="C39" i="15"/>
  <c r="C23" i="16"/>
  <c r="A3" i="23"/>
  <c r="A23" i="23"/>
  <c r="C23" i="23"/>
  <c r="C3" i="23"/>
  <c r="C3" i="19" l="1"/>
  <c r="C77" i="19" s="1"/>
  <c r="A3" i="19"/>
  <c r="A77" i="19" s="1"/>
</calcChain>
</file>

<file path=xl/sharedStrings.xml><?xml version="1.0" encoding="utf-8"?>
<sst xmlns="http://schemas.openxmlformats.org/spreadsheetml/2006/main" count="1076" uniqueCount="428">
  <si>
    <t>так</t>
  </si>
  <si>
    <t>ні</t>
  </si>
  <si>
    <t>жодна з перелічених категорій</t>
  </si>
  <si>
    <t>які підозрюються або обвинувачуються у вчиненні злочину / адміністративного правопорушення у віці до 18 років</t>
  </si>
  <si>
    <t>які через свої фізичні або психічні вади (німі, глухі, сліпі тощо) не можуть самі реалізувати своє право на захист</t>
  </si>
  <si>
    <t>які не володіють мовою, якою ведеться досудове розслідування / провадження</t>
  </si>
  <si>
    <t>у яких виявлено інфекційну хворобу, що підтверджується відповідною медичною довідкою</t>
  </si>
  <si>
    <t>нінініні</t>
  </si>
  <si>
    <t>такнініні</t>
  </si>
  <si>
    <t>нітакніні</t>
  </si>
  <si>
    <t>нінітакні</t>
  </si>
  <si>
    <t>нінінітак</t>
  </si>
  <si>
    <t>тактакніні</t>
  </si>
  <si>
    <t>такнітакні</t>
  </si>
  <si>
    <t>такнінітак</t>
  </si>
  <si>
    <t>тактактакні</t>
  </si>
  <si>
    <t>такнітактак</t>
  </si>
  <si>
    <t>нітактактак</t>
  </si>
  <si>
    <t>нінітактак</t>
  </si>
  <si>
    <t>тактактактак</t>
  </si>
  <si>
    <t>нітакнітак</t>
  </si>
  <si>
    <t>тактакнітак</t>
  </si>
  <si>
    <t>Запобіжний захід, пов’язаний з обмеженням свободи, не обирався</t>
  </si>
  <si>
    <t>20 і більше</t>
  </si>
  <si>
    <t>0 (фігурує лише затриманий)</t>
  </si>
  <si>
    <t>до 10%</t>
  </si>
  <si>
    <t>від 10% до 30%</t>
  </si>
  <si>
    <t>від 30% до 50%</t>
  </si>
  <si>
    <t>понад 50%</t>
  </si>
  <si>
    <t>Для адмінарешта</t>
  </si>
  <si>
    <t>нініні</t>
  </si>
  <si>
    <t>такніні</t>
  </si>
  <si>
    <t>тактакні</t>
  </si>
  <si>
    <t>нітактак</t>
  </si>
  <si>
    <t>такнітак</t>
  </si>
  <si>
    <t>тактактак</t>
  </si>
  <si>
    <t>нітакні</t>
  </si>
  <si>
    <t>нінітак</t>
  </si>
  <si>
    <t>- через свої фізичні або психічні вади (німа, глуха, сліпа тощо) не може сама реалізувати своє право на захист</t>
  </si>
  <si>
    <t>- виявлено інфекційну хворобу, що підтверджується відповідною медичною довідкою</t>
  </si>
  <si>
    <t>- призначено ЗЗ у вигляді тримання під вартою</t>
  </si>
  <si>
    <t>- призначено більш м"який ЗЗ</t>
  </si>
  <si>
    <t>- ЗЗ залишено без змін</t>
  </si>
  <si>
    <t>- ЗЗ змінено на більш м"який / скасовано</t>
  </si>
  <si>
    <t>Призначення особі ЗЗ</t>
  </si>
  <si>
    <t>Для ОПД</t>
  </si>
  <si>
    <t>б) госпіталізація до психіатричного закладу із звичайним наглядом</t>
  </si>
  <si>
    <t>в) госпіталізація до психіатричного закладу з посиленим наглядом</t>
  </si>
  <si>
    <t>г) госпіталізація до психіатричного закладу із суворим наглядом</t>
  </si>
  <si>
    <t>д) заходи медичного характеру скасовано</t>
  </si>
  <si>
    <t>ЗМХ</t>
  </si>
  <si>
    <t>а</t>
  </si>
  <si>
    <t>б</t>
  </si>
  <si>
    <t>в</t>
  </si>
  <si>
    <t>г</t>
  </si>
  <si>
    <t>д</t>
  </si>
  <si>
    <t>аа</t>
  </si>
  <si>
    <t>аб</t>
  </si>
  <si>
    <t>ав</t>
  </si>
  <si>
    <t>аг</t>
  </si>
  <si>
    <t>бб</t>
  </si>
  <si>
    <t>бв</t>
  </si>
  <si>
    <t>бг</t>
  </si>
  <si>
    <t>вв</t>
  </si>
  <si>
    <t>вг</t>
  </si>
  <si>
    <t>гг</t>
  </si>
  <si>
    <t>ба</t>
  </si>
  <si>
    <t>вб</t>
  </si>
  <si>
    <t>ва</t>
  </si>
  <si>
    <t>гв</t>
  </si>
  <si>
    <t>гб</t>
  </si>
  <si>
    <t>га</t>
  </si>
  <si>
    <t>ад</t>
  </si>
  <si>
    <t>бд</t>
  </si>
  <si>
    <t>вд</t>
  </si>
  <si>
    <t>гд</t>
  </si>
  <si>
    <t>ЕКС</t>
  </si>
  <si>
    <t>- участь адвоката у судовому слуханні та складенні ним апеляційної скарги щодо апеляційного оскарження рішення про екстрадицію</t>
  </si>
  <si>
    <t>- участь адвоката у судовому слуханні та складенні ним апеляційної скарги щодо апеляційного оскарження тимчасового арешту</t>
  </si>
  <si>
    <t>- інше</t>
  </si>
  <si>
    <t>правова допомога під час затримання Вами надавалася</t>
  </si>
  <si>
    <t>Досудове розслідування</t>
  </si>
  <si>
    <t>Ксп</t>
  </si>
  <si>
    <t>тактак</t>
  </si>
  <si>
    <t>такні</t>
  </si>
  <si>
    <t>нітак</t>
  </si>
  <si>
    <t>ніні</t>
  </si>
  <si>
    <t>не застосовувалось</t>
  </si>
  <si>
    <t>до трьох місяців</t>
  </si>
  <si>
    <t>до шести місяців, але понад три місяці</t>
  </si>
  <si>
    <t>до 12 місяців, але понад шість місяців</t>
  </si>
  <si>
    <t>К от досуд</t>
  </si>
  <si>
    <t>Кст тяж осн</t>
  </si>
  <si>
    <t>Кзз</t>
  </si>
  <si>
    <t>з обранням іншого запобіжного заходу</t>
  </si>
  <si>
    <t>Крез</t>
  </si>
  <si>
    <t>у разі скасування запобіжного заходу</t>
  </si>
  <si>
    <t>злочину з посягання на життя</t>
  </si>
  <si>
    <t>особливо тяжкого злочину</t>
  </si>
  <si>
    <t>тяжкого злочину</t>
  </si>
  <si>
    <t>злочину середньої тяжкості</t>
  </si>
  <si>
    <t>злочину невеликої тяжкості</t>
  </si>
  <si>
    <t>даний результат відсутній</t>
  </si>
  <si>
    <t>з особливо тяжкого на тяжкий</t>
  </si>
  <si>
    <t>з особливо тяжкого на середньої тяжкості</t>
  </si>
  <si>
    <t>з особливо тяжкого на невеликої тяжкості</t>
  </si>
  <si>
    <t>з тяжкого на середньої тяжкості</t>
  </si>
  <si>
    <t>з тяжкого на невеликої тяжкості</t>
  </si>
  <si>
    <t>із середньої тяжкості на невеликої тяжкості</t>
  </si>
  <si>
    <t>наявності неповнолітнього обвинуваченого</t>
  </si>
  <si>
    <t>відсутності судимості</t>
  </si>
  <si>
    <t>наявності кількох епізодів злочинної діяльності</t>
  </si>
  <si>
    <t>наявності судимості</t>
  </si>
  <si>
    <t>за відсутності судимості</t>
  </si>
  <si>
    <t>за наявності кількох епізодів</t>
  </si>
  <si>
    <t>за наявності судимості</t>
  </si>
  <si>
    <t>вперше</t>
  </si>
  <si>
    <t>в іншому випадку</t>
  </si>
  <si>
    <t>Суд І інст</t>
  </si>
  <si>
    <t>Ви брали участь на стадії досудового розслідування</t>
  </si>
  <si>
    <t>Кос пров</t>
  </si>
  <si>
    <t>немає</t>
  </si>
  <si>
    <t>судовий розгляд лише частини доказів у кримінальному провадженні</t>
  </si>
  <si>
    <t>Кзмін</t>
  </si>
  <si>
    <t>Кпов</t>
  </si>
  <si>
    <t>не повертався</t>
  </si>
  <si>
    <t>Кот 1 інст</t>
  </si>
  <si>
    <t>від 10 до 15</t>
  </si>
  <si>
    <t>від 16 до 20</t>
  </si>
  <si>
    <t>від 21 до 25</t>
  </si>
  <si>
    <t>понад 25</t>
  </si>
  <si>
    <t>до 10</t>
  </si>
  <si>
    <t>Ви брали участь на стадії провадження в суді І інстанції</t>
  </si>
  <si>
    <t>Ви брали участь у судовому провадженні</t>
  </si>
  <si>
    <t>Апеляція</t>
  </si>
  <si>
    <t>Ви брали участь на стадії провадження в суді апеляційної інстанції</t>
  </si>
  <si>
    <t>Касація</t>
  </si>
  <si>
    <t>нітактакні</t>
  </si>
  <si>
    <t>Дані до Кзвіт</t>
  </si>
  <si>
    <t>до 45 днів</t>
  </si>
  <si>
    <t>від 46 до 60 днів</t>
  </si>
  <si>
    <t>від 61 до 90 днів</t>
  </si>
  <si>
    <t>від 91 до 120 днів</t>
  </si>
  <si>
    <t>понад 120 днів</t>
  </si>
  <si>
    <t>Дані до Кззз</t>
  </si>
  <si>
    <t>Кот досуд</t>
  </si>
  <si>
    <t>застосовувалось</t>
  </si>
  <si>
    <t>у задоволенні клопотання відмовлено</t>
  </si>
  <si>
    <t>МІН ЗП</t>
  </si>
  <si>
    <t>Data_2017</t>
  </si>
  <si>
    <t>- у якої виявлено інфекційну хворобу, що підтверджується відповідною медичною довідкою</t>
  </si>
  <si>
    <t>- у віці до 18 років;</t>
  </si>
  <si>
    <t>- яка через свої фізичні або психічні вади (німа, глуха, сліпа тощо) не може сама реалізувати своє право на захист;</t>
  </si>
  <si>
    <t>- яка не володіє мовою, якою ведеться провадження;</t>
  </si>
  <si>
    <t>Кприп</t>
  </si>
  <si>
    <t>ERROR</t>
  </si>
  <si>
    <r>
      <t xml:space="preserve">- </t>
    </r>
    <r>
      <rPr>
        <b/>
        <i/>
        <sz val="11"/>
        <color indexed="8"/>
        <rFont val="Arial"/>
        <family val="2"/>
        <charset val="204"/>
      </rPr>
      <t>під час першого конфіденційного побачення</t>
    </r>
    <r>
      <rPr>
        <i/>
        <sz val="11"/>
        <color indexed="8"/>
        <rFont val="Arial"/>
        <family val="2"/>
        <charset val="204"/>
      </rPr>
      <t xml:space="preserve"> з адвокатом особа, якій надається БВПД, заявила про відмову від його послуг у письмовій формі, або ж адвокат внаслідок конфлікту інтересів чи з інших причин прийняв рішення про відмову від надання БВПД особі;</t>
    </r>
  </si>
  <si>
    <r>
      <t xml:space="preserve">- адвокат припинив надання БВПД до завершення строку дії доручення </t>
    </r>
    <r>
      <rPr>
        <b/>
        <i/>
        <sz val="11"/>
        <color indexed="8"/>
        <rFont val="Arial"/>
        <family val="2"/>
        <charset val="204"/>
      </rPr>
      <t>в інший час після конфіденційного побачення</t>
    </r>
    <r>
      <rPr>
        <i/>
        <sz val="11"/>
        <color indexed="8"/>
        <rFont val="Arial"/>
        <family val="2"/>
        <charset val="204"/>
      </rPr>
      <t xml:space="preserve"> з будь-яких інших підстав, визначених законом</t>
    </r>
  </si>
  <si>
    <t>Вибір форми 1</t>
  </si>
  <si>
    <t>[АЗ] особі, до якої застосовано адміністративне затримання та / або адміністративний арешт</t>
  </si>
  <si>
    <t>[ЗЗ] особі, яка відповідно до положень кримінального процесуального законодавства вважається затриманою та / або стосовно якої обрано запобіжний захід у вигляді тримання під вартою</t>
  </si>
  <si>
    <t>[ОПД] у разі залучення до окремої процесуальної дії</t>
  </si>
  <si>
    <t>[ЕКС] у процедурах, пов’язаних з видачею особи (екстрадицією)</t>
  </si>
  <si>
    <t>Яке рішення прийняв суд за підсумками розгляду такого клопотання?</t>
  </si>
  <si>
    <t>Яке рішення прийняв суд за результатами розгляду такої апеляційної скарги?</t>
  </si>
  <si>
    <t>Коск1</t>
  </si>
  <si>
    <t>Коск2</t>
  </si>
  <si>
    <t>Коск3</t>
  </si>
  <si>
    <t>обрано ЗЗ у вигляді тримання під вартою</t>
  </si>
  <si>
    <t>обрано більш м’який ЗЗ або постановлено ухвалу про відмову в застосуванні ЗЗ</t>
  </si>
  <si>
    <t>ЗЗ у вигляді тримання під вартою залишено без змін</t>
  </si>
  <si>
    <t>ЗЗ у вигляді тримання під вартою змінено на більш м'який</t>
  </si>
  <si>
    <t>ЗЗ чи ухвалу про відмову в застосуванні ЗЗ залишено без змін</t>
  </si>
  <si>
    <t>3. Особлива категорія особи, якій надається БВПД:</t>
  </si>
  <si>
    <t>5. Частка дій адвоката у нічний час, вихідні, святкові та неробочі дні від загальної кількості таких дій</t>
  </si>
  <si>
    <t>6. Обрання затриманій особі запобіжного заходу (ЗЗ) у вигляді тримання під вартою:</t>
  </si>
  <si>
    <t>Чи оскаржували Ви обрання особі тимчасового арешту?</t>
  </si>
  <si>
    <t>Чи оскаржували Ви рішення про екстрадицію?</t>
  </si>
  <si>
    <r>
      <t>К</t>
    </r>
    <r>
      <rPr>
        <sz val="9"/>
        <color indexed="8"/>
        <rFont val="Arial"/>
        <family val="2"/>
        <charset val="204"/>
      </rPr>
      <t xml:space="preserve">прип = </t>
    </r>
  </si>
  <si>
    <r>
      <t>К</t>
    </r>
    <r>
      <rPr>
        <sz val="9"/>
        <color indexed="8"/>
        <rFont val="Arial"/>
        <family val="2"/>
        <charset val="204"/>
      </rPr>
      <t xml:space="preserve">ос. кат = </t>
    </r>
  </si>
  <si>
    <r>
      <t>О</t>
    </r>
    <r>
      <rPr>
        <sz val="9"/>
        <color indexed="8"/>
        <rFont val="Arial"/>
        <family val="2"/>
        <charset val="204"/>
      </rPr>
      <t xml:space="preserve">год = </t>
    </r>
  </si>
  <si>
    <r>
      <t>К</t>
    </r>
    <r>
      <rPr>
        <sz val="9"/>
        <color indexed="8"/>
        <rFont val="Arial"/>
        <family val="2"/>
        <charset val="204"/>
      </rPr>
      <t xml:space="preserve">звіт = </t>
    </r>
  </si>
  <si>
    <r>
      <t>2. Припинення участі адвоката до завершення строку дії доручення</t>
    </r>
    <r>
      <rPr>
        <sz val="11"/>
        <color indexed="8"/>
        <rFont val="Arial"/>
        <family val="2"/>
        <charset val="204"/>
      </rPr>
      <t>, якщо:</t>
    </r>
  </si>
  <si>
    <t>- кількість дій, які повністю або частково припадають на:
нічний час (з 22.00 до 6.00) або вихідні (субота, неділя), або святкові / неробочі дні</t>
  </si>
  <si>
    <r>
      <t xml:space="preserve">1. Кількість виїздів адвоката
</t>
    </r>
    <r>
      <rPr>
        <sz val="10.5"/>
        <color indexed="8"/>
        <rFont val="Arial Narrow"/>
        <family val="2"/>
        <charset val="204"/>
      </rPr>
      <t>для побачення з особою, якій надається БВПД, участі у процесуальних діях та / або збирання доказів</t>
    </r>
  </si>
  <si>
    <r>
      <t xml:space="preserve">4. Сумарна кількість дій адвоката з надання БВПД,
</t>
    </r>
    <r>
      <rPr>
        <sz val="10.5"/>
        <color indexed="8"/>
        <rFont val="Arial Narrow"/>
        <family val="2"/>
        <charset val="204"/>
      </rPr>
      <t>зазначених у реєстрі дій адвоката</t>
    </r>
    <r>
      <rPr>
        <b/>
        <sz val="10.5"/>
        <color indexed="8"/>
        <rFont val="Arial Narrow"/>
        <family val="2"/>
        <charset val="204"/>
      </rPr>
      <t xml:space="preserve"> </t>
    </r>
    <r>
      <rPr>
        <sz val="10.5"/>
        <color indexed="8"/>
        <rFont val="Arial Narrow"/>
        <family val="2"/>
        <charset val="204"/>
      </rPr>
      <t>(побачення з особою, якій надається БВПД, участь у процесуальних діях, складення процесуальних документів)</t>
    </r>
  </si>
  <si>
    <r>
      <t xml:space="preserve">- </t>
    </r>
    <r>
      <rPr>
        <b/>
        <sz val="10.5"/>
        <color indexed="8"/>
        <rFont val="Arial Narrow"/>
        <family val="2"/>
        <charset val="204"/>
      </rPr>
      <t>у разі якщо кількість дій адвоката = 0</t>
    </r>
    <r>
      <rPr>
        <sz val="10.5"/>
        <color indexed="8"/>
        <rFont val="Arial Narrow"/>
        <family val="2"/>
        <charset val="204"/>
      </rPr>
      <t>, вказати чи припав час виїзду повністю або частково на нічний час
(з 22.00 до 6.00) або вихідні (субота, неділя), або святкові / неробочі дні</t>
    </r>
  </si>
  <si>
    <t>1. Кількість днів, коли адвокат брав участь у судових засіданнях</t>
  </si>
  <si>
    <r>
      <t>К</t>
    </r>
    <r>
      <rPr>
        <sz val="9"/>
        <color indexed="8"/>
        <rFont val="Arial"/>
        <family val="2"/>
        <charset val="204"/>
      </rPr>
      <t xml:space="preserve">зас = </t>
    </r>
  </si>
  <si>
    <t>а) надання амбулаторної психіатричної допомоги в примусовому порядку</t>
  </si>
  <si>
    <r>
      <t>- призначений ЗМХ після судового розгляду</t>
    </r>
    <r>
      <rPr>
        <sz val="11"/>
        <color indexed="8"/>
        <rFont val="Arial"/>
        <family val="2"/>
        <charset val="204"/>
      </rPr>
      <t xml:space="preserve"> (оберіть один з варіантів нижче)</t>
    </r>
  </si>
  <si>
    <r>
      <t>- призначений ЗМХ до судового розгляду</t>
    </r>
    <r>
      <rPr>
        <sz val="11"/>
        <color indexed="8"/>
        <rFont val="Arial"/>
        <family val="2"/>
        <charset val="204"/>
      </rPr>
      <t xml:space="preserve"> (оберіть один з варіантів нижче)</t>
    </r>
  </si>
  <si>
    <r>
      <t>К</t>
    </r>
    <r>
      <rPr>
        <sz val="9"/>
        <color indexed="8"/>
        <rFont val="Arial"/>
        <family val="2"/>
        <charset val="204"/>
      </rPr>
      <t>рез</t>
    </r>
    <r>
      <rPr>
        <sz val="9"/>
        <color indexed="8"/>
        <rFont val="Arial"/>
        <family val="2"/>
        <charset val="204"/>
      </rPr>
      <t xml:space="preserve"> = </t>
    </r>
  </si>
  <si>
    <t>Розмір винагороди адвоката за надання БВПД
[ДР] на стадії досудового розслідування</t>
  </si>
  <si>
    <r>
      <t xml:space="preserve">1. Розмір прожиткового мінімуму, грн.
</t>
    </r>
    <r>
      <rPr>
        <sz val="10.5"/>
        <color indexed="8"/>
        <rFont val="Arial Narrow"/>
        <family val="2"/>
        <charset val="204"/>
      </rPr>
      <t>для працездатних осіб на момент подання адвокатом акта</t>
    </r>
  </si>
  <si>
    <t>2. Коефіцієнт стадії кримінального провадження</t>
  </si>
  <si>
    <t>2.1. Базове значення коефіцієнта стадії кримінального провадження</t>
  </si>
  <si>
    <t>2.2. Сумарний коефіцієнт особливої тривалості стадії кримінального провадження</t>
  </si>
  <si>
    <t>Розмір винагороди адвоката за надання БВПД
[ЗМХ] у кримінальних провадженнях щодо продовження, зміни або припинення застосування примусових заходів медичного характеру</t>
  </si>
  <si>
    <t>ДР</t>
  </si>
  <si>
    <r>
      <t>О</t>
    </r>
    <r>
      <rPr>
        <b/>
        <sz val="10"/>
        <color indexed="8"/>
        <rFont val="Arial"/>
        <family val="2"/>
        <charset val="204"/>
      </rPr>
      <t>год</t>
    </r>
    <r>
      <rPr>
        <b/>
        <sz val="11"/>
        <color indexed="8"/>
        <rFont val="Arial"/>
        <family val="2"/>
        <charset val="204"/>
      </rPr>
      <t xml:space="preserve"> = </t>
    </r>
  </si>
  <si>
    <r>
      <t>К</t>
    </r>
    <r>
      <rPr>
        <b/>
        <sz val="10"/>
        <rFont val="Arial"/>
        <family val="2"/>
        <charset val="204"/>
      </rPr>
      <t>сп</t>
    </r>
    <r>
      <rPr>
        <b/>
        <sz val="11"/>
        <rFont val="Arial"/>
        <family val="2"/>
        <charset val="204"/>
      </rPr>
      <t xml:space="preserve"> =</t>
    </r>
  </si>
  <si>
    <r>
      <t>К</t>
    </r>
    <r>
      <rPr>
        <sz val="10"/>
        <color indexed="8"/>
        <rFont val="Arial"/>
        <family val="2"/>
        <charset val="204"/>
      </rPr>
      <t>сп баз</t>
    </r>
    <r>
      <rPr>
        <sz val="11"/>
        <color indexed="8"/>
        <rFont val="Arial"/>
        <family val="2"/>
        <charset val="204"/>
      </rPr>
      <t xml:space="preserve"> =</t>
    </r>
  </si>
  <si>
    <r>
      <t xml:space="preserve">К </t>
    </r>
    <r>
      <rPr>
        <sz val="10"/>
        <color indexed="8"/>
        <rFont val="Symbol"/>
        <family val="1"/>
        <charset val="2"/>
      </rPr>
      <t>å</t>
    </r>
    <r>
      <rPr>
        <sz val="10"/>
        <color indexed="8"/>
        <rFont val="Arial"/>
        <family val="2"/>
        <charset val="204"/>
      </rPr>
      <t xml:space="preserve">от досуд </t>
    </r>
    <r>
      <rPr>
        <sz val="11"/>
        <color indexed="8"/>
        <rFont val="Arial"/>
        <family val="2"/>
        <charset val="204"/>
      </rPr>
      <t>=</t>
    </r>
  </si>
  <si>
    <r>
      <t xml:space="preserve">К </t>
    </r>
    <r>
      <rPr>
        <sz val="10"/>
        <color indexed="8"/>
        <rFont val="Symbol"/>
        <family val="1"/>
        <charset val="2"/>
      </rPr>
      <t>å</t>
    </r>
    <r>
      <rPr>
        <sz val="10"/>
        <color indexed="8"/>
        <rFont val="Arial"/>
        <family val="2"/>
        <charset val="204"/>
      </rPr>
      <t>ст. тяж</t>
    </r>
    <r>
      <rPr>
        <sz val="11"/>
        <color indexed="8"/>
        <rFont val="Arial"/>
        <family val="2"/>
        <charset val="204"/>
      </rPr>
      <t xml:space="preserve"> =</t>
    </r>
  </si>
  <si>
    <t>найвищий ступінь тяжкості епізоду (групи епізодів) згідно з повідомленням про підозру</t>
  </si>
  <si>
    <r>
      <t>К</t>
    </r>
    <r>
      <rPr>
        <b/>
        <sz val="10"/>
        <rFont val="Arial"/>
        <family val="2"/>
        <charset val="204"/>
      </rPr>
      <t>скл</t>
    </r>
    <r>
      <rPr>
        <b/>
        <sz val="11"/>
        <rFont val="Arial"/>
        <family val="2"/>
        <charset val="204"/>
      </rPr>
      <t xml:space="preserve"> =</t>
    </r>
  </si>
  <si>
    <t>3. Коефіцієнт складності кримінального провадження</t>
  </si>
  <si>
    <r>
      <t>К</t>
    </r>
    <r>
      <rPr>
        <i/>
        <sz val="10"/>
        <color indexed="8"/>
        <rFont val="Arial"/>
        <family val="2"/>
        <charset val="204"/>
      </rPr>
      <t>ст. тяж. осн</t>
    </r>
    <r>
      <rPr>
        <i/>
        <sz val="11"/>
        <color indexed="8"/>
        <rFont val="Arial"/>
        <family val="2"/>
        <charset val="204"/>
      </rPr>
      <t xml:space="preserve"> =</t>
    </r>
  </si>
  <si>
    <r>
      <t>К</t>
    </r>
    <r>
      <rPr>
        <i/>
        <sz val="10"/>
        <color indexed="8"/>
        <rFont val="Arial"/>
        <family val="2"/>
        <charset val="204"/>
      </rPr>
      <t>ст. тяж. дод</t>
    </r>
    <r>
      <rPr>
        <i/>
        <sz val="11"/>
        <color indexed="8"/>
        <rFont val="Arial"/>
        <family val="2"/>
        <charset val="204"/>
      </rPr>
      <t xml:space="preserve"> =</t>
    </r>
  </si>
  <si>
    <r>
      <t>К</t>
    </r>
    <r>
      <rPr>
        <sz val="10"/>
        <color indexed="8"/>
        <rFont val="Arial"/>
        <family val="2"/>
        <charset val="204"/>
      </rPr>
      <t>спів</t>
    </r>
    <r>
      <rPr>
        <sz val="11"/>
        <color indexed="8"/>
        <rFont val="Arial"/>
        <family val="2"/>
        <charset val="204"/>
      </rPr>
      <t xml:space="preserve"> =</t>
    </r>
  </si>
  <si>
    <t>3.2. Коефіцієнт складності кримінального провадження за кількістю підозрюваних, обвинувачених у кримінальному провадженні</t>
  </si>
  <si>
    <t>кількість підозрюваних, обвинувачених у кримінальному провадженні</t>
  </si>
  <si>
    <t>3.3. Коефіцієнт складності кримінального провадження за видом запобіжного заходу</t>
  </si>
  <si>
    <r>
      <t>К</t>
    </r>
    <r>
      <rPr>
        <sz val="10"/>
        <color indexed="8"/>
        <rFont val="Arial"/>
        <family val="2"/>
        <charset val="204"/>
      </rPr>
      <t>зз</t>
    </r>
    <r>
      <rPr>
        <sz val="11"/>
        <color indexed="8"/>
        <rFont val="Arial"/>
        <family val="2"/>
        <charset val="204"/>
      </rPr>
      <t xml:space="preserve"> = </t>
    </r>
  </si>
  <si>
    <r>
      <t xml:space="preserve">7. Строк подання акта
</t>
    </r>
    <r>
      <rPr>
        <sz val="10"/>
        <color indexed="8"/>
        <rFont val="Arial Narrow"/>
        <family val="2"/>
        <charset val="204"/>
      </rPr>
      <t>починаючи з дня, наступного за днем завершення надання БВПД / відповідної стадії провадження (процесу)</t>
    </r>
  </si>
  <si>
    <r>
      <t>К</t>
    </r>
    <r>
      <rPr>
        <sz val="10"/>
        <color indexed="8"/>
        <rFont val="Arial"/>
        <family val="2"/>
        <charset val="204"/>
      </rPr>
      <t>ос. кат</t>
    </r>
    <r>
      <rPr>
        <sz val="11"/>
        <color indexed="8"/>
        <rFont val="Arial"/>
        <family val="2"/>
        <charset val="204"/>
      </rPr>
      <t xml:space="preserve"> = </t>
    </r>
  </si>
  <si>
    <t>- у віці до 18 років</t>
  </si>
  <si>
    <t>- не володіє мовою, якою ведеться провадження</t>
  </si>
  <si>
    <t>5нов</t>
  </si>
  <si>
    <t>дійовим каяттям (стаття 45 КК)</t>
  </si>
  <si>
    <t>примиренням винного з потерпілим (стаття 46 КК)</t>
  </si>
  <si>
    <t>передачею особи на поруки (стаття 47 КК)</t>
  </si>
  <si>
    <t>зміною обстановки (стаття 48 КК)</t>
  </si>
  <si>
    <t>закінченням строків давності (стаття 49 КК)</t>
  </si>
  <si>
    <t>6нов</t>
  </si>
  <si>
    <t>зі злочину з посягання на життя на особливо тяжкий</t>
  </si>
  <si>
    <t>зі злочину з посягання на життя на тяжкий</t>
  </si>
  <si>
    <t>зі злочину з посягання на життя на середньої тяжкості</t>
  </si>
  <si>
    <t>зі злочину з посягання на життя на невеликої тяжкості</t>
  </si>
  <si>
    <t>7нов</t>
  </si>
  <si>
    <t>8нов</t>
  </si>
  <si>
    <t>10нов</t>
  </si>
  <si>
    <t>Крез новий</t>
  </si>
  <si>
    <t>б) у разі зниження максимальної санкції, передбаченої відповідною статтею Особливої частини КК, в межах епізоду (групи епізодів) найвищого ступеня тяжкості щодо:</t>
  </si>
  <si>
    <r>
      <t>К</t>
    </r>
    <r>
      <rPr>
        <b/>
        <sz val="9"/>
        <color indexed="8"/>
        <rFont val="Arial"/>
        <family val="2"/>
        <charset val="204"/>
      </rPr>
      <t xml:space="preserve">звіт = </t>
    </r>
  </si>
  <si>
    <t>Ви припинили участь до завершення цієї стадії кримінального провадження</t>
  </si>
  <si>
    <t>обрання особі запобіжного заходу у вигляді тримання під вартою</t>
  </si>
  <si>
    <r>
      <t xml:space="preserve">3.4. Коефіцієнт особливої категорії особи, якій надається правова допомога:
</t>
    </r>
    <r>
      <rPr>
        <sz val="10"/>
        <color indexed="8"/>
        <rFont val="Arial Narrow"/>
        <family val="2"/>
        <charset val="204"/>
      </rPr>
      <t>зазначте, якщо особа належить до наведених нижче категорій</t>
    </r>
  </si>
  <si>
    <t>4. Коефіцієнт особливої складності стадії кримінального провадження</t>
  </si>
  <si>
    <r>
      <t>К</t>
    </r>
    <r>
      <rPr>
        <b/>
        <sz val="10"/>
        <color indexed="8"/>
        <rFont val="Arial"/>
        <family val="2"/>
        <charset val="204"/>
      </rPr>
      <t>ос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</si>
  <si>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Symbol"/>
        <family val="1"/>
        <charset val="2"/>
      </rPr>
      <t>å</t>
    </r>
    <r>
      <rPr>
        <b/>
        <sz val="10"/>
        <color indexed="8"/>
        <rFont val="Arial"/>
        <family val="2"/>
        <charset val="204"/>
      </rPr>
      <t>рез</t>
    </r>
    <r>
      <rPr>
        <b/>
        <sz val="11"/>
        <color indexed="8"/>
        <rFont val="Arial"/>
        <family val="2"/>
        <charset val="204"/>
      </rPr>
      <t xml:space="preserve"> =</t>
    </r>
  </si>
  <si>
    <r>
      <t xml:space="preserve">5. Сумарний заохочувальний коефіцієнт
</t>
    </r>
    <r>
      <rPr>
        <sz val="10"/>
        <color indexed="8"/>
        <rFont val="Arial Narrow"/>
        <family val="2"/>
        <charset val="204"/>
      </rPr>
      <t>вкажіть досягнуті в інтересах клієнта результати за підсумками цієї стадії провадження (у разі їх наявності)</t>
    </r>
  </si>
  <si>
    <t>1) Відмова у задоволенні клопотання прокурора, слідчого щодо обрання особі, яка підозрюється, обвинувачується у вчиненні злочину, запобіжного заходу у вигляді тримання під вартою, зокрема:</t>
  </si>
  <si>
    <t>2) Заміна або скасування обраного підозрюваному, обвинуваченому запобіжного заходу у вигляді тримання під вартою:</t>
  </si>
  <si>
    <t>Заповнюються клітинки такого кольору</t>
  </si>
  <si>
    <t>5) Звільнення від кримінальної відповідальності у зв’язку із:</t>
  </si>
  <si>
    <r>
      <t>6) Зміна правової кваліфікації злочину</t>
    </r>
    <r>
      <rPr>
        <sz val="11"/>
        <color indexed="8"/>
        <rFont val="Arial"/>
        <family val="2"/>
        <charset val="204"/>
      </rPr>
      <t>:</t>
    </r>
  </si>
  <si>
    <r>
      <t>7) Зменшення кількості епізодів обвинувачення</t>
    </r>
    <r>
      <rPr>
        <sz val="11"/>
        <color indexed="8"/>
        <rFont val="Arial"/>
        <family val="2"/>
        <charset val="204"/>
      </rPr>
      <t xml:space="preserve">:
</t>
    </r>
    <r>
      <rPr>
        <sz val="10"/>
        <color indexed="8"/>
        <rFont val="Arial Narrow"/>
        <family val="2"/>
        <charset val="204"/>
      </rPr>
      <t>вказати кількість зменшених епізодів обвинувачення, у разі наявності</t>
    </r>
  </si>
  <si>
    <r>
      <rPr>
        <sz val="11"/>
        <color indexed="8"/>
        <rFont val="Arial"/>
        <family val="2"/>
        <charset val="204"/>
      </rPr>
      <t>9) Призначення найменш суворого з передбачених відповідною статтею особливої частини КК альтернативних покарань або більш м’якого покарання, ніж передбачено законом (стаття 69 зазначеного кодексу)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indexed="8"/>
        <rFont val="Arial Narrow"/>
        <family val="2"/>
        <charset val="204"/>
      </rPr>
      <t>у разі призначення такого покарання за всіма епізодами найвищого ступеня тяжкості злочину, у скоєнні якого підозрюється, обвинувачується особа, а також у випадках призначення такого покарання за частиною епізодів найвищого ступеня тяжкості, санкція за які, передбачена відповідною статтею Особливої частини КК, є максимальною</t>
    </r>
  </si>
  <si>
    <t>8) Звільнення від відбування покарання з випробуванням (статті 75, 79, 104 КК) за умови:</t>
  </si>
  <si>
    <t>10) Призначення мінімального строку (розміру) покарання:</t>
  </si>
  <si>
    <t>Підпункти Крез, з якими даний не може застосовуватись одночасно</t>
  </si>
  <si>
    <t>12) Залишення без змін рішення суду попередньої інстанції у разі його оскарження стороною обвинувачення в суді апеляційної, касаційної інстанції, Верховному Суді України</t>
  </si>
  <si>
    <t>3), 4), 5), 7)</t>
  </si>
  <si>
    <t>3), 4), 5), 6)</t>
  </si>
  <si>
    <t>3), 4), 5)</t>
  </si>
  <si>
    <t>3), 4), 5), 10)</t>
  </si>
  <si>
    <t>3), 4), 5), 9)</t>
  </si>
  <si>
    <t>5), 6), 7)</t>
  </si>
  <si>
    <t>4), 6), 7)</t>
  </si>
  <si>
    <t>4), 5), 7)</t>
  </si>
  <si>
    <t>4), 5), 6)</t>
  </si>
  <si>
    <t>Розмір винагороди адвоката за надання БВПД
[С1] на стадії розгляду у суді першої інстанції</t>
  </si>
  <si>
    <r>
      <t>К</t>
    </r>
    <r>
      <rPr>
        <sz val="10"/>
        <color indexed="8"/>
        <rFont val="Arial"/>
        <family val="2"/>
        <charset val="204"/>
      </rPr>
      <t>ос. пров</t>
    </r>
    <r>
      <rPr>
        <sz val="11"/>
        <color indexed="8"/>
        <rFont val="Arial"/>
        <family val="2"/>
        <charset val="204"/>
      </rPr>
      <t xml:space="preserve"> =</t>
    </r>
  </si>
  <si>
    <t>Кпов =</t>
  </si>
  <si>
    <r>
      <t xml:space="preserve">2.4. Коефіцієнт повернення обвинувального акта на доопрацювання
</t>
    </r>
    <r>
      <rPr>
        <sz val="10"/>
        <color indexed="8"/>
        <rFont val="Arial Narrow"/>
        <family val="2"/>
        <charset val="204"/>
      </rPr>
      <t>вкажіть кількість повернень обвинувального акта на доопрацювання</t>
    </r>
  </si>
  <si>
    <r>
      <t>К</t>
    </r>
    <r>
      <rPr>
        <sz val="10"/>
        <rFont val="Arial"/>
        <family val="2"/>
        <charset val="204"/>
      </rPr>
      <t>змін</t>
    </r>
    <r>
      <rPr>
        <sz val="11"/>
        <rFont val="Arial"/>
        <family val="2"/>
        <charset val="204"/>
      </rPr>
      <t xml:space="preserve"> =</t>
    </r>
  </si>
  <si>
    <r>
      <t xml:space="preserve">2.5. Коефіцієнт кількості днів, протягом яких адвокат брав участь у судовому засіданні
</t>
    </r>
    <r>
      <rPr>
        <sz val="10"/>
        <color indexed="8"/>
        <rFont val="Arial Narrow"/>
        <family val="2"/>
        <charset val="204"/>
      </rPr>
      <t>застосовується у разі, якщо на даній стадії провадження було понад 5 таких днів. Вкажіть кількість днів</t>
    </r>
  </si>
  <si>
    <t>5 і менше днів</t>
  </si>
  <si>
    <r>
      <t>К</t>
    </r>
    <r>
      <rPr>
        <sz val="10"/>
        <rFont val="Arial"/>
        <family val="2"/>
        <charset val="204"/>
      </rPr>
      <t>суд</t>
    </r>
    <r>
      <rPr>
        <sz val="11"/>
        <rFont val="Arial"/>
        <family val="2"/>
        <charset val="204"/>
      </rPr>
      <t xml:space="preserve"> =</t>
    </r>
  </si>
  <si>
    <t xml:space="preserve"> </t>
  </si>
  <si>
    <t>4), 5), 6), 7), 8), 9), 10), 11)</t>
  </si>
  <si>
    <t>3), 5), 6), 7), 8), 9), 10), 11)</t>
  </si>
  <si>
    <t>3), 4), 6), 7), 8), 9), 10), 11)</t>
  </si>
  <si>
    <t>Розмір винагороди адвоката за надання БВПД
[С2] на стадії розгляду у суді апеляційної інстанції</t>
  </si>
  <si>
    <t>Ви припинили участь до завершення цієї стадії провадження</t>
  </si>
  <si>
    <r>
      <t xml:space="preserve">2.3. Коефіцієнт кількості днів, протягом яких адвокат брав участь у судовому засіданні
</t>
    </r>
    <r>
      <rPr>
        <sz val="10"/>
        <color indexed="8"/>
        <rFont val="Arial Narrow"/>
        <family val="2"/>
        <charset val="204"/>
      </rPr>
      <t>застосовується у разі, якщо на даній стадії провадження було понад 5 таких днів. Вкажіть кількість днів</t>
    </r>
  </si>
  <si>
    <t>Розмір винагороди адвоката за надання БВПД
[С3] на стадії розгляду у суді касаційної інстанції / Верховному Суді України</t>
  </si>
  <si>
    <t>Під час першого конфіденційного побачення підозрюваний, обвинувачений відмовився від призначеного адвоката, внаслідок чого правова допомога не надавалася</t>
  </si>
  <si>
    <r>
      <t xml:space="preserve">2.2. Коефіцієнт кількості днів, протягом яких адвокат брав участь у судовому засіданні
</t>
    </r>
    <r>
      <rPr>
        <sz val="10"/>
        <color indexed="8"/>
        <rFont val="Arial Narrow"/>
        <family val="2"/>
        <charset val="204"/>
      </rPr>
      <t>застосовується у разі, якщо на даній стадії провадження було понад 5 таких днів. Вкажіть кількість днів</t>
    </r>
  </si>
  <si>
    <t>ЦАС</t>
  </si>
  <si>
    <t>Стадії процесу</t>
  </si>
  <si>
    <t>судове провадження не відкривалось</t>
  </si>
  <si>
    <t>провадження в суді І інстанції</t>
  </si>
  <si>
    <t>апеляційне провадження</t>
  </si>
  <si>
    <t>провадження в суді касаційної інстанції</t>
  </si>
  <si>
    <t>провадження у Верховному Суді України</t>
  </si>
  <si>
    <t>перегляд рішень і ухвал у зв'язку з винятковими обставинами</t>
  </si>
  <si>
    <t>перегляд рішень і ухвал за нововиявленими обставинами</t>
  </si>
  <si>
    <t>,</t>
  </si>
  <si>
    <t>у [ЦАС] цивільній чи адміністративній справі на відповідній стадії процесу</t>
  </si>
  <si>
    <t>у вигляді [ПД] складання процесуальних документів (як виду правової допомоги)</t>
  </si>
  <si>
    <t>Вибір форми ЦАС</t>
  </si>
  <si>
    <t>4. Кількість судових засідань, у яких взяв участь адвокат на даній стадії процесу, у тому числі:</t>
  </si>
  <si>
    <t>цивільний</t>
  </si>
  <si>
    <t>адміністративний</t>
  </si>
  <si>
    <t>кримінальний</t>
  </si>
  <si>
    <t>Процес</t>
  </si>
  <si>
    <r>
      <rPr>
        <b/>
        <sz val="11"/>
        <color indexed="8"/>
        <rFont val="Arial"/>
        <family val="2"/>
        <charset val="204"/>
      </rPr>
      <t>Процес, у якому надано БВПД</t>
    </r>
    <r>
      <rPr>
        <sz val="11"/>
        <color indexed="8"/>
        <rFont val="Arial"/>
        <family val="2"/>
        <charset val="204"/>
      </rPr>
      <t xml:space="preserve"> (обрати)</t>
    </r>
  </si>
  <si>
    <t>[ПРК] свідку/потерпілому/заявнику у кримінальному провадженні на відповідній стадії</t>
  </si>
  <si>
    <r>
      <t xml:space="preserve">3. Кількість інших складених та поданих на даній стадії процесуальних документів
</t>
    </r>
    <r>
      <rPr>
        <sz val="10"/>
        <color indexed="8"/>
        <rFont val="Arial Narrow"/>
        <family val="2"/>
        <charset val="204"/>
      </rPr>
      <t>крім тих, що вказані у пункті 2.</t>
    </r>
  </si>
  <si>
    <t>- зустрічний позов або заперечення проти позову</t>
  </si>
  <si>
    <r>
      <t>К</t>
    </r>
    <r>
      <rPr>
        <b/>
        <sz val="10"/>
        <color indexed="8"/>
        <rFont val="Arial"/>
        <family val="2"/>
        <charset val="204"/>
      </rPr>
      <t>пд</t>
    </r>
    <r>
      <rPr>
        <b/>
        <sz val="11"/>
        <color indexed="8"/>
        <rFont val="Arial"/>
        <family val="2"/>
        <charset val="204"/>
      </rPr>
      <t xml:space="preserve"> = </t>
    </r>
  </si>
  <si>
    <r>
      <t>К</t>
    </r>
    <r>
      <rPr>
        <b/>
        <sz val="10"/>
        <color indexed="8"/>
        <rFont val="Arial"/>
        <family val="2"/>
        <charset val="204"/>
      </rPr>
      <t>суд 1/ п. дій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</si>
  <si>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Arial"/>
        <family val="2"/>
        <charset val="204"/>
      </rPr>
      <t>суд 2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</si>
  <si>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Arial"/>
        <family val="2"/>
        <charset val="204"/>
      </rPr>
      <t>суд 3</t>
    </r>
    <r>
      <rPr>
        <b/>
        <sz val="11"/>
        <color indexed="8"/>
        <rFont val="Arial"/>
        <family val="2"/>
        <charset val="204"/>
      </rPr>
      <t xml:space="preserve"> =</t>
    </r>
  </si>
  <si>
    <r>
      <t xml:space="preserve">6. Строк подання акта
</t>
    </r>
    <r>
      <rPr>
        <sz val="10"/>
        <color indexed="8"/>
        <rFont val="Arial Narrow"/>
        <family val="2"/>
        <charset val="204"/>
      </rPr>
      <t>починаючи з дня, наступного за днем завершення надання БВПД / відповідної стадії провадження (процесу)</t>
    </r>
  </si>
  <si>
    <r>
      <t>Стадія процесу, на якій надано БВПД</t>
    </r>
    <r>
      <rPr>
        <sz val="11"/>
        <color indexed="8"/>
        <rFont val="Arial"/>
        <family val="2"/>
        <charset val="204"/>
      </rPr>
      <t xml:space="preserve"> (обрати)</t>
    </r>
  </si>
  <si>
    <r>
      <rPr>
        <b/>
        <sz val="11"/>
        <color indexed="8"/>
        <rFont val="Arial"/>
        <family val="2"/>
        <charset val="204"/>
      </rPr>
      <t>4.1. Кількість процесуальних дій, у яких взяв участь адвокат</t>
    </r>
    <r>
      <rPr>
        <sz val="11"/>
        <color indexed="8"/>
        <rFont val="Arial"/>
        <family val="2"/>
        <charset val="204"/>
      </rPr>
      <t xml:space="preserve">
</t>
    </r>
    <r>
      <rPr>
        <sz val="10"/>
        <color indexed="8"/>
        <rFont val="Arial Narrow"/>
        <family val="2"/>
        <charset val="204"/>
      </rPr>
      <t>тільки у разі представництва інтересів свідка, потерпілого, заявника у кримінальному провадженні</t>
    </r>
  </si>
  <si>
    <t>досудове розслідування</t>
  </si>
  <si>
    <r>
      <t>К</t>
    </r>
    <r>
      <rPr>
        <b/>
        <sz val="10"/>
        <color indexed="8"/>
        <rFont val="Arial"/>
        <family val="2"/>
        <charset val="204"/>
      </rPr>
      <t>ос. кат</t>
    </r>
    <r>
      <rPr>
        <b/>
        <sz val="11"/>
        <color indexed="8"/>
        <rFont val="Arial"/>
        <family val="2"/>
        <charset val="204"/>
      </rPr>
      <t xml:space="preserve"> = </t>
    </r>
  </si>
  <si>
    <r>
      <t xml:space="preserve">2. Кількість складених та поданих на даній стадії процесуальних документів з числа нижченаведених:
</t>
    </r>
    <r>
      <rPr>
        <sz val="10"/>
        <color indexed="8"/>
        <rFont val="Arial Narrow"/>
        <family val="2"/>
        <charset val="204"/>
      </rPr>
      <t>у разі наявності</t>
    </r>
  </si>
  <si>
    <t xml:space="preserve">Розмір винагороди адвоката за надання БВПД
у [ЦАС] цивільній чи адміністративній справі на відповідній стадії процесу
або [ПРК] свідку/потерпілому/заявнику у кримінальному провадженні на відповідній стадії
</t>
  </si>
  <si>
    <t>Розмір винагороди адвоката за надання БВПД
у вигляді [ПД] складання процесуальних документів (як виду правової допомоги)</t>
  </si>
  <si>
    <r>
      <t xml:space="preserve">2. Кількість складених та поданих процесуальних документів з числа нижченаведених:
</t>
    </r>
    <r>
      <rPr>
        <sz val="10"/>
        <color indexed="8"/>
        <rFont val="Arial Narrow"/>
        <family val="2"/>
        <charset val="204"/>
      </rPr>
      <t>у разі наявності</t>
    </r>
  </si>
  <si>
    <r>
      <rPr>
        <b/>
        <sz val="11"/>
        <color indexed="8"/>
        <rFont val="Arial"/>
        <family val="2"/>
        <charset val="204"/>
      </rPr>
      <t>4. Особлива категорія особи, якій надається правова допомога:</t>
    </r>
    <r>
      <rPr>
        <sz val="11"/>
        <color indexed="8"/>
        <rFont val="Arial"/>
        <family val="2"/>
        <charset val="204"/>
      </rPr>
      <t xml:space="preserve">
</t>
    </r>
    <r>
      <rPr>
        <sz val="10"/>
        <color indexed="8"/>
        <rFont val="Arial Narrow"/>
        <family val="2"/>
        <charset val="204"/>
      </rPr>
      <t>зазначте, якщо особа належить до наведених нижче категорій</t>
    </r>
  </si>
  <si>
    <r>
      <t xml:space="preserve">5. Строк подання акта
</t>
    </r>
    <r>
      <rPr>
        <sz val="10"/>
        <color indexed="8"/>
        <rFont val="Arial Narrow"/>
        <family val="2"/>
        <charset val="204"/>
      </rPr>
      <t>починаючи з дня, наступного за днем завершення надання БВПД / відповідної стадії провадження (процесу)</t>
    </r>
  </si>
  <si>
    <r>
      <t>К</t>
    </r>
    <r>
      <rPr>
        <b/>
        <sz val="10"/>
        <color indexed="8"/>
        <rFont val="Arial"/>
        <family val="2"/>
        <charset val="204"/>
      </rPr>
      <t>пр. д</t>
    </r>
    <r>
      <rPr>
        <b/>
        <sz val="11"/>
        <color indexed="8"/>
        <rFont val="Arial"/>
        <family val="2"/>
        <charset val="204"/>
      </rPr>
      <t xml:space="preserve"> = </t>
    </r>
  </si>
  <si>
    <r>
      <t>К</t>
    </r>
    <r>
      <rPr>
        <b/>
        <sz val="10"/>
        <color indexed="8"/>
        <rFont val="Arial"/>
        <family val="2"/>
        <charset val="204"/>
      </rPr>
      <t>пр. д. ін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</si>
  <si>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Arial"/>
        <family val="2"/>
        <charset val="204"/>
      </rPr>
      <t>днів 1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</si>
  <si>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Arial"/>
        <family val="2"/>
        <charset val="204"/>
      </rPr>
      <t>днів 2</t>
    </r>
    <r>
      <rPr>
        <b/>
        <sz val="11"/>
        <color indexed="8"/>
        <rFont val="Arial"/>
        <family val="2"/>
        <charset val="204"/>
      </rPr>
      <t xml:space="preserve"> =</t>
    </r>
  </si>
  <si>
    <r>
      <t>К</t>
    </r>
    <r>
      <rPr>
        <b/>
        <sz val="10"/>
        <color indexed="8"/>
        <rFont val="Arial"/>
        <family val="2"/>
        <charset val="204"/>
      </rPr>
      <t>днів 3</t>
    </r>
    <r>
      <rPr>
        <b/>
        <sz val="11"/>
        <color indexed="8"/>
        <rFont val="Arial"/>
        <family val="2"/>
        <charset val="204"/>
      </rPr>
      <t xml:space="preserve"> =</t>
    </r>
  </si>
  <si>
    <r>
      <rPr>
        <b/>
        <sz val="11"/>
        <color indexed="8"/>
        <rFont val="Arial"/>
        <family val="2"/>
        <charset val="204"/>
      </rPr>
      <t>3. Особлива категорія особи, якій надається правова допомога:</t>
    </r>
    <r>
      <rPr>
        <sz val="11"/>
        <color indexed="8"/>
        <rFont val="Arial"/>
        <family val="2"/>
        <charset val="204"/>
      </rPr>
      <t xml:space="preserve">
</t>
    </r>
    <r>
      <rPr>
        <sz val="10"/>
        <color indexed="8"/>
        <rFont val="Arial Narrow"/>
        <family val="2"/>
        <charset val="204"/>
      </rPr>
      <t>зазначте, якщо особа належить до наведених нижче категорій</t>
    </r>
  </si>
  <si>
    <r>
      <t xml:space="preserve">4. Строк подання акта
</t>
    </r>
    <r>
      <rPr>
        <sz val="10"/>
        <color indexed="8"/>
        <rFont val="Arial Narrow"/>
        <family val="2"/>
        <charset val="204"/>
      </rPr>
      <t>починаючи з дня, наступного за днем завершення надання БВПД / відповідної стадії провадження (процесу)</t>
    </r>
  </si>
  <si>
    <t>- позовна заява або заява в порядку окремого провадження</t>
  </si>
  <si>
    <t>- заява про перегляд судового рішення ВСУ чи за нововиявленими обставинами або відповідне заперечення</t>
  </si>
  <si>
    <t>6. Коефіцієнт оскарження рішення щодо обрання запобіжного заходу особі, якій надається правова допомога</t>
  </si>
  <si>
    <r>
      <t>К</t>
    </r>
    <r>
      <rPr>
        <b/>
        <sz val="9"/>
        <color indexed="8"/>
        <rFont val="Arial"/>
        <family val="2"/>
        <charset val="204"/>
      </rPr>
      <t xml:space="preserve">виїздів = </t>
    </r>
  </si>
  <si>
    <r>
      <t>К</t>
    </r>
    <r>
      <rPr>
        <b/>
        <sz val="9"/>
        <color indexed="8"/>
        <rFont val="Arial"/>
        <family val="2"/>
        <charset val="204"/>
      </rPr>
      <t xml:space="preserve">прип = </t>
    </r>
  </si>
  <si>
    <r>
      <t>К</t>
    </r>
    <r>
      <rPr>
        <b/>
        <sz val="9"/>
        <color indexed="8"/>
        <rFont val="Arial"/>
        <family val="2"/>
        <charset val="204"/>
      </rPr>
      <t xml:space="preserve">ос. кат = </t>
    </r>
  </si>
  <si>
    <r>
      <t>К</t>
    </r>
    <r>
      <rPr>
        <b/>
        <sz val="9"/>
        <color indexed="8"/>
        <rFont val="Arial"/>
        <family val="2"/>
        <charset val="204"/>
      </rPr>
      <t xml:space="preserve">дій = </t>
    </r>
  </si>
  <si>
    <r>
      <t>К</t>
    </r>
    <r>
      <rPr>
        <b/>
        <sz val="9"/>
        <color indexed="8"/>
        <rFont val="Arial"/>
        <family val="2"/>
        <charset val="204"/>
      </rPr>
      <t xml:space="preserve">ос. час = </t>
    </r>
  </si>
  <si>
    <r>
      <t>К</t>
    </r>
    <r>
      <rPr>
        <b/>
        <sz val="9"/>
        <color indexed="8"/>
        <rFont val="Arial"/>
        <family val="2"/>
        <charset val="204"/>
      </rPr>
      <t xml:space="preserve">оск = </t>
    </r>
  </si>
  <si>
    <r>
      <t>О</t>
    </r>
    <r>
      <rPr>
        <b/>
        <sz val="9"/>
        <color indexed="8"/>
        <rFont val="Arial"/>
        <family val="2"/>
        <charset val="204"/>
      </rPr>
      <t xml:space="preserve">год = </t>
    </r>
  </si>
  <si>
    <r>
      <t xml:space="preserve">7. Розмір прожиткового мінімуму, грн.
</t>
    </r>
    <r>
      <rPr>
        <sz val="10.5"/>
        <color indexed="8"/>
        <rFont val="Arial Narrow"/>
        <family val="2"/>
        <charset val="204"/>
      </rPr>
      <t>для працездатних осіб на момент подання адвокатом акта</t>
    </r>
  </si>
  <si>
    <r>
      <t xml:space="preserve">8. Строк подання акта
</t>
    </r>
    <r>
      <rPr>
        <sz val="10"/>
        <color indexed="8"/>
        <rFont val="Arial Narrow"/>
        <family val="2"/>
        <charset val="204"/>
      </rPr>
      <t>починаючи з дня, наступного за днем завершення надання БВПД / відповідної стадії провадження (процесу)</t>
    </r>
  </si>
  <si>
    <t>Розмір винагороди адвоката за надання БВПД (обрати)
[ЗЗ] особі, яка відповідно до положень кримінального процесуального законодавства вважається затриманою
та / або стосовно якої обрано запобіжний захід у вигляді тримання під вартою</t>
  </si>
  <si>
    <r>
      <t>К</t>
    </r>
    <r>
      <rPr>
        <b/>
        <sz val="10"/>
        <color indexed="8"/>
        <rFont val="Arial"/>
        <family val="2"/>
        <charset val="204"/>
      </rPr>
      <t>оск</t>
    </r>
    <r>
      <rPr>
        <b/>
        <sz val="11"/>
        <color indexed="8"/>
        <rFont val="Arial"/>
        <family val="2"/>
        <charset val="204"/>
      </rPr>
      <t xml:space="preserve"> = </t>
    </r>
  </si>
  <si>
    <t>Розмір винагороди адвоката за надання БВПД
[ЕКС] у процедурах, пов’язаних з видачею особи (екстрадицією)</t>
  </si>
  <si>
    <t>6. Оскарження обрання особі, щодо якої розглядається питання про екстрадицію, ЗЗ чи рішення про екстрадицію:</t>
  </si>
  <si>
    <t>Розмір винагороди адвоката за надання БВПД
[АЗ] особі, до якої застосовано адміністративне затримання та / або адміністративний арешт,
або [ОПД] у разі залучення до окремої процесуальної дії</t>
  </si>
  <si>
    <t>А. Чи подавалося слідчим / прокурором клопотання про обрання затриманій особі ЗЗ
у вигляді тримання під вартою?</t>
  </si>
  <si>
    <t>Б. Чи подавали Ви апеляційну скаргу адвоката на судове рішення про обрання ЗЗ
у вигляді тримання під вартою?</t>
  </si>
  <si>
    <t>В. Чи подавала сторона обвинувачення апеляційну скаргу на судове рішення
про обрання ЗЗ більш м’якого, ніж тримання під вартою, або ухвалу про відмову
в застосуванні ЗЗ?</t>
  </si>
  <si>
    <t>- апеляційна скарга або відповідне заперечення</t>
  </si>
  <si>
    <t>- касаційна скарга або відповідне заперечення</t>
  </si>
  <si>
    <t>- у межах району, міста загальнодержавного або обласного (республіканського АРК) значення, де розташоване робоче місце адвоката</t>
  </si>
  <si>
    <t>- за межами району, міста загальнодержавного або обласного (республіканського АРК) значення, де розташоване робоче місце адвоката, але у межах відповідного регіону</t>
  </si>
  <si>
    <t>- за межами регіону, де розташоване робоче місце адвоката</t>
  </si>
  <si>
    <t>Кдій</t>
  </si>
  <si>
    <t>&gt;</t>
  </si>
  <si>
    <t>MED</t>
  </si>
  <si>
    <t>MedRes</t>
  </si>
  <si>
    <t>суд під час судового розгляду працював одним складом</t>
  </si>
  <si>
    <r>
      <t xml:space="preserve">2.2. Коефіцієнт зміни складу суду
</t>
    </r>
    <r>
      <rPr>
        <sz val="10"/>
        <color indexed="8"/>
        <rFont val="Arial Narrow"/>
        <family val="2"/>
        <charset val="204"/>
      </rPr>
      <t>вкажіть кількість змін складу суду</t>
    </r>
    <r>
      <rPr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</rPr>
      <t xml:space="preserve">під час судового розгляду, </t>
    </r>
    <r>
      <rPr>
        <b/>
        <sz val="10"/>
        <color indexed="8"/>
        <rFont val="Arial"/>
        <family val="2"/>
      </rPr>
      <t>що призвело до розгляду справи спочатку</t>
    </r>
  </si>
  <si>
    <t xml:space="preserve">зустрічних позовів або відзивів на позовну заяву (відзив), </t>
  </si>
  <si>
    <t>- позовна заява або заява у порядку окремого провадження (за умови відкриття провадження)</t>
  </si>
  <si>
    <t>- зустрічний позов або відзив на позовну заяву (відзив)</t>
  </si>
  <si>
    <t>- відповідь на відзив, заперечення, пояснення третьої особи щодо позову або відзиву</t>
  </si>
  <si>
    <t>- заява про перегляд судового рішення ВСУ чи за нововиявленими обставинами (за умови відкриття провадження). відзив або відповідне заперечення</t>
  </si>
  <si>
    <r>
      <t xml:space="preserve">3.1.2. Додатковий коефіцієнт складності кримінального провадження за ступенем тяжкості </t>
    </r>
    <r>
      <rPr>
        <b/>
        <sz val="11"/>
        <color indexed="8"/>
        <rFont val="Arial"/>
        <family val="2"/>
        <charset val="204"/>
      </rPr>
      <t>кримінального правопорушення</t>
    </r>
    <r>
      <rPr>
        <sz val="11"/>
        <color indexed="8"/>
        <rFont val="Arial"/>
        <family val="2"/>
        <charset val="204"/>
      </rPr>
      <t xml:space="preserve">:
</t>
    </r>
    <r>
      <rPr>
        <sz val="10"/>
        <color indexed="8"/>
        <rFont val="Arial Narrow"/>
        <family val="2"/>
        <charset val="204"/>
      </rPr>
      <t>якщо у провадженні понад 1 епізод, вкажіть кількість епізодів за ступенями тяжкості</t>
    </r>
  </si>
  <si>
    <t>3.1. Сумарний коефіцієнт складності кримінального провадження за ступенем тяжкості кримінального правопорушення</t>
  </si>
  <si>
    <t>3.1.1. Основний коефіцієнт складності кримінального провадження за ступенем тяжкості кримінального правопорушення</t>
  </si>
  <si>
    <t>кримінальний проступок</t>
  </si>
  <si>
    <t>нетяжкий злочин</t>
  </si>
  <si>
    <t>тяжкий злочин</t>
  </si>
  <si>
    <t>особливо тяжкий злочин</t>
  </si>
  <si>
    <t>злочин з посягання на життя</t>
  </si>
  <si>
    <t>особливо тяжкий злочин (колегіальний розгляд судом)</t>
  </si>
  <si>
    <t>злочин з посягання на життя*</t>
  </si>
  <si>
    <t>Кількість окремих судових проваджень за участі адвоката, відкритих у разі оскарження адвокатом у судовому порядку в інтересах захисту особи у кримінальному провадженні незаконних рішень, дій чи бездіяльності органу, що провадить оперативно-розшукову діяльність, слідчого, прокурора та/або підготовки та подання адвокатом заяви про вчинене щодо особи кримінальне правопорушення</t>
  </si>
  <si>
    <r>
      <t>6) Зміна правової кваліфікації кримінального правопорушення</t>
    </r>
    <r>
      <rPr>
        <sz val="11"/>
        <color indexed="8"/>
        <rFont val="Arial"/>
        <family val="2"/>
        <charset val="204"/>
      </rPr>
      <t>:</t>
    </r>
  </si>
  <si>
    <t>а) у разі зниження найвищого ступеня тяжкості кримінального правопорушення (за всіма епізодами), у вчиненні якого підозрюється (обвинувачується) особа:</t>
  </si>
  <si>
    <t>нетяжкого злочину</t>
  </si>
  <si>
    <t>кримінального проступку</t>
  </si>
  <si>
    <r>
      <t xml:space="preserve">4) Закриття провадження за відсутності складу кримінального правопорушення, події кримінального правопорушення, у разі невстановлення доказів для доведення винуватості особи в суді і вичерпання можливостей їх отримання щодо:
</t>
    </r>
    <r>
      <rPr>
        <sz val="10"/>
        <color indexed="8"/>
        <rFont val="Arial Narrow"/>
        <family val="2"/>
        <charset val="204"/>
      </rPr>
      <t>(у разі, коли провадження закрито щодо кількох кримінальних правопорушень, застосовується один коефіцієнт для максимального ступеня тяжкості кримінальних правопорушень)</t>
    </r>
  </si>
  <si>
    <r>
      <t xml:space="preserve">3) Ухвалення виправдувального вироку або скасування обвинувального вироку та закриття провадження судом апеляційної, касаційної інстанції, Верховним Судом України щодо:
</t>
    </r>
    <r>
      <rPr>
        <sz val="10"/>
        <color indexed="8"/>
        <rFont val="Arial Narrow"/>
        <family val="2"/>
        <charset val="204"/>
      </rPr>
      <t>(у разі, коли особа виправдана у вчиненні кількох кримінальних правопорушень різного ступеня тяжкості, застосовується один коефіцієнт для максимального ступеня тяжкості кримінального правопорушення)</t>
    </r>
  </si>
  <si>
    <r>
      <rPr>
        <sz val="11"/>
        <color indexed="8"/>
        <rFont val="Arial"/>
        <family val="2"/>
        <charset val="204"/>
      </rPr>
      <t>9) Призначення найменш суворого з передбачених відповідною статтею особливої частини КК альтернативних покарань або більш м’якого покарання, ніж передбачено законом (стаття 69 зазначеного кодексу)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indexed="8"/>
        <rFont val="Arial Narrow"/>
        <family val="2"/>
        <charset val="204"/>
      </rPr>
      <t>у разі призначення такого покарання за всіма епізодами найвищого ступеня тяжкості кримінального правопорушення, у скоєнні якого підозрюється, обвинувачується особа, а також у випадках призначення такого покарання за частиною епізодів найвищого ступеня тяжкості, санкція за які, передбачена відповідною статтею Особливої частини КК, є максимальною</t>
    </r>
  </si>
  <si>
    <t>11) Застосування примусових заходів виховного характеру, не пов’язаних з направленням неповнолітнього до спеціальної навчальної установи, у разі вчинення ним нетяжкого злочину або кримінального проступку:</t>
  </si>
  <si>
    <t>особливо тяжкий злочин (у разі здійснення провадження судом колегіально)</t>
  </si>
  <si>
    <t>зі злочину з посягання на життя на нетяжкий</t>
  </si>
  <si>
    <t>зі злочину з посягання на життя на кримінальний проступок</t>
  </si>
  <si>
    <t>з особливо тяжкого на нетяжкий</t>
  </si>
  <si>
    <t>з особливо тяжкого на кримінальний проступок</t>
  </si>
  <si>
    <t>з тяжкого на нетяжкий</t>
  </si>
  <si>
    <t>з тяжкого на кримінальний проступок</t>
  </si>
  <si>
    <t>із нетяжкого на кримінальний проступок</t>
  </si>
  <si>
    <r>
      <t xml:space="preserve">2.2. Коефіцієнт повноти розгляду доказів судом
</t>
    </r>
    <r>
      <rPr>
        <b/>
        <sz val="10"/>
        <color indexed="10"/>
        <rFont val="Arial Narrow"/>
        <family val="2"/>
        <charset val="204"/>
      </rPr>
      <t>обрати «так» лише у разі розгляду судом обвинувального акта щодо вчинення кримінального проступку в спрощеному провадженні відповідно до частини третьої статті 382 КПК та/або стаття 349 КПК</t>
    </r>
  </si>
  <si>
    <r>
      <rPr>
        <i/>
        <sz val="11"/>
        <color indexed="8"/>
        <rFont val="Arial"/>
        <family val="2"/>
        <charset val="204"/>
      </rPr>
      <t>- до 1 місяця</t>
    </r>
  </si>
  <si>
    <r>
      <rPr>
        <i/>
        <sz val="11"/>
        <color indexed="8"/>
        <rFont val="Arial"/>
        <family val="2"/>
        <charset val="204"/>
      </rPr>
      <t>- до 3 місяців, але понад 1 місяць</t>
    </r>
  </si>
  <si>
    <r>
      <rPr>
        <i/>
        <sz val="11"/>
        <color indexed="8"/>
        <rFont val="Arial"/>
        <family val="2"/>
        <charset val="204"/>
      </rPr>
      <t>- до 6 місяців, але понад 3 місяці</t>
    </r>
  </si>
  <si>
    <r>
      <rPr>
        <i/>
        <sz val="11"/>
        <color indexed="8"/>
        <rFont val="Arial"/>
        <family val="2"/>
        <charset val="204"/>
      </rPr>
      <t>- до 12 місяців, але понад 6 місяців</t>
    </r>
  </si>
  <si>
    <t>продовження строку досудового розслідування відповідно до статті 294 КПК під час надання адвокатом БВПД:</t>
  </si>
  <si>
    <t>4. ПЗМХ до і після провадження:</t>
  </si>
  <si>
    <r>
      <t xml:space="preserve">5. Розмір прожиткового мінімуму, грн.
</t>
    </r>
    <r>
      <rPr>
        <sz val="10.5"/>
        <color indexed="8"/>
        <rFont val="Arial Narrow"/>
        <family val="2"/>
        <charset val="204"/>
      </rPr>
      <t>для працездатних осіб на момент подання адвокатом акта</t>
    </r>
  </si>
  <si>
    <t>про забезпечення/витребування доказів</t>
  </si>
  <si>
    <t>про поновлення/продовження строків</t>
  </si>
  <si>
    <t>про відстрочення та розстрочення судових витрат, зменшення їх розміру або звільнення від їх сплати</t>
  </si>
  <si>
    <t>про призначення експертизи</t>
  </si>
  <si>
    <t>заяв про зміну предмета або підстав позову, збільшення (зменшення) позовних вимог</t>
  </si>
  <si>
    <t>про забезпечення позову</t>
  </si>
  <si>
    <t>Кпд інш =</t>
  </si>
  <si>
    <r>
      <t xml:space="preserve">3. Кількість складених та поданих клопотань
</t>
    </r>
    <r>
      <rPr>
        <sz val="10"/>
        <color indexed="8"/>
        <rFont val="Arial Narrow"/>
        <family val="2"/>
        <charset val="204"/>
      </rPr>
      <t>у разі наявності</t>
    </r>
  </si>
  <si>
    <t>- в режимі відеоконференції</t>
  </si>
  <si>
    <t>Ксуд 4 =</t>
  </si>
  <si>
    <t>5. Кількість доручень, за якими адвокат надавав правничу допомогу в одному судовому провадженні</t>
  </si>
  <si>
    <r>
      <rPr>
        <b/>
        <sz val="11"/>
        <color indexed="8"/>
        <rFont val="Arial"/>
        <family val="2"/>
        <charset val="204"/>
      </rPr>
      <t>6. Особлива категорія особи, якій надається правова допомога:</t>
    </r>
    <r>
      <rPr>
        <sz val="11"/>
        <color indexed="8"/>
        <rFont val="Arial"/>
        <family val="2"/>
        <charset val="204"/>
      </rPr>
      <t xml:space="preserve">
</t>
    </r>
    <r>
      <rPr>
        <sz val="10"/>
        <color indexed="8"/>
        <rFont val="Arial Narrow"/>
        <family val="2"/>
        <charset val="204"/>
      </rPr>
      <t>зазначте, якщо особа належить до наведених нижче категорій</t>
    </r>
  </si>
  <si>
    <t>m =</t>
  </si>
  <si>
    <r>
      <t xml:space="preserve">2. Кількість підготовлених (за умови відкриття провадження) заяв про виправлення помилки у виконавчому документі та визнання його таким, що підлягає виконанню:
</t>
    </r>
    <r>
      <rPr>
        <sz val="10"/>
        <color indexed="8"/>
        <rFont val="Arial Narrow"/>
        <family val="2"/>
        <charset val="204"/>
      </rPr>
      <t>у разі наявності</t>
    </r>
  </si>
  <si>
    <t>- про поновлення пропущеного строку для пред’явлення виконавчого документа до виконання</t>
  </si>
  <si>
    <t>- про відстрочення і розстрочення виконання, зміну чи встановлення способу і порядку виконання рішення</t>
  </si>
  <si>
    <t>- про заміну сторони виконавчого провадження</t>
  </si>
  <si>
    <t>- про поворот виконання рішення</t>
  </si>
  <si>
    <t>- про відновлення втраченого судового провадження, скарг у процесі здійснення судового контролю за виконанням судових рішень</t>
  </si>
  <si>
    <t>- клопотань про надання дозволу на примусове виконання рішення іноземного суду</t>
  </si>
  <si>
    <t>- заперечень боржника проти клопотання про надання дозволу на примусове виконання рішення іноземного суду</t>
  </si>
  <si>
    <t>4. Кількість судових засідань, у яких взяв участь адвокат</t>
  </si>
  <si>
    <t>Ксуд =</t>
  </si>
  <si>
    <t>Розмір винагороди адвоката за надання БВПД
[ІНШ] протягом одного дня відповідно до доручення, виданого на виконання постанови слідчого, прокурора, ухвали слідчого судді, суду, за зверненням особи, засудженої до покарання у виді довічного позбавлення волі, позбавлення волі на певний строк, тримання в дисциплінарному батальйоні військовослужбовців або обмеження волі, за зверненням суб'єкта права на правничу допомогу щодо захисту в провадженнях про адміністративні правопорушення, в інших випадках, крім тих, що передбачені пунктами 3 - 7 Методики</t>
  </si>
  <si>
    <t>3. Кількість днів, протягом яких адвокатом надавалась правова допомога, у тому числі:</t>
  </si>
  <si>
    <t>2. У особи, засудженої до покарання у виді довічного позбавлення волі, позбавлення волі на певний строк, тримання в дисциплінарному батальйоні військовослужбовців або обмеження волі, відсутні відкриті судові провадження, в яких адвокат здійснює представництво, та відсутні підготовлені та подані до суду документи процесуального характеру</t>
  </si>
  <si>
    <t>- засуджена до покарання у виді довічного позбавлення волі, позбавлення волі на певний строк, тримання в дисциплінарному батальйоні військовослужбовців або обмеження волі</t>
  </si>
  <si>
    <r>
      <t xml:space="preserve">За результатами клопотання слідчого, прокурора про обрання затриманій особі запобіжного заходу </t>
    </r>
    <r>
      <rPr>
        <b/>
        <sz val="11"/>
        <color theme="0"/>
        <rFont val="Calibri"/>
        <family val="2"/>
        <scheme val="minor"/>
      </rPr>
      <t>призначено запобіжний захід у вигляді тримання під вартою</t>
    </r>
  </si>
  <si>
    <r>
      <t xml:space="preserve">За результатами клопотання слідчого, прокурора про обрання затриманій особі запобіжного заходу </t>
    </r>
    <r>
      <rPr>
        <b/>
        <sz val="11"/>
        <color theme="0"/>
        <rFont val="Calibri"/>
        <family val="2"/>
        <scheme val="minor"/>
      </rPr>
      <t>призначено більш м’який запобіжний захід</t>
    </r>
  </si>
  <si>
    <r>
      <t xml:space="preserve">За результатами апеляційного оскарження судового рішення про обрання запобіжного заходу </t>
    </r>
    <r>
      <rPr>
        <b/>
        <sz val="11"/>
        <color theme="0"/>
        <rFont val="Calibri"/>
        <family val="2"/>
        <scheme val="minor"/>
      </rPr>
      <t>запобіжний захід залишено без змін</t>
    </r>
  </si>
  <si>
    <r>
      <t xml:space="preserve">За результатами апеляційного оскарження судового рішення про обрання запобіжного заходу </t>
    </r>
    <r>
      <rPr>
        <b/>
        <sz val="11"/>
        <color theme="0"/>
        <rFont val="Calibri"/>
        <family val="2"/>
        <scheme val="minor"/>
      </rPr>
      <t>запобіжний захід змінено на більш м’який</t>
    </r>
  </si>
  <si>
    <t>Розмір винагороди адвоката за надання БВПД
представництва у суді з процесуальних питань, пов’язаних з виконанням судових рішень [ВСР], 
рішень інших органів (посадових осіб) та судовим контролем [СК] за виконанням судових рішень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</si>
</sst>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0.000"/>
  </numFmts>
  <fonts count="5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0"/>
      <color indexed="8"/>
      <name val="Arial Narrow"/>
      <family val="2"/>
      <charset val="204"/>
    </font>
    <font>
      <sz val="10.5"/>
      <color indexed="8"/>
      <name val="Arial Narrow"/>
      <family val="2"/>
      <charset val="204"/>
    </font>
    <font>
      <b/>
      <sz val="10.5"/>
      <color indexed="8"/>
      <name val="Arial Narrow"/>
      <family val="2"/>
      <charset val="204"/>
    </font>
    <font>
      <b/>
      <sz val="11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Symbol"/>
      <family val="1"/>
      <charset val="2"/>
    </font>
    <font>
      <b/>
      <sz val="9"/>
      <color indexed="8"/>
      <name val="Arial"/>
      <family val="2"/>
      <charset val="204"/>
    </font>
    <font>
      <b/>
      <sz val="10"/>
      <color indexed="8"/>
      <name val="Symbol"/>
      <family val="1"/>
      <charset val="2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286E28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0" tint="-0.14999847407452621"/>
      <name val="Arial"/>
      <family val="2"/>
      <charset val="204"/>
    </font>
    <font>
      <sz val="10.5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6C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86E2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251">
    <xf numFmtId="0" fontId="0" fillId="0" borderId="0" xfId="0"/>
    <xf numFmtId="0" fontId="26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27" fillId="2" borderId="1" xfId="0" applyFont="1" applyFill="1" applyBorder="1" applyAlignment="1" applyProtection="1">
      <alignment horizontal="left" vertical="center" wrapText="1"/>
      <protection hidden="1"/>
    </xf>
    <xf numFmtId="4" fontId="28" fillId="3" borderId="2" xfId="0" applyNumberFormat="1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hidden="1"/>
    </xf>
    <xf numFmtId="165" fontId="27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vertical="center" wrapText="1"/>
      <protection hidden="1"/>
    </xf>
    <xf numFmtId="0" fontId="10" fillId="2" borderId="2" xfId="0" applyFont="1" applyFill="1" applyBorder="1" applyAlignment="1" applyProtection="1">
      <alignment vertical="center" wrapText="1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vertical="center" wrapText="1"/>
      <protection hidden="1"/>
    </xf>
    <xf numFmtId="0" fontId="28" fillId="3" borderId="6" xfId="0" applyFont="1" applyFill="1" applyBorder="1" applyAlignment="1" applyProtection="1">
      <alignment horizontal="center" vertical="center"/>
      <protection locked="0" hidden="1"/>
    </xf>
    <xf numFmtId="0" fontId="28" fillId="2" borderId="5" xfId="0" applyFont="1" applyFill="1" applyBorder="1" applyAlignment="1" applyProtection="1">
      <alignment vertical="center" wrapText="1"/>
      <protection hidden="1"/>
    </xf>
    <xf numFmtId="0" fontId="28" fillId="2" borderId="3" xfId="0" applyFont="1" applyFill="1" applyBorder="1" applyAlignment="1" applyProtection="1">
      <alignment vertical="center" wrapText="1"/>
      <protection hidden="1"/>
    </xf>
    <xf numFmtId="0" fontId="28" fillId="2" borderId="2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vertical="center" wrapText="1"/>
      <protection hidden="1"/>
    </xf>
    <xf numFmtId="0" fontId="28" fillId="2" borderId="7" xfId="0" applyFont="1" applyFill="1" applyBorder="1" applyAlignment="1" applyProtection="1">
      <alignment vertical="center" wrapText="1"/>
      <protection hidden="1"/>
    </xf>
    <xf numFmtId="0" fontId="28" fillId="2" borderId="7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18" fillId="2" borderId="8" xfId="0" applyFont="1" applyFill="1" applyBorder="1" applyAlignment="1" applyProtection="1">
      <alignment horizontal="center" vertical="center"/>
      <protection hidden="1"/>
    </xf>
    <xf numFmtId="0" fontId="28" fillId="2" borderId="3" xfId="0" applyFont="1" applyFill="1" applyBorder="1" applyAlignment="1" applyProtection="1">
      <alignment horizontal="center" vertical="center" wrapText="1"/>
      <protection hidden="1"/>
    </xf>
    <xf numFmtId="0" fontId="28" fillId="2" borderId="2" xfId="0" applyFont="1" applyFill="1" applyBorder="1" applyAlignment="1" applyProtection="1">
      <alignment vertical="center" wrapText="1"/>
      <protection hidden="1"/>
    </xf>
    <xf numFmtId="0" fontId="28" fillId="5" borderId="2" xfId="0" applyFont="1" applyFill="1" applyBorder="1" applyAlignment="1" applyProtection="1">
      <alignment horizontal="center" vertical="center" wrapText="1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30" fillId="2" borderId="2" xfId="0" applyFont="1" applyFill="1" applyBorder="1" applyAlignment="1" applyProtection="1">
      <alignment vertical="center" wrapText="1"/>
      <protection hidden="1"/>
    </xf>
    <xf numFmtId="165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vertical="top"/>
      <protection hidden="1"/>
    </xf>
    <xf numFmtId="165" fontId="2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2" xfId="0" applyFont="1" applyFill="1" applyBorder="1" applyAlignment="1" applyProtection="1">
      <alignment horizontal="center" vertical="center" wrapText="1"/>
      <protection hidden="1"/>
    </xf>
    <xf numFmtId="0" fontId="29" fillId="2" borderId="2" xfId="0" applyFont="1" applyFill="1" applyBorder="1" applyAlignment="1" applyProtection="1">
      <alignment vertical="center" wrapText="1"/>
      <protection hidden="1"/>
    </xf>
    <xf numFmtId="165" fontId="2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Protection="1">
      <protection hidden="1"/>
    </xf>
    <xf numFmtId="0" fontId="28" fillId="5" borderId="7" xfId="0" applyFont="1" applyFill="1" applyBorder="1" applyAlignment="1" applyProtection="1">
      <alignment horizontal="center" vertical="top" wrapText="1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2" borderId="4" xfId="0" applyFill="1" applyBorder="1" applyAlignment="1" applyProtection="1">
      <alignment vertical="top"/>
      <protection hidden="1"/>
    </xf>
    <xf numFmtId="0" fontId="0" fillId="2" borderId="6" xfId="0" applyFill="1" applyBorder="1" applyAlignment="1" applyProtection="1">
      <alignment vertical="top"/>
      <protection hidden="1"/>
    </xf>
    <xf numFmtId="0" fontId="0" fillId="2" borderId="9" xfId="0" applyFill="1" applyBorder="1" applyAlignment="1" applyProtection="1">
      <alignment vertical="top"/>
      <protection hidden="1"/>
    </xf>
    <xf numFmtId="0" fontId="28" fillId="2" borderId="5" xfId="0" applyFont="1" applyFill="1" applyBorder="1" applyAlignment="1" applyProtection="1">
      <alignment horizontal="center" vertical="center" wrapText="1"/>
      <protection hidden="1"/>
    </xf>
    <xf numFmtId="0" fontId="29" fillId="0" borderId="6" xfId="0" quotePrefix="1" applyFont="1" applyBorder="1" applyAlignment="1" applyProtection="1">
      <alignment horizontal="left" vertical="center" wrapText="1"/>
      <protection hidden="1"/>
    </xf>
    <xf numFmtId="0" fontId="28" fillId="5" borderId="7" xfId="0" applyFont="1" applyFill="1" applyBorder="1" applyAlignment="1" applyProtection="1">
      <alignment horizontal="center" vertical="center" wrapText="1"/>
      <protection locked="0" hidden="1"/>
    </xf>
    <xf numFmtId="0" fontId="27" fillId="2" borderId="2" xfId="0" applyFont="1" applyFill="1" applyBorder="1" applyAlignment="1" applyProtection="1">
      <alignment vertical="center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2" fontId="2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" xfId="0" applyFont="1" applyBorder="1" applyAlignment="1" applyProtection="1">
      <alignment vertical="center" wrapText="1"/>
      <protection hidden="1"/>
    </xf>
    <xf numFmtId="0" fontId="29" fillId="2" borderId="3" xfId="0" applyFont="1" applyFill="1" applyBorder="1" applyAlignment="1" applyProtection="1">
      <alignment horizontal="center" vertical="center" wrapText="1"/>
      <protection hidden="1"/>
    </xf>
    <xf numFmtId="0" fontId="28" fillId="2" borderId="10" xfId="0" quotePrefix="1" applyFont="1" applyFill="1" applyBorder="1" applyAlignment="1" applyProtection="1">
      <alignment vertical="center" wrapText="1"/>
      <protection hidden="1"/>
    </xf>
    <xf numFmtId="0" fontId="28" fillId="2" borderId="1" xfId="0" quotePrefix="1" applyFont="1" applyFill="1" applyBorder="1" applyAlignment="1" applyProtection="1">
      <alignment vertical="center" wrapText="1"/>
      <protection hidden="1"/>
    </xf>
    <xf numFmtId="0" fontId="28" fillId="2" borderId="3" xfId="0" quotePrefix="1" applyFont="1" applyFill="1" applyBorder="1" applyAlignment="1" applyProtection="1">
      <alignment vertical="center" wrapText="1"/>
      <protection hidden="1"/>
    </xf>
    <xf numFmtId="0" fontId="28" fillId="2" borderId="10" xfId="0" applyFont="1" applyFill="1" applyBorder="1" applyAlignment="1" applyProtection="1">
      <alignment vertical="center" wrapText="1"/>
      <protection hidden="1"/>
    </xf>
    <xf numFmtId="0" fontId="26" fillId="2" borderId="5" xfId="0" applyFont="1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2" borderId="10" xfId="0" applyFont="1" applyFill="1" applyBorder="1" applyAlignment="1" applyProtection="1">
      <alignment horizontal="left" vertical="center" wrapText="1"/>
      <protection hidden="1"/>
    </xf>
    <xf numFmtId="0" fontId="29" fillId="2" borderId="5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 applyAlignment="1" applyProtection="1">
      <alignment horizontal="left" vertical="center" wrapText="1"/>
      <protection hidden="1"/>
    </xf>
    <xf numFmtId="0" fontId="28" fillId="0" borderId="7" xfId="0" applyFont="1" applyBorder="1" applyAlignment="1" applyProtection="1">
      <alignment horizontal="left" vertical="center"/>
      <protection hidden="1"/>
    </xf>
    <xf numFmtId="0" fontId="33" fillId="2" borderId="6" xfId="0" applyFont="1" applyFill="1" applyBorder="1" applyAlignment="1" applyProtection="1">
      <alignment horizontal="center" vertical="center"/>
      <protection hidden="1"/>
    </xf>
    <xf numFmtId="0" fontId="28" fillId="5" borderId="6" xfId="0" applyFont="1" applyFill="1" applyBorder="1" applyAlignment="1" applyProtection="1">
      <alignment horizontal="center" vertical="center" wrapText="1"/>
      <protection locked="0" hidden="1"/>
    </xf>
    <xf numFmtId="0" fontId="33" fillId="2" borderId="9" xfId="0" applyFont="1" applyFill="1" applyBorder="1" applyAlignment="1" applyProtection="1">
      <alignment horizontal="center" vertical="center"/>
      <protection hidden="1"/>
    </xf>
    <xf numFmtId="0" fontId="33" fillId="2" borderId="7" xfId="0" applyFont="1" applyFill="1" applyBorder="1" applyAlignment="1" applyProtection="1">
      <alignment vertical="center"/>
      <protection hidden="1"/>
    </xf>
    <xf numFmtId="0" fontId="33" fillId="2" borderId="11" xfId="0" applyFon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 wrapText="1"/>
      <protection hidden="1"/>
    </xf>
    <xf numFmtId="0" fontId="34" fillId="2" borderId="2" xfId="0" applyFon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locked="0" hidden="1"/>
    </xf>
    <xf numFmtId="0" fontId="28" fillId="2" borderId="8" xfId="0" applyFont="1" applyFill="1" applyBorder="1" applyAlignment="1" applyProtection="1">
      <alignment horizontal="left" vertical="center"/>
      <protection hidden="1"/>
    </xf>
    <xf numFmtId="0" fontId="27" fillId="2" borderId="2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top"/>
      <protection hidden="1"/>
    </xf>
    <xf numFmtId="0" fontId="0" fillId="0" borderId="10" xfId="0" applyBorder="1" applyAlignment="1" applyProtection="1">
      <alignment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28" fillId="0" borderId="0" xfId="0" applyFont="1" applyAlignment="1" applyProtection="1">
      <alignment vertical="top" wrapText="1"/>
      <protection hidden="1"/>
    </xf>
    <xf numFmtId="0" fontId="28" fillId="0" borderId="0" xfId="0" applyFont="1" applyAlignment="1" applyProtection="1">
      <alignment horizontal="left" vertical="top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2" fontId="35" fillId="0" borderId="0" xfId="0" applyNumberFormat="1" applyFont="1" applyAlignment="1" applyProtection="1">
      <alignment horizontal="center" vertical="top"/>
      <protection hidden="1"/>
    </xf>
    <xf numFmtId="0" fontId="36" fillId="2" borderId="5" xfId="0" applyFont="1" applyFill="1" applyBorder="1" applyAlignment="1" applyProtection="1">
      <alignment horizontal="justify" vertical="center" wrapText="1"/>
      <protection hidden="1"/>
    </xf>
    <xf numFmtId="0" fontId="37" fillId="0" borderId="0" xfId="0" applyFont="1" applyAlignment="1" applyProtection="1">
      <alignment horizontal="justify" vertical="center" wrapText="1"/>
      <protection hidden="1"/>
    </xf>
    <xf numFmtId="0" fontId="38" fillId="2" borderId="5" xfId="0" applyFont="1" applyFill="1" applyBorder="1" applyAlignment="1" applyProtection="1">
      <alignment horizontal="justify" vertical="center" wrapText="1"/>
      <protection hidden="1"/>
    </xf>
    <xf numFmtId="0" fontId="27" fillId="2" borderId="0" xfId="0" applyFont="1" applyFill="1" applyAlignment="1" applyProtection="1">
      <alignment horizontal="left" vertical="center" wrapText="1"/>
      <protection hidden="1"/>
    </xf>
    <xf numFmtId="1" fontId="30" fillId="2" borderId="2" xfId="0" applyNumberFormat="1" applyFont="1" applyFill="1" applyBorder="1" applyAlignment="1" applyProtection="1">
      <alignment horizontal="center" vertical="center"/>
      <protection hidden="1"/>
    </xf>
    <xf numFmtId="0" fontId="39" fillId="0" borderId="7" xfId="0" quotePrefix="1" applyFont="1" applyBorder="1" applyAlignment="1" applyProtection="1">
      <alignment vertical="center" wrapText="1"/>
      <protection hidden="1"/>
    </xf>
    <xf numFmtId="0" fontId="27" fillId="2" borderId="2" xfId="0" applyFont="1" applyFill="1" applyBorder="1" applyAlignment="1" applyProtection="1">
      <alignment horizontal="left" vertical="center" wrapText="1"/>
      <protection hidden="1"/>
    </xf>
    <xf numFmtId="1" fontId="27" fillId="2" borderId="2" xfId="0" applyNumberFormat="1" applyFont="1" applyFill="1" applyBorder="1" applyAlignment="1" applyProtection="1">
      <alignment horizontal="center" vertical="center"/>
      <protection hidden="1"/>
    </xf>
    <xf numFmtId="2" fontId="30" fillId="2" borderId="2" xfId="0" applyNumberFormat="1" applyFont="1" applyFill="1" applyBorder="1" applyAlignment="1" applyProtection="1">
      <alignment horizontal="left" vertical="center"/>
      <protection hidden="1"/>
    </xf>
    <xf numFmtId="0" fontId="39" fillId="0" borderId="7" xfId="0" quotePrefix="1" applyFont="1" applyBorder="1" applyAlignment="1" applyProtection="1">
      <alignment horizontal="justify" vertical="center" wrapText="1"/>
      <protection hidden="1"/>
    </xf>
    <xf numFmtId="0" fontId="36" fillId="2" borderId="3" xfId="0" applyFont="1" applyFill="1" applyBorder="1" applyAlignment="1" applyProtection="1">
      <alignment vertical="center" wrapText="1"/>
      <protection hidden="1"/>
    </xf>
    <xf numFmtId="0" fontId="28" fillId="0" borderId="0" xfId="0" applyFont="1" applyAlignment="1" applyProtection="1">
      <alignment horizontal="left" vertical="top" wrapText="1"/>
      <protection hidden="1"/>
    </xf>
    <xf numFmtId="0" fontId="36" fillId="5" borderId="7" xfId="0" applyFont="1" applyFill="1" applyBorder="1" applyAlignment="1" applyProtection="1">
      <alignment horizontal="justify" vertical="center" wrapText="1"/>
      <protection locked="0" hidden="1"/>
    </xf>
    <xf numFmtId="1" fontId="28" fillId="5" borderId="0" xfId="0" applyNumberFormat="1" applyFont="1" applyFill="1" applyAlignment="1" applyProtection="1">
      <alignment horizontal="center" vertical="center"/>
      <protection locked="0" hidden="1"/>
    </xf>
    <xf numFmtId="1" fontId="28" fillId="5" borderId="2" xfId="0" applyNumberFormat="1" applyFont="1" applyFill="1" applyBorder="1" applyAlignment="1" applyProtection="1">
      <alignment horizontal="center" vertical="center"/>
      <protection locked="0" hidden="1"/>
    </xf>
    <xf numFmtId="1" fontId="28" fillId="5" borderId="3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hidden="1"/>
    </xf>
    <xf numFmtId="0" fontId="28" fillId="0" borderId="12" xfId="0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40" fillId="0" borderId="12" xfId="0" applyFont="1" applyBorder="1" applyAlignment="1" applyProtection="1">
      <alignment horizontal="left" vertical="center"/>
      <protection hidden="1"/>
    </xf>
    <xf numFmtId="0" fontId="27" fillId="2" borderId="4" xfId="0" applyFont="1" applyFill="1" applyBorder="1" applyAlignment="1" applyProtection="1">
      <alignment horizontal="left" vertical="center" wrapText="1"/>
      <protection hidden="1"/>
    </xf>
    <xf numFmtId="0" fontId="28" fillId="3" borderId="4" xfId="0" applyFont="1" applyFill="1" applyBorder="1" applyAlignment="1" applyProtection="1">
      <alignment horizontal="center" vertical="center"/>
      <protection locked="0" hidden="1"/>
    </xf>
    <xf numFmtId="0" fontId="28" fillId="2" borderId="2" xfId="0" applyFont="1" applyFill="1" applyBorder="1" applyAlignment="1" applyProtection="1">
      <alignment horizontal="center" vertical="center"/>
      <protection hidden="1"/>
    </xf>
    <xf numFmtId="0" fontId="27" fillId="2" borderId="10" xfId="0" applyFont="1" applyFill="1" applyBorder="1" applyAlignment="1" applyProtection="1">
      <alignment horizontal="left" vertical="center" wrapText="1"/>
      <protection hidden="1"/>
    </xf>
    <xf numFmtId="0" fontId="41" fillId="2" borderId="4" xfId="0" applyFont="1" applyFill="1" applyBorder="1" applyAlignment="1" applyProtection="1">
      <alignment horizontal="center" vertical="center"/>
      <protection hidden="1"/>
    </xf>
    <xf numFmtId="0" fontId="29" fillId="0" borderId="0" xfId="0" quotePrefix="1" applyFont="1" applyAlignment="1" applyProtection="1">
      <alignment horizontal="left" vertical="center" wrapText="1"/>
      <protection hidden="1"/>
    </xf>
    <xf numFmtId="0" fontId="29" fillId="0" borderId="13" xfId="0" quotePrefix="1" applyFont="1" applyBorder="1" applyAlignment="1" applyProtection="1">
      <alignment horizontal="left" vertical="center" wrapText="1"/>
      <protection hidden="1"/>
    </xf>
    <xf numFmtId="0" fontId="28" fillId="3" borderId="9" xfId="0" applyFont="1" applyFill="1" applyBorder="1" applyAlignment="1" applyProtection="1">
      <alignment horizontal="center" vertical="center"/>
      <protection locked="0" hidden="1"/>
    </xf>
    <xf numFmtId="0" fontId="29" fillId="0" borderId="11" xfId="0" quotePrefix="1" applyFont="1" applyBorder="1" applyAlignment="1" applyProtection="1">
      <alignment horizontal="left" vertical="center" wrapText="1"/>
      <protection hidden="1"/>
    </xf>
    <xf numFmtId="0" fontId="28" fillId="3" borderId="2" xfId="0" applyFont="1" applyFill="1" applyBorder="1" applyAlignment="1" applyProtection="1">
      <alignment horizontal="center" vertical="center"/>
      <protection locked="0" hidden="1"/>
    </xf>
    <xf numFmtId="0" fontId="28" fillId="2" borderId="3" xfId="0" applyFont="1" applyFill="1" applyBorder="1" applyAlignment="1" applyProtection="1">
      <alignment horizontal="center" vertical="center"/>
      <protection hidden="1"/>
    </xf>
    <xf numFmtId="0" fontId="42" fillId="2" borderId="2" xfId="0" quotePrefix="1" applyFont="1" applyFill="1" applyBorder="1" applyAlignment="1" applyProtection="1">
      <alignment horizontal="left" vertical="center" wrapText="1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  <xf numFmtId="10" fontId="28" fillId="2" borderId="6" xfId="0" applyNumberFormat="1" applyFont="1" applyFill="1" applyBorder="1" applyAlignment="1" applyProtection="1">
      <alignment horizontal="center" vertical="center"/>
      <protection hidden="1"/>
    </xf>
    <xf numFmtId="0" fontId="29" fillId="0" borderId="14" xfId="0" quotePrefix="1" applyFont="1" applyBorder="1" applyAlignment="1" applyProtection="1">
      <alignment horizontal="left" vertical="center" wrapText="1"/>
      <protection hidden="1"/>
    </xf>
    <xf numFmtId="0" fontId="27" fillId="2" borderId="0" xfId="0" quotePrefix="1" applyFont="1" applyFill="1" applyAlignment="1" applyProtection="1">
      <alignment horizontal="left" vertical="center" wrapText="1"/>
      <protection hidden="1"/>
    </xf>
    <xf numFmtId="0" fontId="41" fillId="2" borderId="2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28" fillId="3" borderId="11" xfId="0" applyFont="1" applyFill="1" applyBorder="1" applyAlignment="1" applyProtection="1">
      <alignment vertical="center" wrapText="1"/>
      <protection locked="0"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0" fontId="28" fillId="0" borderId="7" xfId="0" applyFont="1" applyBorder="1" applyAlignment="1" applyProtection="1">
      <alignment vertical="center" wrapText="1"/>
      <protection hidden="1"/>
    </xf>
    <xf numFmtId="0" fontId="26" fillId="0" borderId="0" xfId="0" applyFont="1" applyProtection="1">
      <protection hidden="1"/>
    </xf>
    <xf numFmtId="0" fontId="28" fillId="0" borderId="11" xfId="0" applyFont="1" applyBorder="1" applyAlignment="1" applyProtection="1">
      <alignment vertical="center" wrapText="1"/>
      <protection hidden="1"/>
    </xf>
    <xf numFmtId="4" fontId="28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28" fillId="2" borderId="3" xfId="0" applyNumberFormat="1" applyFont="1" applyFill="1" applyBorder="1" applyAlignment="1" applyProtection="1">
      <alignment horizontal="center" vertical="center"/>
      <protection hidden="1"/>
    </xf>
    <xf numFmtId="0" fontId="27" fillId="2" borderId="2" xfId="0" applyFont="1" applyFill="1" applyBorder="1" applyAlignment="1" applyProtection="1">
      <alignment vertical="top" wrapText="1"/>
      <protection hidden="1"/>
    </xf>
    <xf numFmtId="0" fontId="0" fillId="0" borderId="10" xfId="0" applyBorder="1" applyProtection="1">
      <protection hidden="1"/>
    </xf>
    <xf numFmtId="0" fontId="28" fillId="5" borderId="0" xfId="0" applyFont="1" applyFill="1" applyAlignment="1" applyProtection="1">
      <alignment horizontal="center" vertical="center" wrapText="1"/>
      <protection hidden="1"/>
    </xf>
    <xf numFmtId="0" fontId="27" fillId="2" borderId="7" xfId="0" quotePrefix="1" applyFont="1" applyFill="1" applyBorder="1" applyAlignment="1" applyProtection="1">
      <alignment vertical="center" wrapText="1"/>
      <protection hidden="1"/>
    </xf>
    <xf numFmtId="0" fontId="41" fillId="2" borderId="6" xfId="0" applyFont="1" applyFill="1" applyBorder="1" applyAlignment="1" applyProtection="1">
      <alignment horizontal="center" vertical="center"/>
      <protection hidden="1"/>
    </xf>
    <xf numFmtId="0" fontId="28" fillId="3" borderId="13" xfId="0" applyFont="1" applyFill="1" applyBorder="1" applyAlignment="1" applyProtection="1">
      <alignment vertical="center" wrapText="1"/>
      <protection locked="0" hidden="1"/>
    </xf>
    <xf numFmtId="0" fontId="27" fillId="2" borderId="0" xfId="0" quotePrefix="1" applyFont="1" applyFill="1" applyAlignment="1" applyProtection="1">
      <alignment vertical="center" wrapText="1"/>
      <protection hidden="1"/>
    </xf>
    <xf numFmtId="0" fontId="29" fillId="0" borderId="7" xfId="0" quotePrefix="1" applyFont="1" applyBorder="1" applyAlignment="1" applyProtection="1">
      <alignment horizontal="left" vertical="center"/>
      <protection hidden="1"/>
    </xf>
    <xf numFmtId="0" fontId="29" fillId="2" borderId="7" xfId="0" quotePrefix="1" applyFont="1" applyFill="1" applyBorder="1" applyAlignment="1" applyProtection="1">
      <alignment horizontal="left" vertical="center"/>
      <protection hidden="1"/>
    </xf>
    <xf numFmtId="0" fontId="29" fillId="0" borderId="7" xfId="0" applyFont="1" applyBorder="1" applyAlignment="1" applyProtection="1">
      <alignment vertical="center"/>
      <protection hidden="1"/>
    </xf>
    <xf numFmtId="0" fontId="28" fillId="2" borderId="7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10" fontId="27" fillId="2" borderId="7" xfId="0" applyNumberFormat="1" applyFont="1" applyFill="1" applyBorder="1" applyAlignment="1" applyProtection="1">
      <alignment horizontal="center" vertical="center"/>
      <protection hidden="1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0" xfId="0" applyFont="1" applyFill="1" applyBorder="1" applyAlignment="1" applyProtection="1">
      <alignment horizontal="center" vertical="center"/>
      <protection hidden="1"/>
    </xf>
    <xf numFmtId="0" fontId="27" fillId="2" borderId="7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Protection="1">
      <protection hidden="1"/>
    </xf>
    <xf numFmtId="0" fontId="28" fillId="2" borderId="0" xfId="0" applyFont="1" applyFill="1" applyAlignment="1" applyProtection="1">
      <alignment vertical="center" wrapText="1"/>
      <protection hidden="1"/>
    </xf>
    <xf numFmtId="0" fontId="25" fillId="2" borderId="5" xfId="0" applyFont="1" applyFill="1" applyBorder="1" applyAlignment="1" applyProtection="1">
      <alignment vertical="center" wrapText="1"/>
      <protection hidden="1"/>
    </xf>
    <xf numFmtId="164" fontId="27" fillId="2" borderId="3" xfId="1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0" fontId="48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49" fillId="2" borderId="15" xfId="0" applyFont="1" applyFill="1" applyBorder="1" applyAlignment="1" applyProtection="1">
      <alignment horizontal="center" vertical="center"/>
      <protection hidden="1"/>
    </xf>
    <xf numFmtId="0" fontId="41" fillId="2" borderId="1" xfId="0" applyFont="1" applyFill="1" applyBorder="1" applyAlignment="1" applyProtection="1">
      <alignment vertical="center"/>
      <protection hidden="1"/>
    </xf>
    <xf numFmtId="0" fontId="27" fillId="2" borderId="8" xfId="0" applyFont="1" applyFill="1" applyBorder="1" applyAlignment="1" applyProtection="1">
      <alignment horizontal="center" vertical="center"/>
      <protection hidden="1"/>
    </xf>
    <xf numFmtId="0" fontId="26" fillId="6" borderId="0" xfId="0" applyFont="1" applyFill="1"/>
    <xf numFmtId="0" fontId="26" fillId="6" borderId="0" xfId="0" applyFont="1" applyFill="1" applyAlignment="1">
      <alignment wrapText="1"/>
    </xf>
    <xf numFmtId="0" fontId="26" fillId="6" borderId="0" xfId="0" quotePrefix="1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32" fillId="6" borderId="0" xfId="0" applyFont="1" applyFill="1"/>
    <xf numFmtId="0" fontId="26" fillId="6" borderId="0" xfId="0" applyFont="1" applyFill="1" applyAlignment="1">
      <alignment horizontal="left" vertical="top" wrapText="1"/>
    </xf>
    <xf numFmtId="0" fontId="26" fillId="6" borderId="0" xfId="0" quotePrefix="1" applyFont="1" applyFill="1" applyAlignment="1">
      <alignment vertical="top" wrapText="1"/>
    </xf>
    <xf numFmtId="0" fontId="26" fillId="6" borderId="0" xfId="0" applyFont="1" applyFill="1" applyAlignment="1">
      <alignment horizontal="left" vertical="top"/>
    </xf>
    <xf numFmtId="0" fontId="26" fillId="6" borderId="0" xfId="0" quotePrefix="1" applyFont="1" applyFill="1" applyAlignment="1">
      <alignment horizontal="left" vertical="top"/>
    </xf>
    <xf numFmtId="0" fontId="26" fillId="6" borderId="0" xfId="0" quotePrefix="1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/>
    </xf>
    <xf numFmtId="0" fontId="50" fillId="6" borderId="0" xfId="0" applyFont="1" applyFill="1" applyAlignment="1">
      <alignment horizontal="left" vertical="center" wrapText="1"/>
    </xf>
    <xf numFmtId="0" fontId="50" fillId="6" borderId="0" xfId="0" applyFont="1" applyFill="1" applyAlignment="1">
      <alignment wrapText="1"/>
    </xf>
    <xf numFmtId="0" fontId="50" fillId="6" borderId="0" xfId="0" applyFont="1" applyFill="1"/>
    <xf numFmtId="0" fontId="50" fillId="7" borderId="0" xfId="0" applyFont="1" applyFill="1"/>
    <xf numFmtId="0" fontId="43" fillId="5" borderId="12" xfId="0" applyFont="1" applyFill="1" applyBorder="1" applyAlignment="1" applyProtection="1">
      <alignment horizontal="left" vertical="center" wrapText="1"/>
      <protection hidden="1"/>
    </xf>
    <xf numFmtId="0" fontId="43" fillId="5" borderId="0" xfId="0" applyFont="1" applyFill="1" applyAlignment="1" applyProtection="1">
      <alignment horizontal="left" vertical="center" wrapText="1"/>
      <protection hidden="1"/>
    </xf>
    <xf numFmtId="4" fontId="44" fillId="8" borderId="0" xfId="0" applyNumberFormat="1" applyFont="1" applyFill="1" applyAlignment="1" applyProtection="1">
      <alignment horizontal="right" vertical="center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45" fillId="8" borderId="0" xfId="0" applyFont="1" applyFill="1" applyAlignment="1" applyProtection="1">
      <alignment horizontal="center" vertical="top" wrapText="1"/>
      <protection hidden="1"/>
    </xf>
    <xf numFmtId="0" fontId="47" fillId="5" borderId="12" xfId="0" applyFont="1" applyFill="1" applyBorder="1" applyAlignment="1" applyProtection="1">
      <alignment horizontal="left" vertical="center" wrapText="1"/>
      <protection hidden="1"/>
    </xf>
    <xf numFmtId="0" fontId="47" fillId="5" borderId="0" xfId="0" applyFont="1" applyFill="1" applyAlignment="1" applyProtection="1">
      <alignment horizontal="left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8" fillId="2" borderId="15" xfId="0" applyFont="1" applyFill="1" applyBorder="1" applyAlignment="1" applyProtection="1">
      <alignment horizontal="center" vertical="center" wrapText="1"/>
      <protection hidden="1"/>
    </xf>
    <xf numFmtId="0" fontId="28" fillId="2" borderId="10" xfId="0" applyFont="1" applyFill="1" applyBorder="1" applyAlignment="1" applyProtection="1">
      <alignment horizontal="center" vertical="center" wrapText="1"/>
      <protection hidden="1"/>
    </xf>
    <xf numFmtId="0" fontId="28" fillId="2" borderId="5" xfId="0" applyFont="1" applyFill="1" applyBorder="1" applyAlignment="1" applyProtection="1">
      <alignment horizontal="center" vertical="center" wrapText="1"/>
      <protection hidden="1"/>
    </xf>
    <xf numFmtId="0" fontId="28" fillId="2" borderId="14" xfId="0" applyFont="1" applyFill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 applyProtection="1">
      <alignment horizontal="center" vertical="center" wrapText="1"/>
      <protection hidden="1"/>
    </xf>
    <xf numFmtId="0" fontId="28" fillId="2" borderId="11" xfId="0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horizontal="center" vertical="center"/>
      <protection hidden="1"/>
    </xf>
    <xf numFmtId="1" fontId="27" fillId="2" borderId="2" xfId="0" applyNumberFormat="1" applyFont="1" applyFill="1" applyBorder="1" applyAlignment="1" applyProtection="1">
      <alignment horizontal="center" vertical="center"/>
      <protection hidden="1"/>
    </xf>
    <xf numFmtId="0" fontId="41" fillId="2" borderId="1" xfId="0" applyFont="1" applyFill="1" applyBorder="1" applyAlignment="1" applyProtection="1">
      <alignment horizontal="center" vertical="center"/>
      <protection hidden="1"/>
    </xf>
    <xf numFmtId="0" fontId="41" fillId="2" borderId="3" xfId="0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28" fillId="2" borderId="3" xfId="0" applyFont="1" applyFill="1" applyBorder="1" applyAlignment="1" applyProtection="1">
      <alignment horizontal="center" vertical="center"/>
      <protection hidden="1"/>
    </xf>
    <xf numFmtId="0" fontId="27" fillId="2" borderId="15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7" fillId="2" borderId="14" xfId="0" applyFont="1" applyFill="1" applyBorder="1" applyAlignment="1" applyProtection="1">
      <alignment horizontal="center" vertical="center"/>
      <protection hidden="1"/>
    </xf>
    <xf numFmtId="1" fontId="27" fillId="2" borderId="5" xfId="0" applyNumberFormat="1" applyFont="1" applyFill="1" applyBorder="1" applyAlignment="1" applyProtection="1">
      <alignment horizontal="center" vertical="center"/>
      <protection hidden="1"/>
    </xf>
    <xf numFmtId="1" fontId="27" fillId="2" borderId="7" xfId="0" applyNumberFormat="1" applyFont="1" applyFill="1" applyBorder="1" applyAlignment="1" applyProtection="1">
      <alignment horizontal="center" vertical="center"/>
      <protection hidden="1"/>
    </xf>
    <xf numFmtId="1" fontId="27" fillId="2" borderId="11" xfId="0" applyNumberFormat="1" applyFont="1" applyFill="1" applyBorder="1" applyAlignment="1" applyProtection="1">
      <alignment horizontal="center" vertical="center"/>
      <protection hidden="1"/>
    </xf>
    <xf numFmtId="0" fontId="43" fillId="3" borderId="0" xfId="0" applyFont="1" applyFill="1" applyAlignment="1" applyProtection="1">
      <alignment horizontal="right" vertical="center"/>
      <protection hidden="1"/>
    </xf>
    <xf numFmtId="0" fontId="27" fillId="2" borderId="3" xfId="0" applyFont="1" applyFill="1" applyBorder="1" applyAlignment="1" applyProtection="1">
      <alignment horizontal="center" vertical="center"/>
      <protection hidden="1"/>
    </xf>
    <xf numFmtId="0" fontId="27" fillId="2" borderId="4" xfId="0" applyFont="1" applyFill="1" applyBorder="1" applyAlignment="1" applyProtection="1">
      <alignment horizontal="center" vertical="center"/>
      <protection hidden="1"/>
    </xf>
    <xf numFmtId="0" fontId="27" fillId="2" borderId="6" xfId="0" applyFont="1" applyFill="1" applyBorder="1" applyAlignment="1" applyProtection="1">
      <alignment horizontal="center" vertical="center"/>
      <protection hidden="1"/>
    </xf>
    <xf numFmtId="0" fontId="27" fillId="2" borderId="9" xfId="0" applyFont="1" applyFill="1" applyBorder="1" applyAlignment="1" applyProtection="1">
      <alignment horizontal="center" vertical="center"/>
      <protection hidden="1"/>
    </xf>
    <xf numFmtId="0" fontId="4" fillId="8" borderId="15" xfId="0" applyFont="1" applyFill="1" applyBorder="1" applyAlignment="1" applyProtection="1">
      <alignment horizontal="center" vertical="center" wrapText="1"/>
      <protection hidden="1"/>
    </xf>
    <xf numFmtId="0" fontId="45" fillId="8" borderId="10" xfId="0" applyFont="1" applyFill="1" applyBorder="1" applyAlignment="1" applyProtection="1">
      <alignment horizontal="center" vertical="center"/>
      <protection hidden="1"/>
    </xf>
    <xf numFmtId="0" fontId="45" fillId="8" borderId="5" xfId="0" applyFont="1" applyFill="1" applyBorder="1" applyAlignment="1" applyProtection="1">
      <alignment horizontal="center" vertical="center"/>
      <protection hidden="1"/>
    </xf>
    <xf numFmtId="0" fontId="43" fillId="3" borderId="12" xfId="0" applyFont="1" applyFill="1" applyBorder="1" applyAlignment="1" applyProtection="1">
      <alignment horizontal="right" vertical="center"/>
      <protection hidden="1"/>
    </xf>
    <xf numFmtId="4" fontId="44" fillId="8" borderId="7" xfId="0" applyNumberFormat="1" applyFont="1" applyFill="1" applyBorder="1" applyAlignment="1" applyProtection="1">
      <alignment horizontal="right" vertical="center"/>
      <protection hidden="1"/>
    </xf>
    <xf numFmtId="0" fontId="27" fillId="2" borderId="10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33" fillId="2" borderId="4" xfId="0" applyFont="1" applyFill="1" applyBorder="1" applyAlignment="1" applyProtection="1">
      <alignment horizontal="center" vertical="center"/>
      <protection hidden="1"/>
    </xf>
    <xf numFmtId="0" fontId="33" fillId="2" borderId="9" xfId="0" applyFont="1" applyFill="1" applyBorder="1" applyAlignment="1" applyProtection="1">
      <alignment horizontal="center" vertical="center"/>
      <protection hidden="1"/>
    </xf>
    <xf numFmtId="0" fontId="27" fillId="2" borderId="13" xfId="0" applyFont="1" applyFill="1" applyBorder="1" applyAlignment="1" applyProtection="1">
      <alignment horizontal="center" vertical="center"/>
      <protection hidden="1"/>
    </xf>
    <xf numFmtId="0" fontId="28" fillId="2" borderId="4" xfId="0" applyFont="1" applyFill="1" applyBorder="1" applyAlignment="1" applyProtection="1">
      <alignment horizontal="center" vertical="center"/>
      <protection hidden="1"/>
    </xf>
    <xf numFmtId="0" fontId="28" fillId="2" borderId="6" xfId="0" applyFont="1" applyFill="1" applyBorder="1" applyAlignment="1" applyProtection="1">
      <alignment horizontal="center" vertical="center"/>
      <protection hidden="1"/>
    </xf>
    <xf numFmtId="0" fontId="28" fillId="2" borderId="9" xfId="0" applyFont="1" applyFill="1" applyBorder="1" applyAlignment="1" applyProtection="1">
      <alignment horizontal="center" vertical="center"/>
      <protection hidden="1"/>
    </xf>
    <xf numFmtId="0" fontId="28" fillId="2" borderId="10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28" fillId="2" borderId="2" xfId="0" applyFont="1" applyFill="1" applyBorder="1" applyAlignment="1" applyProtection="1">
      <alignment horizontal="center" vertical="center"/>
      <protection hidden="1"/>
    </xf>
    <xf numFmtId="0" fontId="45" fillId="8" borderId="7" xfId="0" applyFont="1" applyFill="1" applyBorder="1" applyAlignment="1" applyProtection="1">
      <alignment horizontal="center" vertical="top" wrapText="1"/>
      <protection hidden="1"/>
    </xf>
    <xf numFmtId="0" fontId="46" fillId="5" borderId="0" xfId="0" applyFont="1" applyFill="1" applyAlignment="1" applyProtection="1">
      <alignment horizontal="center" vertical="top" wrapText="1"/>
      <protection hidden="1"/>
    </xf>
    <xf numFmtId="0" fontId="20" fillId="4" borderId="0" xfId="0" applyFont="1" applyFill="1" applyAlignment="1" applyProtection="1">
      <alignment horizontal="center" vertical="top" wrapText="1"/>
      <protection hidden="1"/>
    </xf>
    <xf numFmtId="0" fontId="43" fillId="5" borderId="12" xfId="0" applyFont="1" applyFill="1" applyBorder="1" applyAlignment="1" applyProtection="1">
      <alignment horizontal="right" vertical="center"/>
      <protection hidden="1"/>
    </xf>
    <xf numFmtId="0" fontId="43" fillId="5" borderId="0" xfId="0" applyFont="1" applyFill="1" applyAlignment="1" applyProtection="1">
      <alignment horizontal="right" vertical="center"/>
      <protection hidden="1"/>
    </xf>
    <xf numFmtId="0" fontId="28" fillId="5" borderId="2" xfId="0" applyFont="1" applyFill="1" applyBorder="1" applyAlignment="1" applyProtection="1">
      <alignment horizontal="center" vertical="center" wrapText="1"/>
      <protection locked="0" hidden="1"/>
    </xf>
    <xf numFmtId="0" fontId="28" fillId="5" borderId="0" xfId="0" applyFont="1" applyFill="1" applyAlignment="1" applyProtection="1">
      <alignment horizontal="left" vertical="center" wrapText="1"/>
      <protection locked="0" hidden="1"/>
    </xf>
    <xf numFmtId="0" fontId="28" fillId="5" borderId="7" xfId="0" applyFont="1" applyFill="1" applyBorder="1" applyAlignment="1" applyProtection="1">
      <alignment horizontal="left" vertical="center" wrapText="1"/>
      <protection locked="0" hidden="1"/>
    </xf>
    <xf numFmtId="0" fontId="28" fillId="5" borderId="14" xfId="0" applyFont="1" applyFill="1" applyBorder="1" applyAlignment="1" applyProtection="1">
      <alignment horizontal="center" vertical="center" wrapText="1"/>
      <protection locked="0" hidden="1"/>
    </xf>
    <xf numFmtId="0" fontId="28" fillId="5" borderId="13" xfId="0" applyFont="1" applyFill="1" applyBorder="1" applyAlignment="1" applyProtection="1">
      <alignment horizontal="center" vertical="center" wrapText="1"/>
      <protection locked="0" hidden="1"/>
    </xf>
    <xf numFmtId="0" fontId="28" fillId="5" borderId="11" xfId="0" applyFont="1" applyFill="1" applyBorder="1" applyAlignment="1" applyProtection="1">
      <alignment horizontal="center" vertical="center" wrapText="1"/>
      <protection locked="0" hidden="1"/>
    </xf>
    <xf numFmtId="0" fontId="28" fillId="2" borderId="4" xfId="0" applyFont="1" applyFill="1" applyBorder="1" applyAlignment="1" applyProtection="1">
      <alignment horizontal="center" vertical="center" wrapText="1"/>
      <protection hidden="1"/>
    </xf>
    <xf numFmtId="0" fontId="28" fillId="2" borderId="6" xfId="0" applyFont="1" applyFill="1" applyBorder="1" applyAlignment="1" applyProtection="1">
      <alignment horizontal="center" vertical="center" wrapText="1"/>
      <protection hidden="1"/>
    </xf>
    <xf numFmtId="0" fontId="28" fillId="2" borderId="1" xfId="0" applyFont="1" applyFill="1" applyBorder="1" applyAlignment="1" applyProtection="1">
      <alignment horizontal="center" vertical="center" wrapText="1"/>
      <protection hidden="1"/>
    </xf>
    <xf numFmtId="0" fontId="28" fillId="2" borderId="3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top"/>
      <protection hidden="1"/>
    </xf>
    <xf numFmtId="0" fontId="28" fillId="5" borderId="0" xfId="0" quotePrefix="1" applyFont="1" applyFill="1" applyAlignment="1" applyProtection="1">
      <alignment horizontal="left" vertical="center" wrapText="1"/>
      <protection locked="0" hidden="1"/>
    </xf>
    <xf numFmtId="0" fontId="28" fillId="5" borderId="7" xfId="0" quotePrefix="1" applyFont="1" applyFill="1" applyBorder="1" applyAlignment="1" applyProtection="1">
      <alignment horizontal="left" vertical="center" wrapText="1"/>
      <protection locked="0" hidden="1"/>
    </xf>
    <xf numFmtId="0" fontId="0" fillId="4" borderId="0" xfId="0" applyFill="1" applyAlignment="1" applyProtection="1">
      <alignment horizontal="center" vertical="center" wrapText="1"/>
      <protection hidden="1"/>
    </xf>
    <xf numFmtId="0" fontId="28" fillId="2" borderId="2" xfId="0" applyFont="1" applyFill="1" applyBorder="1" applyAlignment="1" applyProtection="1">
      <alignment horizontal="center" vertical="center" wrapText="1"/>
      <protection hidden="1"/>
    </xf>
    <xf numFmtId="0" fontId="31" fillId="4" borderId="0" xfId="0" applyFont="1" applyFill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center" vertical="top"/>
      <protection hidden="1"/>
    </xf>
    <xf numFmtId="0" fontId="28" fillId="5" borderId="13" xfId="0" applyFont="1" applyFill="1" applyBorder="1" applyAlignment="1" applyProtection="1">
      <alignment horizontal="left" vertical="center" wrapText="1"/>
      <protection locked="0" hidden="1"/>
    </xf>
    <xf numFmtId="0" fontId="28" fillId="5" borderId="11" xfId="0" applyFont="1" applyFill="1" applyBorder="1" applyAlignment="1" applyProtection="1">
      <alignment horizontal="left" vertical="center" wrapText="1"/>
      <protection locked="0" hidden="1"/>
    </xf>
    <xf numFmtId="0" fontId="28" fillId="5" borderId="13" xfId="0" quotePrefix="1" applyFont="1" applyFill="1" applyBorder="1" applyAlignment="1" applyProtection="1">
      <alignment horizontal="left" vertical="center" wrapText="1"/>
      <protection locked="0" hidden="1"/>
    </xf>
    <xf numFmtId="0" fontId="28" fillId="5" borderId="8" xfId="0" quotePrefix="1" applyFont="1" applyFill="1" applyBorder="1" applyAlignment="1" applyProtection="1">
      <alignment horizontal="left" vertical="center" wrapText="1"/>
      <protection locked="0" hidden="1"/>
    </xf>
    <xf numFmtId="0" fontId="28" fillId="5" borderId="3" xfId="0" quotePrefix="1" applyFont="1" applyFill="1" applyBorder="1" applyAlignment="1" applyProtection="1">
      <alignment horizontal="left" vertical="center" wrapText="1"/>
      <protection locked="0"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29" fillId="2" borderId="4" xfId="0" applyFont="1" applyFill="1" applyBorder="1" applyAlignment="1" applyProtection="1">
      <alignment horizontal="center" vertical="center" wrapText="1"/>
      <protection hidden="1"/>
    </xf>
    <xf numFmtId="0" fontId="29" fillId="2" borderId="6" xfId="0" applyFont="1" applyFill="1" applyBorder="1" applyAlignment="1" applyProtection="1">
      <alignment horizontal="center" vertical="center" wrapText="1"/>
      <protection hidden="1"/>
    </xf>
    <xf numFmtId="0" fontId="29" fillId="2" borderId="9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4911-DB37-594D-B5A6-98784E164492}">
  <dimension ref="A1:AH300"/>
  <sheetViews>
    <sheetView workbookViewId="0">
      <selection activeCell="A8" sqref="A8"/>
    </sheetView>
  </sheetViews>
  <sheetFormatPr baseColWidth="10" defaultColWidth="8.83203125" defaultRowHeight="15" x14ac:dyDescent="0.2"/>
  <cols>
    <col min="1" max="1" width="112.33203125" style="154" bestFit="1" customWidth="1"/>
    <col min="2" max="2" width="12.33203125" style="154" bestFit="1" customWidth="1"/>
    <col min="3" max="3" width="8.83203125" style="154" customWidth="1"/>
    <col min="4" max="4" width="18.33203125" style="155" customWidth="1"/>
    <col min="5" max="26" width="8.83203125" style="154" customWidth="1"/>
    <col min="27" max="27" width="7.33203125" style="154" bestFit="1" customWidth="1"/>
    <col min="28" max="28" width="8.83203125" style="154" customWidth="1"/>
    <col min="29" max="29" width="58.33203125" style="154" customWidth="1"/>
    <col min="30" max="32" width="8.83203125" style="154" customWidth="1"/>
    <col min="33" max="33" width="51.33203125" style="154" bestFit="1" customWidth="1"/>
    <col min="34" max="16384" width="8.83203125" style="154"/>
  </cols>
  <sheetData>
    <row r="1" spans="1:30" x14ac:dyDescent="0.2">
      <c r="A1" s="154" t="s">
        <v>0</v>
      </c>
      <c r="E1" s="154">
        <v>1</v>
      </c>
      <c r="F1" s="154">
        <v>1</v>
      </c>
      <c r="G1" s="154">
        <v>1</v>
      </c>
      <c r="I1" s="154">
        <v>1.5</v>
      </c>
      <c r="J1" s="154">
        <v>1.83</v>
      </c>
      <c r="K1" s="154">
        <v>2.08</v>
      </c>
      <c r="L1" s="154">
        <v>2.2799999999999998</v>
      </c>
      <c r="M1" s="154">
        <v>2.4500000000000002</v>
      </c>
      <c r="N1" s="154">
        <v>2.59</v>
      </c>
      <c r="O1" s="154">
        <v>2.72</v>
      </c>
      <c r="P1" s="154">
        <v>2.83</v>
      </c>
      <c r="Q1" s="154">
        <v>2.93</v>
      </c>
      <c r="U1" s="154">
        <v>1</v>
      </c>
      <c r="V1" s="154">
        <v>1</v>
      </c>
      <c r="W1" s="154">
        <v>1</v>
      </c>
      <c r="X1" s="154">
        <v>1</v>
      </c>
      <c r="AA1" s="154" t="s">
        <v>148</v>
      </c>
      <c r="AC1" s="154" t="s">
        <v>149</v>
      </c>
    </row>
    <row r="2" spans="1:30" x14ac:dyDescent="0.2">
      <c r="A2" s="154" t="s">
        <v>1</v>
      </c>
      <c r="E2" s="154">
        <v>2</v>
      </c>
      <c r="F2" s="154">
        <v>2</v>
      </c>
      <c r="G2" s="154">
        <v>1.1299999999999999</v>
      </c>
      <c r="I2" s="154">
        <v>3.02</v>
      </c>
      <c r="J2" s="154">
        <v>3.1</v>
      </c>
      <c r="K2" s="154">
        <v>3.18</v>
      </c>
      <c r="L2" s="154">
        <v>3.25</v>
      </c>
      <c r="M2" s="154">
        <v>3.32</v>
      </c>
      <c r="U2" s="154">
        <v>2</v>
      </c>
      <c r="V2" s="154">
        <v>1.1299999999999999</v>
      </c>
      <c r="W2" s="154">
        <v>2</v>
      </c>
      <c r="X2" s="154">
        <v>1.33</v>
      </c>
      <c r="AA2" s="154">
        <v>1600</v>
      </c>
    </row>
    <row r="3" spans="1:30" x14ac:dyDescent="0.2">
      <c r="E3" s="154">
        <v>3</v>
      </c>
      <c r="F3" s="154">
        <v>2.5299999999999998</v>
      </c>
      <c r="G3" s="154">
        <v>1.21</v>
      </c>
      <c r="U3" s="154">
        <v>3</v>
      </c>
      <c r="V3" s="154">
        <v>1.21</v>
      </c>
      <c r="W3" s="154">
        <v>3</v>
      </c>
      <c r="X3" s="154">
        <v>1.55</v>
      </c>
      <c r="AA3" s="154">
        <v>1684</v>
      </c>
      <c r="AC3" s="154" t="s">
        <v>154</v>
      </c>
    </row>
    <row r="4" spans="1:30" x14ac:dyDescent="0.2">
      <c r="A4" s="154" t="s">
        <v>3</v>
      </c>
      <c r="B4" s="154" t="s">
        <v>7</v>
      </c>
      <c r="C4" s="154">
        <v>1</v>
      </c>
      <c r="E4" s="154">
        <v>4</v>
      </c>
      <c r="F4" s="154">
        <v>2.93</v>
      </c>
      <c r="G4" s="154">
        <v>1.27</v>
      </c>
      <c r="I4" s="154">
        <v>1</v>
      </c>
      <c r="J4" s="154">
        <v>2</v>
      </c>
      <c r="K4" s="154">
        <v>3</v>
      </c>
      <c r="L4" s="154">
        <v>4</v>
      </c>
      <c r="M4" s="154">
        <v>5</v>
      </c>
      <c r="N4" s="154">
        <v>6</v>
      </c>
      <c r="O4" s="154">
        <v>7</v>
      </c>
      <c r="P4" s="154">
        <v>8</v>
      </c>
      <c r="Q4" s="154">
        <v>9</v>
      </c>
      <c r="R4" s="154">
        <v>10</v>
      </c>
      <c r="U4" s="154">
        <v>4</v>
      </c>
      <c r="V4" s="154">
        <v>1.27</v>
      </c>
      <c r="W4" s="154">
        <v>4</v>
      </c>
      <c r="X4" s="154">
        <v>1.72</v>
      </c>
      <c r="AA4" s="154">
        <v>1762</v>
      </c>
      <c r="AC4" s="154" t="s">
        <v>83</v>
      </c>
      <c r="AD4" s="154" t="s">
        <v>155</v>
      </c>
    </row>
    <row r="5" spans="1:30" x14ac:dyDescent="0.2">
      <c r="A5" s="154" t="s">
        <v>4</v>
      </c>
      <c r="B5" s="154" t="s">
        <v>9</v>
      </c>
      <c r="C5" s="154">
        <v>1.1000000000000001</v>
      </c>
      <c r="E5" s="154">
        <v>5</v>
      </c>
      <c r="F5" s="154">
        <v>3.25</v>
      </c>
      <c r="G5" s="154">
        <v>1.32</v>
      </c>
      <c r="I5" s="154">
        <v>1</v>
      </c>
      <c r="J5" s="154">
        <v>1.1299999999999999</v>
      </c>
      <c r="K5" s="154">
        <v>1.21</v>
      </c>
      <c r="L5" s="154">
        <v>1.27</v>
      </c>
      <c r="M5" s="154">
        <v>1.32</v>
      </c>
      <c r="N5" s="154">
        <v>1.36</v>
      </c>
      <c r="O5" s="154">
        <v>1.4</v>
      </c>
      <c r="P5" s="154">
        <v>1.43</v>
      </c>
      <c r="Q5" s="154">
        <v>1.46</v>
      </c>
      <c r="R5" s="154">
        <v>1.48</v>
      </c>
      <c r="U5" s="154">
        <v>5</v>
      </c>
      <c r="V5" s="154">
        <v>1.32</v>
      </c>
      <c r="W5" s="154">
        <v>5</v>
      </c>
      <c r="X5" s="154">
        <v>1.87</v>
      </c>
      <c r="AA5" s="154">
        <v>1841</v>
      </c>
      <c r="AC5" s="154" t="s">
        <v>84</v>
      </c>
      <c r="AD5" s="154">
        <v>0.5</v>
      </c>
    </row>
    <row r="6" spans="1:30" x14ac:dyDescent="0.2">
      <c r="A6" s="154" t="s">
        <v>5</v>
      </c>
      <c r="B6" s="154" t="s">
        <v>10</v>
      </c>
      <c r="C6" s="154">
        <v>1.1000000000000001</v>
      </c>
      <c r="E6" s="154">
        <v>6</v>
      </c>
      <c r="F6" s="154">
        <v>3.42</v>
      </c>
      <c r="G6" s="154">
        <v>1.36</v>
      </c>
      <c r="I6" s="154">
        <v>11</v>
      </c>
      <c r="J6" s="154">
        <v>12</v>
      </c>
      <c r="K6" s="154">
        <v>13</v>
      </c>
      <c r="L6" s="154">
        <v>14</v>
      </c>
      <c r="M6" s="154">
        <v>15</v>
      </c>
      <c r="N6" s="154">
        <v>16</v>
      </c>
      <c r="O6" s="154">
        <v>17</v>
      </c>
      <c r="P6" s="154">
        <v>18</v>
      </c>
      <c r="Q6" s="154">
        <v>19</v>
      </c>
      <c r="R6" s="154" t="s">
        <v>23</v>
      </c>
      <c r="U6" s="154">
        <v>6</v>
      </c>
      <c r="V6" s="154">
        <v>1.36</v>
      </c>
      <c r="W6" s="154">
        <v>6</v>
      </c>
      <c r="X6" s="154">
        <v>1.98</v>
      </c>
      <c r="AA6" s="154">
        <v>1921</v>
      </c>
      <c r="AC6" s="154" t="s">
        <v>85</v>
      </c>
      <c r="AD6" s="154">
        <v>0.5</v>
      </c>
    </row>
    <row r="7" spans="1:30" x14ac:dyDescent="0.2">
      <c r="A7" s="154" t="s">
        <v>6</v>
      </c>
      <c r="B7" s="154" t="s">
        <v>11</v>
      </c>
      <c r="C7" s="154">
        <v>1.1000000000000001</v>
      </c>
      <c r="E7" s="154">
        <v>7</v>
      </c>
      <c r="F7" s="154">
        <v>3.56</v>
      </c>
      <c r="G7" s="154">
        <v>1.4</v>
      </c>
      <c r="I7" s="154">
        <v>1.5</v>
      </c>
      <c r="J7" s="154">
        <v>1.53</v>
      </c>
      <c r="K7" s="154">
        <v>1.54</v>
      </c>
      <c r="L7" s="154">
        <v>1.56</v>
      </c>
      <c r="M7" s="154">
        <v>1.58</v>
      </c>
      <c r="N7" s="154">
        <v>1.59</v>
      </c>
      <c r="O7" s="154">
        <v>1.61</v>
      </c>
      <c r="P7" s="154">
        <v>1.62</v>
      </c>
      <c r="Q7" s="154">
        <v>1.64</v>
      </c>
      <c r="R7" s="154">
        <v>1.65</v>
      </c>
      <c r="U7" s="154">
        <v>7</v>
      </c>
      <c r="V7" s="154">
        <v>1.4</v>
      </c>
      <c r="W7" s="154">
        <v>7</v>
      </c>
      <c r="X7" s="154">
        <v>2.0699999999999998</v>
      </c>
      <c r="AA7" s="154">
        <v>2007</v>
      </c>
      <c r="AC7" s="154" t="s">
        <v>86</v>
      </c>
      <c r="AD7" s="154">
        <v>1</v>
      </c>
    </row>
    <row r="8" spans="1:30" x14ac:dyDescent="0.2">
      <c r="A8" s="154" t="s">
        <v>2</v>
      </c>
      <c r="B8" s="154" t="s">
        <v>8</v>
      </c>
      <c r="C8" s="154">
        <v>1.1000000000000001</v>
      </c>
      <c r="E8" s="154">
        <v>8</v>
      </c>
      <c r="F8" s="154">
        <v>3.69</v>
      </c>
      <c r="G8" s="154">
        <v>1.43</v>
      </c>
      <c r="U8" s="154">
        <v>8</v>
      </c>
      <c r="V8" s="154">
        <v>1.43</v>
      </c>
      <c r="W8" s="154">
        <v>8</v>
      </c>
      <c r="X8" s="154">
        <v>2.15</v>
      </c>
      <c r="AA8" s="154">
        <v>2102</v>
      </c>
    </row>
    <row r="9" spans="1:30" x14ac:dyDescent="0.2">
      <c r="B9" s="154" t="s">
        <v>12</v>
      </c>
      <c r="C9" s="154">
        <v>1.2</v>
      </c>
      <c r="E9" s="154">
        <v>9</v>
      </c>
      <c r="F9" s="154">
        <v>3.8</v>
      </c>
      <c r="G9" s="154">
        <v>1.46</v>
      </c>
      <c r="U9" s="154">
        <v>9</v>
      </c>
      <c r="V9" s="154">
        <v>1.46</v>
      </c>
      <c r="W9" s="154">
        <v>9</v>
      </c>
      <c r="X9" s="154">
        <v>2.2200000000000002</v>
      </c>
      <c r="AA9" s="154">
        <v>2197</v>
      </c>
      <c r="AC9" s="154" t="s">
        <v>158</v>
      </c>
    </row>
    <row r="10" spans="1:30" x14ac:dyDescent="0.2">
      <c r="B10" s="154" t="s">
        <v>13</v>
      </c>
      <c r="C10" s="154">
        <v>1.2</v>
      </c>
      <c r="E10" s="154">
        <v>10</v>
      </c>
      <c r="F10" s="154">
        <v>3.9</v>
      </c>
      <c r="G10" s="154">
        <v>1.48</v>
      </c>
      <c r="I10" s="154" t="s">
        <v>24</v>
      </c>
      <c r="J10" s="154">
        <v>1</v>
      </c>
      <c r="K10" s="154">
        <v>2</v>
      </c>
      <c r="L10" s="154">
        <v>3</v>
      </c>
      <c r="M10" s="154">
        <v>4</v>
      </c>
      <c r="N10" s="154">
        <v>5</v>
      </c>
      <c r="O10" s="154">
        <v>6</v>
      </c>
      <c r="P10" s="154">
        <v>7</v>
      </c>
      <c r="Q10" s="154">
        <v>8</v>
      </c>
      <c r="R10" s="154">
        <v>9</v>
      </c>
      <c r="S10" s="154">
        <v>10</v>
      </c>
      <c r="U10" s="154">
        <v>10</v>
      </c>
      <c r="V10" s="154">
        <v>1.48</v>
      </c>
      <c r="W10" s="154">
        <v>10</v>
      </c>
      <c r="X10" s="154">
        <v>2.29</v>
      </c>
      <c r="AA10" s="154">
        <v>2270</v>
      </c>
      <c r="AC10" s="154" t="s">
        <v>159</v>
      </c>
    </row>
    <row r="11" spans="1:30" x14ac:dyDescent="0.2">
      <c r="B11" s="154" t="s">
        <v>14</v>
      </c>
      <c r="C11" s="154">
        <v>1.2</v>
      </c>
      <c r="E11" s="154">
        <v>11</v>
      </c>
      <c r="F11" s="154">
        <v>3.99</v>
      </c>
      <c r="G11" s="154">
        <v>1.5</v>
      </c>
      <c r="I11" s="154">
        <v>1</v>
      </c>
      <c r="J11" s="154">
        <v>1.1299999999999999</v>
      </c>
      <c r="K11" s="154">
        <v>1.21</v>
      </c>
      <c r="L11" s="154">
        <v>1.27</v>
      </c>
      <c r="M11" s="154">
        <v>1.32</v>
      </c>
      <c r="N11" s="154">
        <v>1.36</v>
      </c>
      <c r="O11" s="154">
        <v>1.4</v>
      </c>
      <c r="P11" s="154">
        <v>1.43</v>
      </c>
      <c r="Q11" s="154">
        <v>1.46</v>
      </c>
      <c r="R11" s="154">
        <v>1.48</v>
      </c>
      <c r="S11" s="154">
        <v>1.5</v>
      </c>
      <c r="U11" s="154">
        <v>11</v>
      </c>
      <c r="V11" s="154">
        <v>1.5</v>
      </c>
      <c r="W11" s="154">
        <v>11</v>
      </c>
      <c r="X11" s="154">
        <v>2.35</v>
      </c>
      <c r="AA11" s="154">
        <v>2379</v>
      </c>
      <c r="AC11" s="154" t="s">
        <v>160</v>
      </c>
    </row>
    <row r="12" spans="1:30" x14ac:dyDescent="0.2">
      <c r="B12" s="154" t="s">
        <v>15</v>
      </c>
      <c r="C12" s="154">
        <v>1.2</v>
      </c>
      <c r="E12" s="154">
        <v>12</v>
      </c>
      <c r="F12" s="154">
        <v>4.07</v>
      </c>
      <c r="G12" s="154">
        <v>1.53</v>
      </c>
      <c r="I12" s="154">
        <v>11</v>
      </c>
      <c r="J12" s="154">
        <v>12</v>
      </c>
      <c r="K12" s="154">
        <v>13</v>
      </c>
      <c r="L12" s="154">
        <v>14</v>
      </c>
      <c r="M12" s="154">
        <v>15</v>
      </c>
      <c r="N12" s="154">
        <v>16</v>
      </c>
      <c r="O12" s="154">
        <v>17</v>
      </c>
      <c r="P12" s="154">
        <v>18</v>
      </c>
      <c r="Q12" s="154">
        <v>19</v>
      </c>
      <c r="R12" s="154" t="s">
        <v>23</v>
      </c>
      <c r="U12" s="154">
        <v>12</v>
      </c>
      <c r="V12" s="154">
        <v>1.53</v>
      </c>
      <c r="W12" s="154">
        <v>12</v>
      </c>
      <c r="X12" s="154">
        <v>2.41</v>
      </c>
      <c r="AA12" s="154">
        <v>2481</v>
      </c>
      <c r="AC12" s="154" t="s">
        <v>161</v>
      </c>
    </row>
    <row r="13" spans="1:30" x14ac:dyDescent="0.2">
      <c r="B13" s="154" t="s">
        <v>16</v>
      </c>
      <c r="C13" s="154">
        <v>1.2</v>
      </c>
      <c r="E13" s="154">
        <v>13</v>
      </c>
      <c r="F13" s="154">
        <v>4.1500000000000004</v>
      </c>
      <c r="G13" s="154">
        <v>1.54</v>
      </c>
      <c r="I13" s="154">
        <v>1.53</v>
      </c>
      <c r="J13" s="154">
        <v>1.54</v>
      </c>
      <c r="K13" s="154">
        <v>1.56</v>
      </c>
      <c r="L13" s="154">
        <v>1.58</v>
      </c>
      <c r="M13" s="154">
        <v>1.59</v>
      </c>
      <c r="N13" s="154">
        <v>1.61</v>
      </c>
      <c r="O13" s="154">
        <v>1.62</v>
      </c>
      <c r="P13" s="154">
        <v>1.64</v>
      </c>
      <c r="Q13" s="154">
        <v>1.65</v>
      </c>
      <c r="R13" s="154">
        <v>1.66</v>
      </c>
      <c r="U13" s="154">
        <v>13</v>
      </c>
      <c r="V13" s="154">
        <v>1.54</v>
      </c>
      <c r="W13" s="154">
        <v>13</v>
      </c>
      <c r="X13" s="154">
        <v>2.46</v>
      </c>
      <c r="AA13" s="154">
        <v>2600</v>
      </c>
      <c r="AC13" s="154" t="s">
        <v>162</v>
      </c>
    </row>
    <row r="14" spans="1:30" x14ac:dyDescent="0.2">
      <c r="B14" s="154" t="s">
        <v>17</v>
      </c>
      <c r="C14" s="154">
        <v>1.2</v>
      </c>
      <c r="E14" s="154">
        <v>14</v>
      </c>
      <c r="F14" s="154">
        <v>4.22</v>
      </c>
      <c r="G14" s="154">
        <v>1.56</v>
      </c>
      <c r="I14" s="154" t="s">
        <v>350</v>
      </c>
      <c r="J14" s="154" t="s">
        <v>351</v>
      </c>
      <c r="U14" s="154">
        <v>14</v>
      </c>
      <c r="V14" s="154">
        <v>1.56</v>
      </c>
      <c r="W14" s="154">
        <v>14</v>
      </c>
      <c r="X14" s="154">
        <v>2.5099999999999998</v>
      </c>
      <c r="AA14" s="154">
        <v>2684</v>
      </c>
    </row>
    <row r="15" spans="1:30" x14ac:dyDescent="0.2">
      <c r="B15" s="154" t="s">
        <v>18</v>
      </c>
      <c r="C15" s="154">
        <v>1.2</v>
      </c>
      <c r="E15" s="154">
        <v>15</v>
      </c>
      <c r="F15" s="154">
        <v>4.29</v>
      </c>
      <c r="G15" s="154">
        <v>1.58</v>
      </c>
      <c r="I15" s="154">
        <v>0</v>
      </c>
      <c r="J15" s="154">
        <v>0.25</v>
      </c>
      <c r="U15" s="154">
        <v>15</v>
      </c>
      <c r="V15" s="154">
        <v>1.58</v>
      </c>
      <c r="W15" s="154">
        <v>15</v>
      </c>
      <c r="X15" s="154">
        <v>2.5499999999999998</v>
      </c>
      <c r="AA15" s="154">
        <v>3028</v>
      </c>
      <c r="AC15" s="154" t="s">
        <v>165</v>
      </c>
    </row>
    <row r="16" spans="1:30" x14ac:dyDescent="0.2">
      <c r="B16" s="154" t="s">
        <v>19</v>
      </c>
      <c r="C16" s="154">
        <v>1.2</v>
      </c>
      <c r="E16" s="154">
        <v>16</v>
      </c>
      <c r="G16" s="154">
        <v>1.59</v>
      </c>
      <c r="I16" s="154">
        <v>1</v>
      </c>
      <c r="J16" s="154">
        <v>1</v>
      </c>
      <c r="L16" s="154" t="s">
        <v>44</v>
      </c>
      <c r="U16" s="154">
        <v>16</v>
      </c>
      <c r="V16" s="154">
        <v>1.59</v>
      </c>
      <c r="W16" s="154">
        <v>16</v>
      </c>
      <c r="X16" s="154">
        <v>2.59</v>
      </c>
      <c r="AA16" s="154">
        <v>3328</v>
      </c>
      <c r="AC16" s="154" t="s">
        <v>168</v>
      </c>
      <c r="AD16" s="154">
        <v>1</v>
      </c>
    </row>
    <row r="17" spans="1:34" x14ac:dyDescent="0.2">
      <c r="B17" s="154" t="s">
        <v>20</v>
      </c>
      <c r="C17" s="154">
        <v>1.2</v>
      </c>
      <c r="E17" s="154">
        <v>17</v>
      </c>
      <c r="G17" s="154">
        <v>1.61</v>
      </c>
      <c r="I17" s="154">
        <v>2</v>
      </c>
      <c r="J17" s="154">
        <v>2</v>
      </c>
      <c r="L17" s="156" t="s">
        <v>40</v>
      </c>
      <c r="N17" s="154">
        <v>1</v>
      </c>
      <c r="U17" s="154">
        <v>17</v>
      </c>
      <c r="V17" s="154">
        <v>1.61</v>
      </c>
      <c r="W17" s="154">
        <v>17</v>
      </c>
      <c r="X17" s="154">
        <v>2.63</v>
      </c>
      <c r="AC17" s="154" t="s">
        <v>169</v>
      </c>
      <c r="AD17" s="154">
        <v>3</v>
      </c>
    </row>
    <row r="18" spans="1:34" x14ac:dyDescent="0.2">
      <c r="B18" s="154" t="s">
        <v>21</v>
      </c>
      <c r="C18" s="154">
        <v>1.2</v>
      </c>
      <c r="E18" s="154">
        <v>18</v>
      </c>
      <c r="G18" s="154">
        <v>1.62</v>
      </c>
      <c r="I18" s="154">
        <v>3</v>
      </c>
      <c r="J18" s="154">
        <v>2.5299999999999998</v>
      </c>
      <c r="L18" s="156" t="s">
        <v>41</v>
      </c>
      <c r="N18" s="154">
        <v>5</v>
      </c>
      <c r="U18" s="154">
        <v>18</v>
      </c>
      <c r="V18" s="154">
        <v>1.62</v>
      </c>
      <c r="W18" s="154">
        <v>18</v>
      </c>
      <c r="X18" s="154">
        <v>2.67</v>
      </c>
    </row>
    <row r="19" spans="1:34" x14ac:dyDescent="0.2">
      <c r="B19" s="154" t="s">
        <v>137</v>
      </c>
      <c r="C19" s="154">
        <v>1.2</v>
      </c>
      <c r="E19" s="154">
        <v>19</v>
      </c>
      <c r="G19" s="154">
        <v>1.64</v>
      </c>
      <c r="I19" s="154">
        <v>4</v>
      </c>
      <c r="J19" s="154">
        <v>2.93</v>
      </c>
      <c r="L19" s="156" t="s">
        <v>42</v>
      </c>
      <c r="N19" s="154">
        <v>2</v>
      </c>
      <c r="U19" s="154">
        <v>19</v>
      </c>
      <c r="V19" s="154">
        <v>1.64</v>
      </c>
      <c r="W19" s="154">
        <v>19</v>
      </c>
      <c r="X19" s="154">
        <v>2.71</v>
      </c>
      <c r="AC19" s="154" t="s">
        <v>166</v>
      </c>
    </row>
    <row r="20" spans="1:34" x14ac:dyDescent="0.2">
      <c r="E20" s="154" t="s">
        <v>23</v>
      </c>
      <c r="G20" s="154">
        <v>1.65</v>
      </c>
      <c r="I20" s="154">
        <v>5</v>
      </c>
      <c r="J20" s="154">
        <v>3.25</v>
      </c>
      <c r="L20" s="156" t="s">
        <v>43</v>
      </c>
      <c r="N20" s="154">
        <v>3.5</v>
      </c>
      <c r="U20" s="154">
        <v>20</v>
      </c>
      <c r="V20" s="154">
        <v>1.65</v>
      </c>
      <c r="W20" s="154">
        <v>20</v>
      </c>
      <c r="X20" s="154">
        <v>2.74</v>
      </c>
      <c r="AC20" s="154" t="s">
        <v>170</v>
      </c>
      <c r="AD20" s="154">
        <v>1.5</v>
      </c>
    </row>
    <row r="21" spans="1:34" x14ac:dyDescent="0.2">
      <c r="I21" s="154">
        <v>6</v>
      </c>
      <c r="J21" s="154">
        <v>3.42</v>
      </c>
      <c r="U21" s="154">
        <v>21</v>
      </c>
      <c r="V21" s="154">
        <v>1.66</v>
      </c>
      <c r="W21" s="154">
        <v>21</v>
      </c>
      <c r="X21" s="154">
        <v>2.77</v>
      </c>
      <c r="AC21" s="154" t="s">
        <v>171</v>
      </c>
      <c r="AD21" s="154">
        <v>2.25</v>
      </c>
    </row>
    <row r="22" spans="1:34" x14ac:dyDescent="0.2">
      <c r="I22" s="154">
        <v>7</v>
      </c>
      <c r="J22" s="154">
        <v>3.56</v>
      </c>
      <c r="L22" s="157" t="s">
        <v>7</v>
      </c>
      <c r="M22" s="154">
        <v>1</v>
      </c>
    </row>
    <row r="23" spans="1:34" x14ac:dyDescent="0.2">
      <c r="I23" s="154">
        <v>8</v>
      </c>
      <c r="J23" s="154">
        <v>3.69</v>
      </c>
      <c r="L23" s="157" t="s">
        <v>8</v>
      </c>
      <c r="M23" s="154">
        <v>1</v>
      </c>
      <c r="AC23" s="154" t="s">
        <v>167</v>
      </c>
    </row>
    <row r="24" spans="1:34" x14ac:dyDescent="0.2">
      <c r="A24" s="154" t="s">
        <v>22</v>
      </c>
      <c r="B24" s="154">
        <v>1</v>
      </c>
      <c r="D24" s="155">
        <v>1</v>
      </c>
      <c r="I24" s="154">
        <v>9</v>
      </c>
      <c r="J24" s="154">
        <v>3.8</v>
      </c>
      <c r="L24" s="154" t="s">
        <v>9</v>
      </c>
      <c r="M24" s="154">
        <v>5</v>
      </c>
      <c r="AC24" s="154" t="s">
        <v>172</v>
      </c>
      <c r="AD24" s="154">
        <v>3</v>
      </c>
    </row>
    <row r="25" spans="1:34" x14ac:dyDescent="0.2">
      <c r="A25" s="154" t="s">
        <v>423</v>
      </c>
      <c r="B25" s="154">
        <v>1</v>
      </c>
      <c r="D25" s="155">
        <v>3.5</v>
      </c>
      <c r="I25" s="154">
        <v>10</v>
      </c>
      <c r="J25" s="154">
        <v>3.9</v>
      </c>
      <c r="L25" s="154" t="s">
        <v>13</v>
      </c>
      <c r="M25" s="154">
        <v>2</v>
      </c>
      <c r="U25" s="154" t="s">
        <v>138</v>
      </c>
      <c r="AC25" s="154" t="s">
        <v>168</v>
      </c>
      <c r="AD25" s="154">
        <v>1</v>
      </c>
    </row>
    <row r="26" spans="1:34" x14ac:dyDescent="0.2">
      <c r="A26" s="154" t="s">
        <v>424</v>
      </c>
      <c r="B26" s="154">
        <v>5</v>
      </c>
      <c r="I26" s="154">
        <v>11</v>
      </c>
      <c r="J26" s="154">
        <v>3.9</v>
      </c>
      <c r="L26" s="154" t="s">
        <v>14</v>
      </c>
      <c r="M26" s="154">
        <v>3.5</v>
      </c>
      <c r="U26" s="154" t="s">
        <v>139</v>
      </c>
      <c r="V26" s="154">
        <v>1</v>
      </c>
    </row>
    <row r="27" spans="1:34" x14ac:dyDescent="0.2">
      <c r="A27" s="154" t="s">
        <v>425</v>
      </c>
      <c r="B27" s="154">
        <v>2</v>
      </c>
      <c r="D27" s="155">
        <v>2</v>
      </c>
      <c r="I27" s="154">
        <v>12</v>
      </c>
      <c r="J27" s="154">
        <v>3.9</v>
      </c>
      <c r="U27" s="154" t="s">
        <v>140</v>
      </c>
      <c r="V27" s="154">
        <v>0.75</v>
      </c>
      <c r="AC27" s="158" t="s">
        <v>199</v>
      </c>
    </row>
    <row r="28" spans="1:34" x14ac:dyDescent="0.2">
      <c r="A28" s="154" t="s">
        <v>426</v>
      </c>
      <c r="B28" s="154">
        <v>3.5</v>
      </c>
      <c r="D28" s="155">
        <v>2.5</v>
      </c>
      <c r="I28" s="154">
        <v>13</v>
      </c>
      <c r="J28" s="154">
        <v>3.9</v>
      </c>
      <c r="L28" s="154" t="s">
        <v>50</v>
      </c>
      <c r="U28" s="154" t="s">
        <v>141</v>
      </c>
      <c r="V28" s="154">
        <v>0.5</v>
      </c>
      <c r="AC28" s="154" t="s">
        <v>145</v>
      </c>
    </row>
    <row r="29" spans="1:34" x14ac:dyDescent="0.2">
      <c r="I29" s="154">
        <v>14</v>
      </c>
      <c r="J29" s="154">
        <v>3.9</v>
      </c>
      <c r="L29" s="156" t="s">
        <v>189</v>
      </c>
      <c r="M29" s="154" t="s">
        <v>51</v>
      </c>
      <c r="U29" s="154" t="s">
        <v>142</v>
      </c>
      <c r="V29" s="154">
        <v>0.25</v>
      </c>
      <c r="AC29" s="154" t="s">
        <v>87</v>
      </c>
      <c r="AH29" s="154" t="s">
        <v>269</v>
      </c>
    </row>
    <row r="30" spans="1:34" x14ac:dyDescent="0.2">
      <c r="I30" s="154">
        <v>15</v>
      </c>
      <c r="J30" s="154">
        <v>3.9</v>
      </c>
      <c r="L30" s="156" t="s">
        <v>46</v>
      </c>
      <c r="M30" s="154" t="s">
        <v>52</v>
      </c>
      <c r="U30" s="154" t="s">
        <v>143</v>
      </c>
      <c r="V30" s="154">
        <v>0</v>
      </c>
      <c r="AC30" s="154" t="s">
        <v>146</v>
      </c>
      <c r="AH30" s="154">
        <v>6</v>
      </c>
    </row>
    <row r="31" spans="1:34" x14ac:dyDescent="0.2">
      <c r="I31" s="154">
        <f>I30+1</f>
        <v>16</v>
      </c>
      <c r="J31" s="154">
        <v>3.9</v>
      </c>
      <c r="L31" s="156" t="s">
        <v>47</v>
      </c>
      <c r="M31" s="154" t="s">
        <v>53</v>
      </c>
      <c r="AH31" s="154">
        <v>7</v>
      </c>
    </row>
    <row r="32" spans="1:34" x14ac:dyDescent="0.2">
      <c r="A32" s="154" t="s">
        <v>364</v>
      </c>
      <c r="B32" s="154">
        <v>1</v>
      </c>
      <c r="I32" s="154">
        <f t="shared" ref="I32:I65" si="0">I31+1</f>
        <v>17</v>
      </c>
      <c r="J32" s="154">
        <v>3.9</v>
      </c>
      <c r="L32" s="156" t="s">
        <v>48</v>
      </c>
      <c r="M32" s="154" t="s">
        <v>54</v>
      </c>
      <c r="U32" s="154" t="s">
        <v>144</v>
      </c>
      <c r="AC32" s="154" t="s">
        <v>233</v>
      </c>
      <c r="AH32" s="154">
        <v>8</v>
      </c>
    </row>
    <row r="33" spans="1:34" x14ac:dyDescent="0.2">
      <c r="A33" s="154" t="s">
        <v>365</v>
      </c>
      <c r="B33" s="154">
        <v>1.5</v>
      </c>
      <c r="I33" s="154">
        <f t="shared" si="0"/>
        <v>18</v>
      </c>
      <c r="J33" s="154">
        <v>3.9</v>
      </c>
      <c r="L33" s="156" t="s">
        <v>49</v>
      </c>
      <c r="M33" s="154" t="s">
        <v>55</v>
      </c>
      <c r="AH33" s="154">
        <v>9</v>
      </c>
    </row>
    <row r="34" spans="1:34" x14ac:dyDescent="0.2">
      <c r="A34" s="154" t="s">
        <v>366</v>
      </c>
      <c r="B34" s="154">
        <v>2</v>
      </c>
      <c r="I34" s="154">
        <f t="shared" si="0"/>
        <v>19</v>
      </c>
      <c r="J34" s="154">
        <v>3.9</v>
      </c>
      <c r="U34" s="154" t="s">
        <v>86</v>
      </c>
      <c r="V34" s="154">
        <v>1</v>
      </c>
      <c r="W34" s="154">
        <v>1</v>
      </c>
      <c r="X34" s="154">
        <v>1</v>
      </c>
      <c r="AC34" s="159">
        <v>1</v>
      </c>
      <c r="AH34" s="154">
        <v>10</v>
      </c>
    </row>
    <row r="35" spans="1:34" ht="16" x14ac:dyDescent="0.2">
      <c r="A35" s="154" t="s">
        <v>367</v>
      </c>
      <c r="B35" s="154">
        <v>3</v>
      </c>
      <c r="I35" s="154">
        <f t="shared" si="0"/>
        <v>20</v>
      </c>
      <c r="J35" s="154">
        <v>3.9</v>
      </c>
      <c r="L35" s="154" t="s">
        <v>353</v>
      </c>
      <c r="U35" s="154" t="s">
        <v>84</v>
      </c>
      <c r="V35" s="154">
        <v>1</v>
      </c>
      <c r="W35" s="154">
        <v>2</v>
      </c>
      <c r="X35" s="154">
        <v>5</v>
      </c>
      <c r="AC35" s="160" t="s">
        <v>102</v>
      </c>
      <c r="AD35" s="154">
        <v>0</v>
      </c>
      <c r="AH35" s="154">
        <v>11</v>
      </c>
    </row>
    <row r="36" spans="1:34" ht="16" x14ac:dyDescent="0.2">
      <c r="A36" s="154" t="s">
        <v>370</v>
      </c>
      <c r="B36" s="154">
        <v>5</v>
      </c>
      <c r="I36" s="154">
        <f t="shared" si="0"/>
        <v>21</v>
      </c>
      <c r="J36" s="154">
        <v>3.9</v>
      </c>
      <c r="L36" s="156" t="s">
        <v>56</v>
      </c>
      <c r="M36" s="154">
        <v>1</v>
      </c>
      <c r="U36" s="154" t="s">
        <v>85</v>
      </c>
      <c r="V36" s="154">
        <v>5</v>
      </c>
      <c r="W36" s="154">
        <v>3.5</v>
      </c>
      <c r="X36" s="154">
        <v>1</v>
      </c>
      <c r="AC36" s="160" t="s">
        <v>147</v>
      </c>
      <c r="AD36" s="154">
        <v>0.2</v>
      </c>
      <c r="AH36" s="154">
        <v>12</v>
      </c>
    </row>
    <row r="37" spans="1:34" ht="16" x14ac:dyDescent="0.2">
      <c r="I37" s="154">
        <f t="shared" si="0"/>
        <v>22</v>
      </c>
      <c r="J37" s="154">
        <v>3.9</v>
      </c>
      <c r="L37" s="156" t="s">
        <v>57</v>
      </c>
      <c r="M37" s="154">
        <v>1</v>
      </c>
      <c r="U37" s="154" t="s">
        <v>83</v>
      </c>
      <c r="V37" s="154">
        <v>1</v>
      </c>
      <c r="W37" s="154">
        <v>1</v>
      </c>
      <c r="X37" s="154">
        <v>1</v>
      </c>
      <c r="AC37" s="160" t="s">
        <v>94</v>
      </c>
      <c r="AD37" s="154">
        <v>0.13</v>
      </c>
      <c r="AH37" s="154">
        <v>13</v>
      </c>
    </row>
    <row r="38" spans="1:34" x14ac:dyDescent="0.2">
      <c r="A38" s="154" t="s">
        <v>0</v>
      </c>
      <c r="B38" s="154">
        <v>1.5</v>
      </c>
      <c r="I38" s="154">
        <f t="shared" si="0"/>
        <v>23</v>
      </c>
      <c r="J38" s="154">
        <v>3.9</v>
      </c>
      <c r="L38" s="156" t="s">
        <v>58</v>
      </c>
      <c r="M38" s="154">
        <v>1</v>
      </c>
      <c r="AC38" s="160"/>
      <c r="AH38" s="154">
        <v>14</v>
      </c>
    </row>
    <row r="39" spans="1:34" x14ac:dyDescent="0.2">
      <c r="A39" s="154" t="s">
        <v>1</v>
      </c>
      <c r="B39" s="154">
        <v>1</v>
      </c>
      <c r="I39" s="154">
        <f t="shared" si="0"/>
        <v>24</v>
      </c>
      <c r="J39" s="154">
        <v>3.9</v>
      </c>
      <c r="L39" s="156" t="s">
        <v>59</v>
      </c>
      <c r="M39" s="154">
        <v>1</v>
      </c>
      <c r="U39" s="154" t="s">
        <v>145</v>
      </c>
      <c r="AH39" s="154">
        <v>15</v>
      </c>
    </row>
    <row r="40" spans="1:34" x14ac:dyDescent="0.2">
      <c r="I40" s="154">
        <f t="shared" si="0"/>
        <v>25</v>
      </c>
      <c r="J40" s="154">
        <v>3.9</v>
      </c>
      <c r="L40" s="156" t="s">
        <v>60</v>
      </c>
      <c r="M40" s="154">
        <v>1</v>
      </c>
      <c r="U40" s="154" t="s">
        <v>87</v>
      </c>
      <c r="AC40" s="161">
        <v>2</v>
      </c>
      <c r="AH40" s="154">
        <v>16</v>
      </c>
    </row>
    <row r="41" spans="1:34" ht="16" x14ac:dyDescent="0.2">
      <c r="A41" s="158" t="s">
        <v>352</v>
      </c>
      <c r="I41" s="154">
        <f t="shared" si="0"/>
        <v>26</v>
      </c>
      <c r="J41" s="154">
        <v>3.9</v>
      </c>
      <c r="L41" s="156" t="s">
        <v>61</v>
      </c>
      <c r="M41" s="154">
        <v>1</v>
      </c>
      <c r="U41" s="154" t="s">
        <v>146</v>
      </c>
      <c r="AC41" s="160" t="s">
        <v>102</v>
      </c>
      <c r="AD41" s="154">
        <v>0</v>
      </c>
      <c r="AH41" s="154">
        <v>17</v>
      </c>
    </row>
    <row r="42" spans="1:34" x14ac:dyDescent="0.2">
      <c r="A42" s="154" t="s">
        <v>0</v>
      </c>
      <c r="B42" s="154">
        <v>0.5</v>
      </c>
      <c r="C42" s="154">
        <v>1.5</v>
      </c>
      <c r="D42" s="155">
        <v>0.5</v>
      </c>
      <c r="E42" s="154">
        <v>2</v>
      </c>
      <c r="F42" s="154" t="s">
        <v>25</v>
      </c>
      <c r="G42" s="154">
        <v>1</v>
      </c>
      <c r="I42" s="154">
        <f t="shared" si="0"/>
        <v>27</v>
      </c>
      <c r="J42" s="154">
        <v>3.9</v>
      </c>
      <c r="L42" s="156" t="s">
        <v>62</v>
      </c>
      <c r="M42" s="154">
        <v>1</v>
      </c>
      <c r="AC42" s="162" t="s">
        <v>96</v>
      </c>
      <c r="AD42" s="154">
        <v>0.2</v>
      </c>
      <c r="AH42" s="154">
        <v>18</v>
      </c>
    </row>
    <row r="43" spans="1:34" x14ac:dyDescent="0.2">
      <c r="A43" s="154" t="s">
        <v>1</v>
      </c>
      <c r="B43" s="154">
        <v>1</v>
      </c>
      <c r="C43" s="154">
        <v>1</v>
      </c>
      <c r="D43" s="155">
        <v>1</v>
      </c>
      <c r="E43" s="154">
        <v>1</v>
      </c>
      <c r="F43" s="154" t="s">
        <v>26</v>
      </c>
      <c r="G43" s="154">
        <v>1.3</v>
      </c>
      <c r="I43" s="154">
        <f t="shared" si="0"/>
        <v>28</v>
      </c>
      <c r="J43" s="154">
        <v>3.9</v>
      </c>
      <c r="L43" s="156" t="s">
        <v>63</v>
      </c>
      <c r="M43" s="154">
        <v>1</v>
      </c>
      <c r="AC43" s="162" t="s">
        <v>94</v>
      </c>
      <c r="AD43" s="154">
        <v>0.13</v>
      </c>
      <c r="AH43" s="154">
        <v>19</v>
      </c>
    </row>
    <row r="44" spans="1:34" x14ac:dyDescent="0.2">
      <c r="F44" s="154" t="s">
        <v>27</v>
      </c>
      <c r="G44" s="154">
        <v>1.4</v>
      </c>
      <c r="I44" s="154">
        <f t="shared" si="0"/>
        <v>29</v>
      </c>
      <c r="J44" s="154">
        <v>3.9</v>
      </c>
      <c r="L44" s="156" t="s">
        <v>64</v>
      </c>
      <c r="M44" s="154">
        <v>1</v>
      </c>
      <c r="AC44" s="162"/>
      <c r="AH44" s="154">
        <v>20</v>
      </c>
    </row>
    <row r="45" spans="1:34" x14ac:dyDescent="0.2">
      <c r="A45" s="154">
        <v>1147</v>
      </c>
      <c r="F45" s="154" t="s">
        <v>28</v>
      </c>
      <c r="G45" s="154">
        <v>1.5</v>
      </c>
      <c r="I45" s="154">
        <f t="shared" si="0"/>
        <v>30</v>
      </c>
      <c r="J45" s="154">
        <v>3.9</v>
      </c>
      <c r="L45" s="156" t="s">
        <v>65</v>
      </c>
      <c r="M45" s="154">
        <v>1</v>
      </c>
      <c r="AC45" s="161"/>
      <c r="AH45" s="154">
        <v>21</v>
      </c>
    </row>
    <row r="46" spans="1:34" x14ac:dyDescent="0.2">
      <c r="A46" s="154">
        <v>1218</v>
      </c>
      <c r="I46" s="154">
        <f t="shared" si="0"/>
        <v>31</v>
      </c>
      <c r="J46" s="154">
        <v>3.9</v>
      </c>
      <c r="L46" s="156" t="s">
        <v>66</v>
      </c>
      <c r="M46" s="154">
        <v>5</v>
      </c>
      <c r="AC46" s="161">
        <v>3</v>
      </c>
      <c r="AH46" s="154">
        <v>22</v>
      </c>
    </row>
    <row r="47" spans="1:34" x14ac:dyDescent="0.2">
      <c r="A47" s="154">
        <v>1378</v>
      </c>
      <c r="I47" s="154">
        <f t="shared" si="0"/>
        <v>32</v>
      </c>
      <c r="J47" s="154">
        <v>3.9</v>
      </c>
      <c r="L47" s="156" t="s">
        <v>67</v>
      </c>
      <c r="M47" s="154">
        <v>5</v>
      </c>
      <c r="AC47" s="161" t="s">
        <v>102</v>
      </c>
      <c r="AD47" s="154">
        <v>0</v>
      </c>
      <c r="AH47" s="154">
        <v>23</v>
      </c>
    </row>
    <row r="48" spans="1:34" x14ac:dyDescent="0.2">
      <c r="A48" s="154" t="s">
        <v>29</v>
      </c>
      <c r="I48" s="154">
        <f t="shared" si="0"/>
        <v>33</v>
      </c>
      <c r="J48" s="154">
        <v>3.9</v>
      </c>
      <c r="L48" s="156" t="s">
        <v>68</v>
      </c>
      <c r="M48" s="154">
        <v>5</v>
      </c>
      <c r="AC48" s="161" t="s">
        <v>97</v>
      </c>
      <c r="AD48" s="154">
        <v>1.7</v>
      </c>
      <c r="AH48" s="154">
        <v>24</v>
      </c>
    </row>
    <row r="49" spans="1:34" x14ac:dyDescent="0.2">
      <c r="A49" s="154" t="s">
        <v>30</v>
      </c>
      <c r="B49" s="154">
        <v>1</v>
      </c>
      <c r="I49" s="154">
        <f t="shared" si="0"/>
        <v>34</v>
      </c>
      <c r="J49" s="154">
        <v>3.9</v>
      </c>
      <c r="L49" s="156" t="s">
        <v>69</v>
      </c>
      <c r="M49" s="154">
        <v>5</v>
      </c>
      <c r="AC49" s="161" t="s">
        <v>98</v>
      </c>
      <c r="AD49" s="154">
        <v>1</v>
      </c>
      <c r="AH49" s="154">
        <v>25</v>
      </c>
    </row>
    <row r="50" spans="1:34" x14ac:dyDescent="0.2">
      <c r="A50" s="154" t="s">
        <v>31</v>
      </c>
      <c r="B50" s="154">
        <v>1.2</v>
      </c>
      <c r="I50" s="154">
        <f t="shared" si="0"/>
        <v>35</v>
      </c>
      <c r="J50" s="154">
        <v>3.9</v>
      </c>
      <c r="L50" s="156" t="s">
        <v>70</v>
      </c>
      <c r="M50" s="154">
        <v>5</v>
      </c>
      <c r="AC50" s="161" t="s">
        <v>99</v>
      </c>
      <c r="AD50" s="154">
        <v>0.7</v>
      </c>
      <c r="AH50" s="154">
        <v>26</v>
      </c>
    </row>
    <row r="51" spans="1:34" x14ac:dyDescent="0.2">
      <c r="A51" s="154" t="s">
        <v>32</v>
      </c>
      <c r="B51" s="154">
        <v>1.3</v>
      </c>
      <c r="I51" s="154">
        <f t="shared" si="0"/>
        <v>36</v>
      </c>
      <c r="J51" s="154">
        <v>3.9</v>
      </c>
      <c r="L51" s="156" t="s">
        <v>71</v>
      </c>
      <c r="M51" s="154">
        <v>5</v>
      </c>
      <c r="AC51" s="161" t="s">
        <v>374</v>
      </c>
      <c r="AD51" s="154">
        <v>0.5</v>
      </c>
      <c r="AH51" s="154">
        <v>27</v>
      </c>
    </row>
    <row r="52" spans="1:34" x14ac:dyDescent="0.2">
      <c r="A52" s="154" t="s">
        <v>33</v>
      </c>
      <c r="B52" s="154">
        <v>1.3</v>
      </c>
      <c r="I52" s="154">
        <f t="shared" si="0"/>
        <v>37</v>
      </c>
      <c r="J52" s="154">
        <v>3.9</v>
      </c>
      <c r="L52" s="156" t="s">
        <v>72</v>
      </c>
      <c r="M52" s="154">
        <v>10</v>
      </c>
      <c r="AC52" s="161" t="s">
        <v>375</v>
      </c>
      <c r="AD52" s="154">
        <v>0.33</v>
      </c>
      <c r="AH52" s="154">
        <v>28</v>
      </c>
    </row>
    <row r="53" spans="1:34" x14ac:dyDescent="0.2">
      <c r="A53" s="154" t="s">
        <v>34</v>
      </c>
      <c r="B53" s="154">
        <v>1.3</v>
      </c>
      <c r="I53" s="154">
        <f t="shared" si="0"/>
        <v>38</v>
      </c>
      <c r="J53" s="154">
        <v>3.9</v>
      </c>
      <c r="L53" s="156" t="s">
        <v>73</v>
      </c>
      <c r="M53" s="154">
        <v>10</v>
      </c>
      <c r="AC53" s="161"/>
      <c r="AH53" s="154">
        <v>29</v>
      </c>
    </row>
    <row r="54" spans="1:34" x14ac:dyDescent="0.2">
      <c r="A54" s="154" t="s">
        <v>35</v>
      </c>
      <c r="B54" s="154">
        <v>1.3</v>
      </c>
      <c r="I54" s="154">
        <f t="shared" si="0"/>
        <v>39</v>
      </c>
      <c r="J54" s="154">
        <v>3.9</v>
      </c>
      <c r="L54" s="156" t="s">
        <v>74</v>
      </c>
      <c r="M54" s="154">
        <v>10</v>
      </c>
      <c r="AC54" s="161">
        <v>4</v>
      </c>
      <c r="AH54" s="154">
        <v>30</v>
      </c>
    </row>
    <row r="55" spans="1:34" x14ac:dyDescent="0.2">
      <c r="A55" s="154" t="s">
        <v>36</v>
      </c>
      <c r="B55" s="154">
        <v>1.2</v>
      </c>
      <c r="I55" s="154">
        <f t="shared" si="0"/>
        <v>40</v>
      </c>
      <c r="J55" s="154">
        <v>3.9</v>
      </c>
      <c r="L55" s="156" t="s">
        <v>75</v>
      </c>
      <c r="M55" s="154">
        <v>10</v>
      </c>
      <c r="AC55" s="161" t="s">
        <v>102</v>
      </c>
      <c r="AD55" s="154">
        <v>0</v>
      </c>
      <c r="AH55" s="154">
        <v>31</v>
      </c>
    </row>
    <row r="56" spans="1:34" x14ac:dyDescent="0.2">
      <c r="A56" s="154" t="s">
        <v>37</v>
      </c>
      <c r="B56" s="154">
        <v>1.2</v>
      </c>
      <c r="I56" s="154">
        <f>I55+1</f>
        <v>41</v>
      </c>
      <c r="J56" s="154">
        <v>3.9</v>
      </c>
      <c r="AC56" s="161" t="s">
        <v>97</v>
      </c>
      <c r="AD56" s="154">
        <v>1</v>
      </c>
      <c r="AH56" s="154">
        <v>32</v>
      </c>
    </row>
    <row r="57" spans="1:34" x14ac:dyDescent="0.2">
      <c r="I57" s="154">
        <f t="shared" si="0"/>
        <v>42</v>
      </c>
      <c r="J57" s="154">
        <v>3.9</v>
      </c>
      <c r="AC57" s="161" t="s">
        <v>98</v>
      </c>
      <c r="AD57" s="154">
        <v>0.7</v>
      </c>
      <c r="AH57" s="154">
        <v>33</v>
      </c>
    </row>
    <row r="58" spans="1:34" x14ac:dyDescent="0.2">
      <c r="A58" s="154" t="s">
        <v>45</v>
      </c>
      <c r="I58" s="154">
        <f t="shared" si="0"/>
        <v>43</v>
      </c>
      <c r="J58" s="154">
        <v>3.9</v>
      </c>
      <c r="AC58" s="161" t="s">
        <v>99</v>
      </c>
      <c r="AD58" s="154">
        <v>0.5</v>
      </c>
      <c r="AH58" s="154">
        <v>34</v>
      </c>
    </row>
    <row r="59" spans="1:34" x14ac:dyDescent="0.2">
      <c r="A59" s="154" t="s">
        <v>364</v>
      </c>
      <c r="B59" s="154">
        <v>1</v>
      </c>
      <c r="I59" s="154">
        <f t="shared" si="0"/>
        <v>44</v>
      </c>
      <c r="J59" s="154">
        <v>3.9</v>
      </c>
      <c r="AC59" s="161" t="s">
        <v>374</v>
      </c>
      <c r="AD59" s="154">
        <v>0.33</v>
      </c>
      <c r="AH59" s="154">
        <v>35</v>
      </c>
    </row>
    <row r="60" spans="1:34" x14ac:dyDescent="0.2">
      <c r="A60" s="154" t="s">
        <v>365</v>
      </c>
      <c r="B60" s="154">
        <v>1.5</v>
      </c>
      <c r="I60" s="154">
        <f t="shared" si="0"/>
        <v>45</v>
      </c>
      <c r="J60" s="154">
        <v>3.9</v>
      </c>
      <c r="AC60" s="161" t="s">
        <v>375</v>
      </c>
      <c r="AD60" s="154">
        <v>0.17</v>
      </c>
      <c r="AH60" s="154">
        <v>36</v>
      </c>
    </row>
    <row r="61" spans="1:34" x14ac:dyDescent="0.2">
      <c r="A61" s="154" t="s">
        <v>366</v>
      </c>
      <c r="B61" s="154">
        <v>2</v>
      </c>
      <c r="I61" s="154">
        <f t="shared" si="0"/>
        <v>46</v>
      </c>
      <c r="J61" s="154">
        <v>3.9</v>
      </c>
      <c r="AC61" s="161"/>
      <c r="AH61" s="154">
        <v>37</v>
      </c>
    </row>
    <row r="62" spans="1:34" x14ac:dyDescent="0.2">
      <c r="A62" s="154" t="s">
        <v>367</v>
      </c>
      <c r="B62" s="154">
        <v>3</v>
      </c>
      <c r="I62" s="154">
        <f t="shared" si="0"/>
        <v>47</v>
      </c>
      <c r="J62" s="154">
        <v>3.9</v>
      </c>
      <c r="AC62" s="161">
        <v>5</v>
      </c>
      <c r="AG62" s="161"/>
      <c r="AH62" s="154">
        <v>38</v>
      </c>
    </row>
    <row r="63" spans="1:34" x14ac:dyDescent="0.2">
      <c r="A63" s="154" t="s">
        <v>368</v>
      </c>
      <c r="B63" s="154">
        <v>5</v>
      </c>
      <c r="I63" s="154">
        <f>I62+1</f>
        <v>48</v>
      </c>
      <c r="J63" s="154">
        <v>3.9</v>
      </c>
      <c r="AC63" s="161" t="s">
        <v>102</v>
      </c>
      <c r="AD63" s="154">
        <v>0</v>
      </c>
      <c r="AG63" s="161"/>
      <c r="AH63" s="154">
        <v>39</v>
      </c>
    </row>
    <row r="64" spans="1:34" x14ac:dyDescent="0.2">
      <c r="I64" s="154">
        <f t="shared" si="0"/>
        <v>49</v>
      </c>
      <c r="J64" s="154">
        <v>3.9</v>
      </c>
      <c r="AC64" s="161" t="s">
        <v>220</v>
      </c>
      <c r="AD64" s="154">
        <v>0.17</v>
      </c>
      <c r="AG64" s="161"/>
      <c r="AH64" s="154">
        <v>40</v>
      </c>
    </row>
    <row r="65" spans="1:34" x14ac:dyDescent="0.2">
      <c r="A65" s="154" t="s">
        <v>76</v>
      </c>
      <c r="I65" s="154">
        <f t="shared" si="0"/>
        <v>50</v>
      </c>
      <c r="J65" s="154">
        <v>3.9</v>
      </c>
      <c r="AC65" s="161" t="s">
        <v>221</v>
      </c>
      <c r="AD65" s="154">
        <v>0.17</v>
      </c>
      <c r="AG65" s="161"/>
      <c r="AH65" s="154">
        <v>41</v>
      </c>
    </row>
    <row r="66" spans="1:34" ht="16" x14ac:dyDescent="0.2">
      <c r="A66" s="163" t="s">
        <v>78</v>
      </c>
      <c r="B66" s="154">
        <v>1.5</v>
      </c>
      <c r="AC66" s="161" t="s">
        <v>222</v>
      </c>
      <c r="AD66" s="154">
        <v>0.17</v>
      </c>
      <c r="AG66" s="161"/>
      <c r="AH66" s="154">
        <v>42</v>
      </c>
    </row>
    <row r="67" spans="1:34" ht="16" x14ac:dyDescent="0.2">
      <c r="A67" s="163" t="s">
        <v>77</v>
      </c>
      <c r="B67" s="154">
        <v>2</v>
      </c>
      <c r="AC67" s="161" t="s">
        <v>223</v>
      </c>
      <c r="AD67" s="154">
        <v>0.17</v>
      </c>
      <c r="AG67" s="161"/>
      <c r="AH67" s="154">
        <v>43</v>
      </c>
    </row>
    <row r="68" spans="1:34" ht="16" x14ac:dyDescent="0.2">
      <c r="A68" s="163" t="s">
        <v>79</v>
      </c>
      <c r="B68" s="154">
        <v>1</v>
      </c>
      <c r="AC68" s="161" t="s">
        <v>224</v>
      </c>
      <c r="AD68" s="154">
        <v>0.17</v>
      </c>
      <c r="AG68" s="161"/>
      <c r="AH68" s="154">
        <v>44</v>
      </c>
    </row>
    <row r="69" spans="1:34" x14ac:dyDescent="0.2">
      <c r="AG69" s="161"/>
      <c r="AH69" s="154">
        <v>45</v>
      </c>
    </row>
    <row r="70" spans="1:34" ht="16" x14ac:dyDescent="0.2">
      <c r="A70" s="164" t="s">
        <v>81</v>
      </c>
      <c r="D70" s="155" t="s">
        <v>118</v>
      </c>
      <c r="G70" s="154" t="s">
        <v>134</v>
      </c>
      <c r="J70" s="154" t="s">
        <v>136</v>
      </c>
      <c r="AC70" s="161">
        <v>6</v>
      </c>
      <c r="AG70" s="161"/>
      <c r="AH70" s="154">
        <v>46</v>
      </c>
    </row>
    <row r="71" spans="1:34" ht="16" x14ac:dyDescent="0.2">
      <c r="A71" s="165" t="s">
        <v>82</v>
      </c>
      <c r="D71" s="166" t="s">
        <v>82</v>
      </c>
      <c r="G71" s="167" t="s">
        <v>82</v>
      </c>
      <c r="AC71" s="161" t="s">
        <v>51</v>
      </c>
      <c r="AG71" s="161"/>
      <c r="AH71" s="154">
        <v>47</v>
      </c>
    </row>
    <row r="72" spans="1:34" ht="16" x14ac:dyDescent="0.2">
      <c r="A72" s="164" t="s">
        <v>83</v>
      </c>
      <c r="B72" s="154">
        <v>0.125</v>
      </c>
      <c r="D72" s="157" t="s">
        <v>83</v>
      </c>
      <c r="E72" s="154">
        <v>0.33500000000000002</v>
      </c>
      <c r="G72" s="154" t="s">
        <v>32</v>
      </c>
      <c r="H72" s="154">
        <v>0.34</v>
      </c>
      <c r="J72" s="154">
        <v>0.4</v>
      </c>
      <c r="AC72" s="161" t="s">
        <v>102</v>
      </c>
      <c r="AD72" s="154">
        <v>0</v>
      </c>
      <c r="AG72" s="161"/>
      <c r="AH72" s="154">
        <v>48</v>
      </c>
    </row>
    <row r="73" spans="1:34" x14ac:dyDescent="0.2">
      <c r="A73" s="154" t="s">
        <v>84</v>
      </c>
      <c r="B73" s="154">
        <v>0.25</v>
      </c>
      <c r="D73" s="154" t="s">
        <v>84</v>
      </c>
      <c r="E73" s="154">
        <v>0.67</v>
      </c>
      <c r="G73" s="154" t="s">
        <v>31</v>
      </c>
      <c r="H73" s="154">
        <v>0.24</v>
      </c>
      <c r="J73" s="154">
        <v>0.28000000000000003</v>
      </c>
      <c r="AC73" s="161" t="s">
        <v>226</v>
      </c>
      <c r="AD73" s="154">
        <v>0.24</v>
      </c>
      <c r="AG73" s="161"/>
      <c r="AH73" s="154">
        <v>49</v>
      </c>
    </row>
    <row r="74" spans="1:34" x14ac:dyDescent="0.2">
      <c r="A74" s="154" t="s">
        <v>85</v>
      </c>
      <c r="B74" s="154">
        <v>0.16500000000000001</v>
      </c>
      <c r="D74" s="154" t="s">
        <v>85</v>
      </c>
      <c r="E74" s="154">
        <v>0.4</v>
      </c>
      <c r="G74" s="154" t="s">
        <v>35</v>
      </c>
      <c r="H74" s="154">
        <v>0.17</v>
      </c>
      <c r="J74" s="154">
        <v>0.2</v>
      </c>
      <c r="AC74" s="161" t="s">
        <v>227</v>
      </c>
      <c r="AD74" s="154">
        <v>0.54</v>
      </c>
      <c r="AG74" s="161"/>
      <c r="AH74" s="154">
        <v>50</v>
      </c>
    </row>
    <row r="75" spans="1:34" x14ac:dyDescent="0.2">
      <c r="A75" s="154" t="s">
        <v>86</v>
      </c>
      <c r="B75" s="154">
        <v>0.33</v>
      </c>
      <c r="D75" s="154" t="s">
        <v>86</v>
      </c>
      <c r="E75" s="154">
        <v>0.8</v>
      </c>
      <c r="G75" s="154" t="s">
        <v>34</v>
      </c>
      <c r="H75" s="154">
        <v>0.12</v>
      </c>
      <c r="J75" s="154">
        <v>0.14000000000000001</v>
      </c>
      <c r="AC75" s="161" t="s">
        <v>381</v>
      </c>
      <c r="AD75" s="154">
        <v>0.67</v>
      </c>
      <c r="AG75" s="161"/>
    </row>
    <row r="76" spans="1:34" x14ac:dyDescent="0.2">
      <c r="D76" s="154"/>
      <c r="G76" s="154" t="s">
        <v>36</v>
      </c>
      <c r="H76" s="154">
        <v>0.4</v>
      </c>
      <c r="J76" s="154">
        <v>0.5</v>
      </c>
      <c r="AC76" s="161" t="s">
        <v>382</v>
      </c>
      <c r="AD76" s="154">
        <v>0.8</v>
      </c>
      <c r="AG76" s="161"/>
    </row>
    <row r="77" spans="1:34" x14ac:dyDescent="0.2">
      <c r="A77" s="168" t="s">
        <v>91</v>
      </c>
      <c r="D77" s="167" t="s">
        <v>120</v>
      </c>
      <c r="G77" s="154" t="s">
        <v>30</v>
      </c>
      <c r="H77" s="154">
        <v>0.28000000000000003</v>
      </c>
      <c r="J77" s="154">
        <v>0.35</v>
      </c>
      <c r="AC77" s="161" t="s">
        <v>103</v>
      </c>
      <c r="AD77" s="154">
        <v>0.2</v>
      </c>
      <c r="AG77" s="161"/>
    </row>
    <row r="78" spans="1:34" x14ac:dyDescent="0.2">
      <c r="A78" s="154" t="s">
        <v>87</v>
      </c>
      <c r="B78" s="154">
        <v>0</v>
      </c>
      <c r="D78" s="154" t="s">
        <v>121</v>
      </c>
      <c r="G78" s="154" t="s">
        <v>33</v>
      </c>
      <c r="H78" s="154">
        <v>0.2</v>
      </c>
      <c r="J78" s="154">
        <v>0.25</v>
      </c>
      <c r="AC78" s="161" t="s">
        <v>383</v>
      </c>
      <c r="AD78" s="154">
        <v>0.47</v>
      </c>
      <c r="AG78" s="161"/>
    </row>
    <row r="79" spans="1:34" x14ac:dyDescent="0.2">
      <c r="A79" s="154" t="s">
        <v>88</v>
      </c>
      <c r="B79" s="154">
        <v>0.125</v>
      </c>
      <c r="D79" s="154" t="s">
        <v>122</v>
      </c>
      <c r="G79" s="154" t="s">
        <v>37</v>
      </c>
      <c r="H79" s="154">
        <v>0.14000000000000001</v>
      </c>
      <c r="J79" s="154">
        <v>0.17499999999999999</v>
      </c>
      <c r="AC79" s="161" t="s">
        <v>384</v>
      </c>
      <c r="AD79" s="154">
        <v>0.67</v>
      </c>
      <c r="AG79" s="161"/>
    </row>
    <row r="80" spans="1:34" x14ac:dyDescent="0.2">
      <c r="A80" s="154" t="s">
        <v>89</v>
      </c>
      <c r="B80" s="154">
        <v>0.17499999999999999</v>
      </c>
      <c r="D80" s="154"/>
      <c r="AC80" s="161" t="s">
        <v>385</v>
      </c>
      <c r="AD80" s="154">
        <v>0.17</v>
      </c>
    </row>
    <row r="81" spans="1:33" x14ac:dyDescent="0.2">
      <c r="A81" s="154" t="s">
        <v>90</v>
      </c>
      <c r="B81" s="154">
        <v>0.25</v>
      </c>
      <c r="AC81" s="161" t="s">
        <v>386</v>
      </c>
      <c r="AD81" s="154">
        <v>0.33</v>
      </c>
    </row>
    <row r="82" spans="1:33" x14ac:dyDescent="0.2">
      <c r="AC82" s="161" t="s">
        <v>387</v>
      </c>
      <c r="AD82" s="154">
        <v>0.13</v>
      </c>
    </row>
    <row r="83" spans="1:33" x14ac:dyDescent="0.2">
      <c r="A83" s="168" t="s">
        <v>92</v>
      </c>
      <c r="AC83" s="161" t="s">
        <v>52</v>
      </c>
    </row>
    <row r="84" spans="1:33" x14ac:dyDescent="0.2">
      <c r="A84" s="154" t="s">
        <v>364</v>
      </c>
      <c r="B84" s="154">
        <v>1</v>
      </c>
      <c r="D84" s="154" t="s">
        <v>364</v>
      </c>
      <c r="E84" s="154">
        <v>0.5</v>
      </c>
      <c r="F84" s="154">
        <v>1</v>
      </c>
      <c r="AC84" s="161" t="s">
        <v>102</v>
      </c>
      <c r="AD84" s="154">
        <v>0</v>
      </c>
      <c r="AG84" s="161"/>
    </row>
    <row r="85" spans="1:33" x14ac:dyDescent="0.2">
      <c r="A85" s="154" t="s">
        <v>365</v>
      </c>
      <c r="B85" s="154">
        <v>1.5</v>
      </c>
      <c r="D85" s="154" t="s">
        <v>365</v>
      </c>
      <c r="E85" s="154">
        <v>0.33</v>
      </c>
      <c r="F85" s="154">
        <v>1.5</v>
      </c>
      <c r="AC85" s="161" t="s">
        <v>97</v>
      </c>
      <c r="AD85" s="154">
        <v>0.16</v>
      </c>
    </row>
    <row r="86" spans="1:33" x14ac:dyDescent="0.2">
      <c r="A86" s="154" t="s">
        <v>366</v>
      </c>
      <c r="B86" s="154">
        <v>2</v>
      </c>
      <c r="D86" s="154" t="s">
        <v>366</v>
      </c>
      <c r="E86" s="154">
        <v>0.25</v>
      </c>
      <c r="F86" s="154">
        <v>2</v>
      </c>
      <c r="AC86" s="161" t="s">
        <v>98</v>
      </c>
      <c r="AD86" s="154">
        <v>0.1</v>
      </c>
    </row>
    <row r="87" spans="1:33" x14ac:dyDescent="0.2">
      <c r="A87" s="154" t="s">
        <v>367</v>
      </c>
      <c r="B87" s="154">
        <v>3</v>
      </c>
      <c r="D87" s="154" t="s">
        <v>367</v>
      </c>
      <c r="E87" s="154">
        <v>0.2</v>
      </c>
      <c r="F87" s="154">
        <v>3</v>
      </c>
      <c r="AC87" s="161" t="s">
        <v>99</v>
      </c>
      <c r="AD87" s="154">
        <v>7.0000000000000007E-2</v>
      </c>
    </row>
    <row r="88" spans="1:33" x14ac:dyDescent="0.2">
      <c r="A88" s="154" t="s">
        <v>368</v>
      </c>
      <c r="B88" s="154">
        <v>5</v>
      </c>
      <c r="D88" s="154" t="s">
        <v>380</v>
      </c>
      <c r="E88" s="154">
        <v>0.2</v>
      </c>
      <c r="F88" s="154">
        <v>3.6</v>
      </c>
      <c r="AC88" s="161" t="s">
        <v>374</v>
      </c>
      <c r="AD88" s="154">
        <v>0.05</v>
      </c>
    </row>
    <row r="89" spans="1:33" x14ac:dyDescent="0.2">
      <c r="D89" s="154" t="s">
        <v>368</v>
      </c>
      <c r="E89" s="154">
        <v>0.15</v>
      </c>
      <c r="F89" s="154">
        <v>5</v>
      </c>
      <c r="AC89" s="161" t="s">
        <v>375</v>
      </c>
      <c r="AD89" s="154">
        <v>0.03</v>
      </c>
      <c r="AG89" s="161"/>
    </row>
    <row r="90" spans="1:33" x14ac:dyDescent="0.2">
      <c r="A90" s="154">
        <v>0</v>
      </c>
      <c r="B90" s="154">
        <v>0</v>
      </c>
    </row>
    <row r="91" spans="1:33" ht="16" x14ac:dyDescent="0.2">
      <c r="A91" s="154">
        <v>1</v>
      </c>
      <c r="B91" s="154">
        <v>0</v>
      </c>
      <c r="D91" s="166" t="s">
        <v>123</v>
      </c>
      <c r="AC91" s="161">
        <v>7</v>
      </c>
    </row>
    <row r="92" spans="1:33" x14ac:dyDescent="0.2">
      <c r="A92" s="154">
        <v>2</v>
      </c>
      <c r="B92" s="154">
        <v>0.5</v>
      </c>
      <c r="D92" s="154" t="s">
        <v>354</v>
      </c>
      <c r="AC92" s="154" t="s">
        <v>102</v>
      </c>
      <c r="AD92" s="154">
        <v>0</v>
      </c>
    </row>
    <row r="93" spans="1:33" x14ac:dyDescent="0.2">
      <c r="A93" s="154">
        <v>3</v>
      </c>
      <c r="B93" s="154">
        <v>0.83</v>
      </c>
      <c r="D93" s="154">
        <v>1</v>
      </c>
      <c r="AC93" s="154" t="s">
        <v>97</v>
      </c>
      <c r="AD93" s="154">
        <v>0.16</v>
      </c>
    </row>
    <row r="94" spans="1:33" x14ac:dyDescent="0.2">
      <c r="A94" s="154">
        <v>4</v>
      </c>
      <c r="B94" s="154">
        <v>1.08</v>
      </c>
      <c r="D94" s="154">
        <v>2</v>
      </c>
      <c r="AC94" s="154" t="s">
        <v>98</v>
      </c>
      <c r="AD94" s="154">
        <v>0.1</v>
      </c>
    </row>
    <row r="95" spans="1:33" x14ac:dyDescent="0.2">
      <c r="A95" s="154">
        <v>5</v>
      </c>
      <c r="B95" s="154">
        <v>1.25</v>
      </c>
      <c r="D95" s="154">
        <v>3</v>
      </c>
      <c r="AC95" s="154" t="s">
        <v>99</v>
      </c>
      <c r="AD95" s="154">
        <v>7.0000000000000007E-2</v>
      </c>
    </row>
    <row r="96" spans="1:33" x14ac:dyDescent="0.2">
      <c r="A96" s="154">
        <v>6</v>
      </c>
      <c r="B96" s="154">
        <v>1.39</v>
      </c>
      <c r="D96" s="154">
        <v>4</v>
      </c>
      <c r="AC96" s="161" t="s">
        <v>374</v>
      </c>
      <c r="AD96" s="154">
        <v>0.05</v>
      </c>
    </row>
    <row r="97" spans="1:33" x14ac:dyDescent="0.2">
      <c r="A97" s="154">
        <v>7</v>
      </c>
      <c r="B97" s="154">
        <v>1.52</v>
      </c>
      <c r="D97" s="154">
        <v>5</v>
      </c>
      <c r="AC97" s="161" t="s">
        <v>375</v>
      </c>
      <c r="AD97" s="154">
        <v>0.03</v>
      </c>
      <c r="AG97" s="161"/>
    </row>
    <row r="98" spans="1:33" x14ac:dyDescent="0.2">
      <c r="A98" s="154">
        <v>8</v>
      </c>
      <c r="B98" s="154">
        <v>1.63</v>
      </c>
      <c r="D98" s="154">
        <v>6</v>
      </c>
    </row>
    <row r="99" spans="1:33" x14ac:dyDescent="0.2">
      <c r="A99" s="154">
        <v>9</v>
      </c>
      <c r="B99" s="154">
        <v>1.73</v>
      </c>
      <c r="D99" s="154">
        <v>7</v>
      </c>
      <c r="AC99" s="161">
        <v>8</v>
      </c>
    </row>
    <row r="100" spans="1:33" x14ac:dyDescent="0.2">
      <c r="A100" s="154">
        <v>10</v>
      </c>
      <c r="B100" s="154">
        <v>1.82</v>
      </c>
      <c r="D100" s="154">
        <v>8</v>
      </c>
      <c r="AC100" s="161" t="s">
        <v>110</v>
      </c>
      <c r="AD100" s="154">
        <v>0.13</v>
      </c>
    </row>
    <row r="101" spans="1:33" x14ac:dyDescent="0.2">
      <c r="A101" s="154">
        <v>11</v>
      </c>
      <c r="B101" s="154">
        <v>1.9</v>
      </c>
      <c r="D101" s="154">
        <v>9</v>
      </c>
      <c r="AC101" s="161" t="s">
        <v>112</v>
      </c>
      <c r="AD101" s="154">
        <v>0.2</v>
      </c>
    </row>
    <row r="102" spans="1:33" x14ac:dyDescent="0.2">
      <c r="A102" s="154">
        <v>12</v>
      </c>
      <c r="B102" s="154">
        <v>1.98</v>
      </c>
      <c r="D102" s="154">
        <v>10</v>
      </c>
      <c r="AC102" s="161"/>
    </row>
    <row r="103" spans="1:33" x14ac:dyDescent="0.2">
      <c r="A103" s="154">
        <v>13</v>
      </c>
      <c r="B103" s="154">
        <v>2.0499999999999998</v>
      </c>
      <c r="D103" s="154">
        <v>11</v>
      </c>
      <c r="AC103" s="161"/>
    </row>
    <row r="104" spans="1:33" x14ac:dyDescent="0.2">
      <c r="A104" s="154">
        <v>14</v>
      </c>
      <c r="B104" s="154">
        <v>2.12</v>
      </c>
      <c r="D104" s="154">
        <v>12</v>
      </c>
    </row>
    <row r="105" spans="1:33" x14ac:dyDescent="0.2">
      <c r="A105" s="154">
        <v>15</v>
      </c>
      <c r="B105" s="154">
        <v>2.1800000000000002</v>
      </c>
      <c r="D105" s="154">
        <v>13</v>
      </c>
      <c r="AC105" s="161">
        <v>10</v>
      </c>
    </row>
    <row r="106" spans="1:33" x14ac:dyDescent="0.2">
      <c r="A106" s="154">
        <v>16</v>
      </c>
      <c r="B106" s="154">
        <v>2.2400000000000002</v>
      </c>
      <c r="D106" s="154">
        <v>14</v>
      </c>
      <c r="AC106" s="161" t="s">
        <v>113</v>
      </c>
      <c r="AD106" s="154">
        <v>7.0000000000000007E-2</v>
      </c>
    </row>
    <row r="107" spans="1:33" x14ac:dyDescent="0.2">
      <c r="A107" s="154">
        <v>17</v>
      </c>
      <c r="B107" s="154">
        <v>2.2999999999999998</v>
      </c>
      <c r="D107" s="154">
        <v>15</v>
      </c>
      <c r="AC107" s="161" t="s">
        <v>115</v>
      </c>
      <c r="AD107" s="154">
        <v>0.1</v>
      </c>
    </row>
    <row r="108" spans="1:33" x14ac:dyDescent="0.2">
      <c r="A108" s="154">
        <v>18</v>
      </c>
      <c r="B108" s="154">
        <v>2.35</v>
      </c>
      <c r="D108" s="154">
        <v>16</v>
      </c>
      <c r="AC108" s="161"/>
    </row>
    <row r="109" spans="1:33" x14ac:dyDescent="0.2">
      <c r="A109" s="154">
        <v>19</v>
      </c>
      <c r="B109" s="154">
        <v>2.4</v>
      </c>
      <c r="D109" s="154">
        <v>17</v>
      </c>
      <c r="AC109" s="161"/>
    </row>
    <row r="110" spans="1:33" x14ac:dyDescent="0.2">
      <c r="A110" s="154">
        <v>20</v>
      </c>
      <c r="B110" s="154">
        <v>2.4500000000000002</v>
      </c>
      <c r="D110" s="154">
        <v>18</v>
      </c>
    </row>
    <row r="111" spans="1:33" x14ac:dyDescent="0.2">
      <c r="A111" s="154">
        <f>A110+1</f>
        <v>21</v>
      </c>
      <c r="B111" s="154">
        <v>2.4500000000000002</v>
      </c>
      <c r="D111" s="154">
        <v>19</v>
      </c>
      <c r="AC111" s="161">
        <v>11</v>
      </c>
    </row>
    <row r="112" spans="1:33" x14ac:dyDescent="0.2">
      <c r="A112" s="154">
        <f t="shared" ref="A112:A175" si="1">A111+1</f>
        <v>22</v>
      </c>
      <c r="B112" s="154">
        <v>2.4500000000000002</v>
      </c>
      <c r="D112" s="154">
        <v>20</v>
      </c>
      <c r="AC112" s="161" t="s">
        <v>102</v>
      </c>
      <c r="AD112" s="154">
        <v>0</v>
      </c>
    </row>
    <row r="113" spans="1:33" x14ac:dyDescent="0.2">
      <c r="A113" s="154">
        <f t="shared" si="1"/>
        <v>23</v>
      </c>
      <c r="B113" s="154">
        <v>2.4500000000000002</v>
      </c>
      <c r="D113" s="154"/>
      <c r="AC113" s="161" t="s">
        <v>116</v>
      </c>
      <c r="AD113" s="154">
        <v>0.1</v>
      </c>
    </row>
    <row r="114" spans="1:33" x14ac:dyDescent="0.2">
      <c r="A114" s="154">
        <f t="shared" si="1"/>
        <v>24</v>
      </c>
      <c r="B114" s="154">
        <v>2.4500000000000002</v>
      </c>
      <c r="D114" s="167" t="s">
        <v>124</v>
      </c>
      <c r="AC114" s="161" t="s">
        <v>117</v>
      </c>
      <c r="AD114" s="154">
        <v>0.2</v>
      </c>
    </row>
    <row r="115" spans="1:33" x14ac:dyDescent="0.2">
      <c r="A115" s="154">
        <f t="shared" si="1"/>
        <v>25</v>
      </c>
      <c r="B115" s="154">
        <v>2.4500000000000002</v>
      </c>
      <c r="D115" s="154" t="s">
        <v>125</v>
      </c>
    </row>
    <row r="116" spans="1:33" x14ac:dyDescent="0.2">
      <c r="A116" s="154">
        <f t="shared" si="1"/>
        <v>26</v>
      </c>
      <c r="B116" s="154">
        <v>2.4500000000000002</v>
      </c>
      <c r="D116" s="154">
        <v>1</v>
      </c>
      <c r="AG116" s="161"/>
    </row>
    <row r="117" spans="1:33" x14ac:dyDescent="0.2">
      <c r="A117" s="154">
        <f t="shared" si="1"/>
        <v>27</v>
      </c>
      <c r="B117" s="154">
        <v>2.4500000000000002</v>
      </c>
      <c r="D117" s="154">
        <v>2</v>
      </c>
      <c r="AC117" s="161" t="s">
        <v>281</v>
      </c>
    </row>
    <row r="118" spans="1:33" x14ac:dyDescent="0.2">
      <c r="A118" s="154">
        <f t="shared" si="1"/>
        <v>28</v>
      </c>
      <c r="B118" s="154">
        <v>2.4500000000000002</v>
      </c>
      <c r="D118" s="154">
        <v>3</v>
      </c>
      <c r="AC118" s="158" t="s">
        <v>282</v>
      </c>
    </row>
    <row r="119" spans="1:33" x14ac:dyDescent="0.2">
      <c r="A119" s="154">
        <f t="shared" si="1"/>
        <v>29</v>
      </c>
      <c r="B119" s="154">
        <v>2.4500000000000002</v>
      </c>
      <c r="D119" s="154">
        <v>4</v>
      </c>
      <c r="AC119" s="154" t="s">
        <v>283</v>
      </c>
    </row>
    <row r="120" spans="1:33" x14ac:dyDescent="0.2">
      <c r="A120" s="154">
        <f t="shared" si="1"/>
        <v>30</v>
      </c>
      <c r="B120" s="154">
        <v>2.4500000000000002</v>
      </c>
      <c r="D120" s="154">
        <v>5</v>
      </c>
      <c r="AC120" s="154" t="s">
        <v>310</v>
      </c>
    </row>
    <row r="121" spans="1:33" x14ac:dyDescent="0.2">
      <c r="A121" s="154">
        <f t="shared" si="1"/>
        <v>31</v>
      </c>
      <c r="B121" s="154">
        <v>2.4500000000000002</v>
      </c>
      <c r="D121" s="154"/>
      <c r="AC121" s="154" t="s">
        <v>284</v>
      </c>
    </row>
    <row r="122" spans="1:33" x14ac:dyDescent="0.2">
      <c r="A122" s="154">
        <f t="shared" si="1"/>
        <v>32</v>
      </c>
      <c r="B122" s="154">
        <v>2.4500000000000002</v>
      </c>
      <c r="D122" s="154" t="s">
        <v>126</v>
      </c>
      <c r="AC122" s="154" t="s">
        <v>285</v>
      </c>
    </row>
    <row r="123" spans="1:33" ht="16" x14ac:dyDescent="0.2">
      <c r="A123" s="154">
        <f t="shared" si="1"/>
        <v>33</v>
      </c>
      <c r="B123" s="154">
        <v>2.4500000000000002</v>
      </c>
      <c r="D123" s="155" t="s">
        <v>131</v>
      </c>
      <c r="E123" s="154">
        <v>0</v>
      </c>
      <c r="AC123" s="154" t="s">
        <v>286</v>
      </c>
    </row>
    <row r="124" spans="1:33" x14ac:dyDescent="0.2">
      <c r="A124" s="154">
        <f t="shared" si="1"/>
        <v>34</v>
      </c>
      <c r="B124" s="154">
        <v>2.4500000000000002</v>
      </c>
      <c r="D124" s="154" t="s">
        <v>127</v>
      </c>
      <c r="E124" s="154">
        <v>0.2</v>
      </c>
      <c r="AC124" s="154" t="s">
        <v>287</v>
      </c>
    </row>
    <row r="125" spans="1:33" x14ac:dyDescent="0.2">
      <c r="A125" s="154">
        <f t="shared" si="1"/>
        <v>35</v>
      </c>
      <c r="B125" s="154">
        <v>2.4500000000000002</v>
      </c>
      <c r="D125" s="154" t="s">
        <v>128</v>
      </c>
      <c r="E125" s="154">
        <v>0.3</v>
      </c>
      <c r="AC125" s="154" t="s">
        <v>288</v>
      </c>
    </row>
    <row r="126" spans="1:33" x14ac:dyDescent="0.2">
      <c r="A126" s="154">
        <f t="shared" si="1"/>
        <v>36</v>
      </c>
      <c r="B126" s="154">
        <v>2.4500000000000002</v>
      </c>
      <c r="D126" s="154" t="s">
        <v>129</v>
      </c>
      <c r="E126" s="154">
        <v>0.4</v>
      </c>
      <c r="AC126" s="154" t="s">
        <v>289</v>
      </c>
    </row>
    <row r="127" spans="1:33" x14ac:dyDescent="0.2">
      <c r="A127" s="154">
        <f t="shared" si="1"/>
        <v>37</v>
      </c>
      <c r="B127" s="154">
        <v>2.4500000000000002</v>
      </c>
      <c r="D127" s="154" t="s">
        <v>130</v>
      </c>
      <c r="E127" s="154">
        <v>0.5</v>
      </c>
    </row>
    <row r="128" spans="1:33" x14ac:dyDescent="0.2">
      <c r="A128" s="154">
        <f t="shared" si="1"/>
        <v>38</v>
      </c>
      <c r="B128" s="154">
        <v>2.4500000000000002</v>
      </c>
      <c r="D128" s="154"/>
      <c r="AC128" s="154" t="s">
        <v>293</v>
      </c>
      <c r="AG128" s="154" t="s">
        <v>290</v>
      </c>
    </row>
    <row r="129" spans="1:30" x14ac:dyDescent="0.2">
      <c r="A129" s="154">
        <f t="shared" si="1"/>
        <v>39</v>
      </c>
      <c r="B129" s="154">
        <v>2.4500000000000002</v>
      </c>
      <c r="D129" s="154"/>
      <c r="AC129" s="154" t="s">
        <v>291</v>
      </c>
    </row>
    <row r="130" spans="1:30" x14ac:dyDescent="0.2">
      <c r="A130" s="154">
        <f t="shared" si="1"/>
        <v>40</v>
      </c>
      <c r="B130" s="154">
        <v>2.4500000000000002</v>
      </c>
      <c r="D130" s="154"/>
      <c r="AC130" s="154" t="s">
        <v>300</v>
      </c>
    </row>
    <row r="131" spans="1:30" x14ac:dyDescent="0.2">
      <c r="A131" s="154">
        <f t="shared" si="1"/>
        <v>41</v>
      </c>
      <c r="B131" s="154">
        <v>2.4500000000000002</v>
      </c>
      <c r="D131" s="154"/>
      <c r="AC131" s="154" t="s">
        <v>292</v>
      </c>
    </row>
    <row r="132" spans="1:30" x14ac:dyDescent="0.2">
      <c r="A132" s="154">
        <f t="shared" si="1"/>
        <v>42</v>
      </c>
      <c r="B132" s="154">
        <v>2.4500000000000002</v>
      </c>
      <c r="D132" s="154"/>
    </row>
    <row r="133" spans="1:30" x14ac:dyDescent="0.2">
      <c r="A133" s="154">
        <f t="shared" si="1"/>
        <v>43</v>
      </c>
      <c r="B133" s="154">
        <v>2.4500000000000002</v>
      </c>
      <c r="D133" s="154"/>
      <c r="AC133" s="158" t="s">
        <v>298</v>
      </c>
    </row>
    <row r="134" spans="1:30" x14ac:dyDescent="0.2">
      <c r="A134" s="154">
        <f t="shared" si="1"/>
        <v>44</v>
      </c>
      <c r="B134" s="154">
        <v>2.4500000000000002</v>
      </c>
      <c r="D134" s="154"/>
      <c r="AC134" s="154" t="s">
        <v>295</v>
      </c>
    </row>
    <row r="135" spans="1:30" x14ac:dyDescent="0.2">
      <c r="A135" s="154">
        <f t="shared" si="1"/>
        <v>45</v>
      </c>
      <c r="B135" s="154">
        <v>2.4500000000000002</v>
      </c>
      <c r="D135" s="154"/>
      <c r="AC135" s="154" t="s">
        <v>296</v>
      </c>
    </row>
    <row r="136" spans="1:30" x14ac:dyDescent="0.2">
      <c r="A136" s="154">
        <f t="shared" si="1"/>
        <v>46</v>
      </c>
      <c r="B136" s="154">
        <v>2.4500000000000002</v>
      </c>
      <c r="D136" s="154"/>
      <c r="AC136" s="154" t="s">
        <v>297</v>
      </c>
    </row>
    <row r="137" spans="1:30" x14ac:dyDescent="0.2">
      <c r="A137" s="154">
        <f t="shared" si="1"/>
        <v>47</v>
      </c>
      <c r="B137" s="154">
        <v>2.4500000000000002</v>
      </c>
      <c r="D137" s="154"/>
    </row>
    <row r="138" spans="1:30" x14ac:dyDescent="0.2">
      <c r="A138" s="154">
        <f t="shared" si="1"/>
        <v>48</v>
      </c>
      <c r="B138" s="154">
        <v>2.4500000000000002</v>
      </c>
      <c r="D138" s="154"/>
    </row>
    <row r="139" spans="1:30" x14ac:dyDescent="0.2">
      <c r="A139" s="154">
        <f t="shared" si="1"/>
        <v>49</v>
      </c>
      <c r="B139" s="154">
        <v>2.4500000000000002</v>
      </c>
      <c r="D139" s="154"/>
      <c r="AC139" s="154" t="s">
        <v>364</v>
      </c>
      <c r="AD139" s="154">
        <v>1</v>
      </c>
    </row>
    <row r="140" spans="1:30" x14ac:dyDescent="0.2">
      <c r="A140" s="154">
        <f t="shared" si="1"/>
        <v>50</v>
      </c>
      <c r="B140" s="154">
        <v>2.4500000000000002</v>
      </c>
      <c r="D140" s="154"/>
      <c r="AC140" s="154" t="s">
        <v>365</v>
      </c>
      <c r="AD140" s="154">
        <v>1.5</v>
      </c>
    </row>
    <row r="141" spans="1:30" x14ac:dyDescent="0.2">
      <c r="A141" s="154">
        <f t="shared" si="1"/>
        <v>51</v>
      </c>
      <c r="B141" s="154">
        <v>2.4500000000000002</v>
      </c>
      <c r="D141" s="154"/>
      <c r="AC141" s="154" t="s">
        <v>366</v>
      </c>
      <c r="AD141" s="154">
        <v>2</v>
      </c>
    </row>
    <row r="142" spans="1:30" x14ac:dyDescent="0.2">
      <c r="A142" s="154">
        <f t="shared" si="1"/>
        <v>52</v>
      </c>
      <c r="B142" s="154">
        <v>2.4500000000000002</v>
      </c>
      <c r="D142" s="154"/>
      <c r="AC142" s="154" t="s">
        <v>367</v>
      </c>
      <c r="AD142" s="154">
        <v>3</v>
      </c>
    </row>
    <row r="143" spans="1:30" x14ac:dyDescent="0.2">
      <c r="A143" s="154">
        <f t="shared" si="1"/>
        <v>53</v>
      </c>
      <c r="B143" s="154">
        <v>2.4500000000000002</v>
      </c>
      <c r="D143" s="154"/>
      <c r="AC143" s="154" t="s">
        <v>369</v>
      </c>
      <c r="AD143" s="154">
        <v>3.6</v>
      </c>
    </row>
    <row r="144" spans="1:30" x14ac:dyDescent="0.2">
      <c r="A144" s="154">
        <f t="shared" si="1"/>
        <v>54</v>
      </c>
      <c r="B144" s="154">
        <v>2.4500000000000002</v>
      </c>
      <c r="D144" s="154"/>
      <c r="AC144" s="154" t="s">
        <v>368</v>
      </c>
      <c r="AD144" s="154">
        <v>5</v>
      </c>
    </row>
    <row r="145" spans="1:4" x14ac:dyDescent="0.2">
      <c r="A145" s="154">
        <f t="shared" si="1"/>
        <v>55</v>
      </c>
      <c r="B145" s="154">
        <v>2.4500000000000002</v>
      </c>
      <c r="D145" s="154"/>
    </row>
    <row r="146" spans="1:4" x14ac:dyDescent="0.2">
      <c r="A146" s="154">
        <f t="shared" si="1"/>
        <v>56</v>
      </c>
      <c r="B146" s="154">
        <v>2.4500000000000002</v>
      </c>
      <c r="D146" s="154"/>
    </row>
    <row r="147" spans="1:4" x14ac:dyDescent="0.2">
      <c r="A147" s="154">
        <f t="shared" si="1"/>
        <v>57</v>
      </c>
      <c r="B147" s="154">
        <v>2.4500000000000002</v>
      </c>
      <c r="D147" s="154"/>
    </row>
    <row r="148" spans="1:4" x14ac:dyDescent="0.2">
      <c r="A148" s="154">
        <f t="shared" si="1"/>
        <v>58</v>
      </c>
      <c r="B148" s="154">
        <v>2.4500000000000002</v>
      </c>
      <c r="D148" s="154"/>
    </row>
    <row r="149" spans="1:4" x14ac:dyDescent="0.2">
      <c r="A149" s="154">
        <f t="shared" si="1"/>
        <v>59</v>
      </c>
      <c r="B149" s="154">
        <v>2.4500000000000002</v>
      </c>
      <c r="D149" s="154"/>
    </row>
    <row r="150" spans="1:4" x14ac:dyDescent="0.2">
      <c r="A150" s="154">
        <f t="shared" si="1"/>
        <v>60</v>
      </c>
      <c r="B150" s="154">
        <v>2.4500000000000002</v>
      </c>
      <c r="D150" s="154"/>
    </row>
    <row r="151" spans="1:4" x14ac:dyDescent="0.2">
      <c r="A151" s="154">
        <f t="shared" si="1"/>
        <v>61</v>
      </c>
      <c r="B151" s="154">
        <v>2.4500000000000002</v>
      </c>
      <c r="D151" s="154"/>
    </row>
    <row r="152" spans="1:4" x14ac:dyDescent="0.2">
      <c r="A152" s="154">
        <f t="shared" si="1"/>
        <v>62</v>
      </c>
      <c r="B152" s="154">
        <v>2.4500000000000002</v>
      </c>
      <c r="D152" s="154"/>
    </row>
    <row r="153" spans="1:4" x14ac:dyDescent="0.2">
      <c r="A153" s="154">
        <f t="shared" si="1"/>
        <v>63</v>
      </c>
      <c r="B153" s="154">
        <v>2.4500000000000002</v>
      </c>
      <c r="D153" s="154"/>
    </row>
    <row r="154" spans="1:4" x14ac:dyDescent="0.2">
      <c r="A154" s="154">
        <f t="shared" si="1"/>
        <v>64</v>
      </c>
      <c r="B154" s="154">
        <v>2.4500000000000002</v>
      </c>
      <c r="D154" s="154"/>
    </row>
    <row r="155" spans="1:4" x14ac:dyDescent="0.2">
      <c r="A155" s="154">
        <f t="shared" si="1"/>
        <v>65</v>
      </c>
      <c r="B155" s="154">
        <v>2.4500000000000002</v>
      </c>
      <c r="D155" s="154"/>
    </row>
    <row r="156" spans="1:4" x14ac:dyDescent="0.2">
      <c r="A156" s="154">
        <f t="shared" si="1"/>
        <v>66</v>
      </c>
      <c r="B156" s="154">
        <v>2.4500000000000002</v>
      </c>
      <c r="D156" s="154"/>
    </row>
    <row r="157" spans="1:4" x14ac:dyDescent="0.2">
      <c r="A157" s="154">
        <f t="shared" si="1"/>
        <v>67</v>
      </c>
      <c r="B157" s="154">
        <v>2.4500000000000002</v>
      </c>
      <c r="D157" s="154"/>
    </row>
    <row r="158" spans="1:4" x14ac:dyDescent="0.2">
      <c r="A158" s="154">
        <f t="shared" si="1"/>
        <v>68</v>
      </c>
      <c r="B158" s="154">
        <v>2.4500000000000002</v>
      </c>
      <c r="D158" s="154"/>
    </row>
    <row r="159" spans="1:4" x14ac:dyDescent="0.2">
      <c r="A159" s="154">
        <f t="shared" si="1"/>
        <v>69</v>
      </c>
      <c r="B159" s="154">
        <v>2.4500000000000002</v>
      </c>
      <c r="D159" s="154"/>
    </row>
    <row r="160" spans="1:4" x14ac:dyDescent="0.2">
      <c r="A160" s="154">
        <f t="shared" si="1"/>
        <v>70</v>
      </c>
      <c r="B160" s="154">
        <v>2.4500000000000002</v>
      </c>
      <c r="D160" s="154"/>
    </row>
    <row r="161" spans="1:4" x14ac:dyDescent="0.2">
      <c r="A161" s="154">
        <f t="shared" si="1"/>
        <v>71</v>
      </c>
      <c r="B161" s="154">
        <v>2.4500000000000002</v>
      </c>
      <c r="D161" s="154"/>
    </row>
    <row r="162" spans="1:4" x14ac:dyDescent="0.2">
      <c r="A162" s="154">
        <f t="shared" si="1"/>
        <v>72</v>
      </c>
      <c r="B162" s="154">
        <v>2.4500000000000002</v>
      </c>
      <c r="D162" s="154"/>
    </row>
    <row r="163" spans="1:4" x14ac:dyDescent="0.2">
      <c r="A163" s="154">
        <f t="shared" si="1"/>
        <v>73</v>
      </c>
      <c r="B163" s="154">
        <v>2.4500000000000002</v>
      </c>
      <c r="D163" s="154"/>
    </row>
    <row r="164" spans="1:4" x14ac:dyDescent="0.2">
      <c r="A164" s="154">
        <f t="shared" si="1"/>
        <v>74</v>
      </c>
      <c r="B164" s="154">
        <v>2.4500000000000002</v>
      </c>
      <c r="D164" s="154"/>
    </row>
    <row r="165" spans="1:4" x14ac:dyDescent="0.2">
      <c r="A165" s="154">
        <f t="shared" si="1"/>
        <v>75</v>
      </c>
      <c r="B165" s="154">
        <v>2.4500000000000002</v>
      </c>
      <c r="D165" s="154"/>
    </row>
    <row r="166" spans="1:4" x14ac:dyDescent="0.2">
      <c r="A166" s="154">
        <f t="shared" si="1"/>
        <v>76</v>
      </c>
      <c r="B166" s="154">
        <v>2.4500000000000002</v>
      </c>
      <c r="D166" s="154"/>
    </row>
    <row r="167" spans="1:4" x14ac:dyDescent="0.2">
      <c r="A167" s="154">
        <f t="shared" si="1"/>
        <v>77</v>
      </c>
      <c r="B167" s="154">
        <v>2.4500000000000002</v>
      </c>
      <c r="D167" s="154"/>
    </row>
    <row r="168" spans="1:4" x14ac:dyDescent="0.2">
      <c r="A168" s="154">
        <f t="shared" si="1"/>
        <v>78</v>
      </c>
      <c r="B168" s="154">
        <v>2.4500000000000002</v>
      </c>
      <c r="D168" s="154"/>
    </row>
    <row r="169" spans="1:4" x14ac:dyDescent="0.2">
      <c r="A169" s="154">
        <f t="shared" si="1"/>
        <v>79</v>
      </c>
      <c r="B169" s="154">
        <v>2.4500000000000002</v>
      </c>
      <c r="D169" s="154"/>
    </row>
    <row r="170" spans="1:4" x14ac:dyDescent="0.2">
      <c r="A170" s="154">
        <f t="shared" si="1"/>
        <v>80</v>
      </c>
      <c r="B170" s="154">
        <v>2.4500000000000002</v>
      </c>
      <c r="D170" s="154"/>
    </row>
    <row r="171" spans="1:4" x14ac:dyDescent="0.2">
      <c r="A171" s="154">
        <f t="shared" si="1"/>
        <v>81</v>
      </c>
      <c r="B171" s="154">
        <v>2.4500000000000002</v>
      </c>
      <c r="D171" s="154"/>
    </row>
    <row r="172" spans="1:4" x14ac:dyDescent="0.2">
      <c r="A172" s="154">
        <f t="shared" si="1"/>
        <v>82</v>
      </c>
      <c r="B172" s="154">
        <v>2.4500000000000002</v>
      </c>
      <c r="D172" s="154"/>
    </row>
    <row r="173" spans="1:4" x14ac:dyDescent="0.2">
      <c r="A173" s="154">
        <f t="shared" si="1"/>
        <v>83</v>
      </c>
      <c r="B173" s="154">
        <v>2.4500000000000002</v>
      </c>
      <c r="D173" s="154"/>
    </row>
    <row r="174" spans="1:4" x14ac:dyDescent="0.2">
      <c r="A174" s="154">
        <f t="shared" si="1"/>
        <v>84</v>
      </c>
      <c r="B174" s="154">
        <v>2.4500000000000002</v>
      </c>
      <c r="D174" s="154"/>
    </row>
    <row r="175" spans="1:4" x14ac:dyDescent="0.2">
      <c r="A175" s="154">
        <f t="shared" si="1"/>
        <v>85</v>
      </c>
      <c r="B175" s="154">
        <v>2.4500000000000002</v>
      </c>
      <c r="D175" s="154"/>
    </row>
    <row r="176" spans="1:4" x14ac:dyDescent="0.2">
      <c r="A176" s="154">
        <f t="shared" ref="A176:A190" si="2">A175+1</f>
        <v>86</v>
      </c>
      <c r="B176" s="154">
        <v>2.4500000000000002</v>
      </c>
      <c r="D176" s="154"/>
    </row>
    <row r="177" spans="1:4" x14ac:dyDescent="0.2">
      <c r="A177" s="154">
        <f t="shared" si="2"/>
        <v>87</v>
      </c>
      <c r="B177" s="154">
        <v>2.4500000000000002</v>
      </c>
      <c r="D177" s="154"/>
    </row>
    <row r="178" spans="1:4" x14ac:dyDescent="0.2">
      <c r="A178" s="154">
        <f t="shared" si="2"/>
        <v>88</v>
      </c>
      <c r="B178" s="154">
        <v>2.4500000000000002</v>
      </c>
      <c r="D178" s="154"/>
    </row>
    <row r="179" spans="1:4" x14ac:dyDescent="0.2">
      <c r="A179" s="154">
        <f t="shared" si="2"/>
        <v>89</v>
      </c>
      <c r="B179" s="154">
        <v>2.4500000000000002</v>
      </c>
      <c r="D179" s="154"/>
    </row>
    <row r="180" spans="1:4" x14ac:dyDescent="0.2">
      <c r="A180" s="154">
        <f t="shared" si="2"/>
        <v>90</v>
      </c>
      <c r="B180" s="154">
        <v>2.4500000000000002</v>
      </c>
      <c r="D180" s="154"/>
    </row>
    <row r="181" spans="1:4" x14ac:dyDescent="0.2">
      <c r="A181" s="154">
        <f t="shared" si="2"/>
        <v>91</v>
      </c>
      <c r="B181" s="154">
        <v>2.4500000000000002</v>
      </c>
      <c r="D181" s="154"/>
    </row>
    <row r="182" spans="1:4" x14ac:dyDescent="0.2">
      <c r="A182" s="154">
        <f t="shared" si="2"/>
        <v>92</v>
      </c>
      <c r="B182" s="154">
        <v>2.4500000000000002</v>
      </c>
      <c r="D182" s="154"/>
    </row>
    <row r="183" spans="1:4" x14ac:dyDescent="0.2">
      <c r="A183" s="154">
        <f t="shared" si="2"/>
        <v>93</v>
      </c>
      <c r="B183" s="154">
        <v>2.4500000000000002</v>
      </c>
      <c r="D183" s="154"/>
    </row>
    <row r="184" spans="1:4" x14ac:dyDescent="0.2">
      <c r="A184" s="154">
        <f t="shared" si="2"/>
        <v>94</v>
      </c>
      <c r="B184" s="154">
        <v>2.4500000000000002</v>
      </c>
      <c r="D184" s="154"/>
    </row>
    <row r="185" spans="1:4" x14ac:dyDescent="0.2">
      <c r="A185" s="154">
        <f t="shared" si="2"/>
        <v>95</v>
      </c>
      <c r="B185" s="154">
        <v>2.4500000000000002</v>
      </c>
      <c r="D185" s="154"/>
    </row>
    <row r="186" spans="1:4" x14ac:dyDescent="0.2">
      <c r="A186" s="154">
        <f t="shared" si="2"/>
        <v>96</v>
      </c>
      <c r="B186" s="154">
        <v>2.4500000000000002</v>
      </c>
      <c r="D186" s="154"/>
    </row>
    <row r="187" spans="1:4" x14ac:dyDescent="0.2">
      <c r="A187" s="154">
        <f t="shared" si="2"/>
        <v>97</v>
      </c>
      <c r="B187" s="154">
        <v>2.4500000000000002</v>
      </c>
      <c r="D187" s="154"/>
    </row>
    <row r="188" spans="1:4" x14ac:dyDescent="0.2">
      <c r="A188" s="154">
        <f t="shared" si="2"/>
        <v>98</v>
      </c>
      <c r="B188" s="154">
        <v>2.4500000000000002</v>
      </c>
      <c r="D188" s="154"/>
    </row>
    <row r="189" spans="1:4" x14ac:dyDescent="0.2">
      <c r="A189" s="154">
        <f t="shared" si="2"/>
        <v>99</v>
      </c>
      <c r="B189" s="154">
        <v>2.4500000000000002</v>
      </c>
      <c r="D189" s="154"/>
    </row>
    <row r="190" spans="1:4" x14ac:dyDescent="0.2">
      <c r="A190" s="154">
        <f t="shared" si="2"/>
        <v>100</v>
      </c>
      <c r="B190" s="154">
        <v>2.4500000000000002</v>
      </c>
      <c r="D190" s="154"/>
    </row>
    <row r="191" spans="1:4" x14ac:dyDescent="0.2">
      <c r="A191" s="167" t="s">
        <v>93</v>
      </c>
      <c r="D191" s="154"/>
    </row>
    <row r="192" spans="1:4" x14ac:dyDescent="0.2">
      <c r="A192" s="154" t="s">
        <v>0</v>
      </c>
      <c r="B192" s="154">
        <v>1.1000000000000001</v>
      </c>
      <c r="D192" s="154"/>
    </row>
    <row r="193" spans="1:4" x14ac:dyDescent="0.2">
      <c r="A193" s="154" t="s">
        <v>1</v>
      </c>
      <c r="B193" s="154">
        <v>1</v>
      </c>
      <c r="D193" s="154"/>
    </row>
    <row r="194" spans="1:4" x14ac:dyDescent="0.2">
      <c r="D194" s="154"/>
    </row>
    <row r="195" spans="1:4" x14ac:dyDescent="0.2">
      <c r="D195" s="154"/>
    </row>
    <row r="196" spans="1:4" ht="16" x14ac:dyDescent="0.2">
      <c r="A196" s="155" t="s">
        <v>95</v>
      </c>
      <c r="D196" s="154"/>
    </row>
    <row r="197" spans="1:4" x14ac:dyDescent="0.2">
      <c r="A197" s="155"/>
      <c r="D197" s="154"/>
    </row>
    <row r="198" spans="1:4" x14ac:dyDescent="0.2">
      <c r="A198" s="159">
        <v>1</v>
      </c>
      <c r="D198" s="154"/>
    </row>
    <row r="199" spans="1:4" ht="16" x14ac:dyDescent="0.2">
      <c r="A199" s="160" t="s">
        <v>102</v>
      </c>
      <c r="B199" s="154">
        <v>0</v>
      </c>
      <c r="D199" s="154"/>
    </row>
    <row r="200" spans="1:4" ht="16" x14ac:dyDescent="0.2">
      <c r="A200" s="160" t="s">
        <v>147</v>
      </c>
      <c r="B200" s="154">
        <v>0.2</v>
      </c>
      <c r="D200" s="154"/>
    </row>
    <row r="201" spans="1:4" ht="16" x14ac:dyDescent="0.2">
      <c r="A201" s="160" t="s">
        <v>94</v>
      </c>
      <c r="B201" s="154">
        <v>0.13</v>
      </c>
      <c r="D201" s="154"/>
    </row>
    <row r="202" spans="1:4" x14ac:dyDescent="0.2">
      <c r="A202" s="160"/>
      <c r="D202" s="154"/>
    </row>
    <row r="203" spans="1:4" x14ac:dyDescent="0.2">
      <c r="D203" s="154"/>
    </row>
    <row r="204" spans="1:4" x14ac:dyDescent="0.2">
      <c r="A204" s="161">
        <v>2</v>
      </c>
      <c r="D204" s="154"/>
    </row>
    <row r="205" spans="1:4" ht="16" x14ac:dyDescent="0.2">
      <c r="A205" s="160" t="s">
        <v>102</v>
      </c>
      <c r="B205" s="154">
        <v>0</v>
      </c>
      <c r="D205" s="154"/>
    </row>
    <row r="206" spans="1:4" x14ac:dyDescent="0.2">
      <c r="A206" s="162" t="s">
        <v>96</v>
      </c>
      <c r="B206" s="154">
        <v>0.2</v>
      </c>
      <c r="D206" s="154"/>
    </row>
    <row r="207" spans="1:4" x14ac:dyDescent="0.2">
      <c r="A207" s="162" t="s">
        <v>94</v>
      </c>
      <c r="B207" s="154">
        <v>0.13</v>
      </c>
      <c r="D207" s="154"/>
    </row>
    <row r="208" spans="1:4" x14ac:dyDescent="0.2">
      <c r="A208" s="162"/>
      <c r="D208" s="154"/>
    </row>
    <row r="209" spans="1:4" x14ac:dyDescent="0.2">
      <c r="A209" s="161"/>
      <c r="D209" s="154"/>
    </row>
    <row r="210" spans="1:4" x14ac:dyDescent="0.2">
      <c r="A210" s="161">
        <v>3</v>
      </c>
      <c r="D210" s="154"/>
    </row>
    <row r="211" spans="1:4" x14ac:dyDescent="0.2">
      <c r="A211" s="161" t="s">
        <v>102</v>
      </c>
      <c r="B211" s="154">
        <v>0</v>
      </c>
      <c r="D211" s="154"/>
    </row>
    <row r="212" spans="1:4" x14ac:dyDescent="0.2">
      <c r="A212" s="161" t="s">
        <v>97</v>
      </c>
      <c r="B212" s="154">
        <v>1.7</v>
      </c>
      <c r="D212" s="154"/>
    </row>
    <row r="213" spans="1:4" x14ac:dyDescent="0.2">
      <c r="A213" s="161" t="s">
        <v>98</v>
      </c>
      <c r="B213" s="154">
        <v>1</v>
      </c>
      <c r="D213" s="154"/>
    </row>
    <row r="214" spans="1:4" x14ac:dyDescent="0.2">
      <c r="A214" s="161" t="s">
        <v>99</v>
      </c>
      <c r="B214" s="154">
        <v>0.7</v>
      </c>
      <c r="D214" s="154"/>
    </row>
    <row r="215" spans="1:4" x14ac:dyDescent="0.2">
      <c r="A215" s="161" t="s">
        <v>374</v>
      </c>
      <c r="B215" s="154">
        <v>0.5</v>
      </c>
      <c r="D215" s="154"/>
    </row>
    <row r="216" spans="1:4" x14ac:dyDescent="0.2">
      <c r="A216" s="161" t="s">
        <v>375</v>
      </c>
      <c r="B216" s="154">
        <v>0.33</v>
      </c>
      <c r="D216" s="154"/>
    </row>
    <row r="217" spans="1:4" x14ac:dyDescent="0.2">
      <c r="A217" s="161"/>
      <c r="D217" s="154"/>
    </row>
    <row r="218" spans="1:4" x14ac:dyDescent="0.2">
      <c r="A218" s="161">
        <v>4</v>
      </c>
      <c r="D218" s="154"/>
    </row>
    <row r="219" spans="1:4" x14ac:dyDescent="0.2">
      <c r="A219" s="161" t="s">
        <v>102</v>
      </c>
      <c r="B219" s="154">
        <v>0</v>
      </c>
      <c r="D219" s="154"/>
    </row>
    <row r="220" spans="1:4" x14ac:dyDescent="0.2">
      <c r="A220" s="161" t="s">
        <v>97</v>
      </c>
      <c r="B220" s="154">
        <v>1</v>
      </c>
      <c r="D220" s="154"/>
    </row>
    <row r="221" spans="1:4" x14ac:dyDescent="0.2">
      <c r="A221" s="161" t="s">
        <v>98</v>
      </c>
      <c r="B221" s="154">
        <v>0.7</v>
      </c>
      <c r="D221" s="154"/>
    </row>
    <row r="222" spans="1:4" x14ac:dyDescent="0.2">
      <c r="A222" s="161" t="s">
        <v>99</v>
      </c>
      <c r="B222" s="154">
        <v>0.5</v>
      </c>
      <c r="D222" s="154"/>
    </row>
    <row r="223" spans="1:4" x14ac:dyDescent="0.2">
      <c r="A223" s="161" t="s">
        <v>374</v>
      </c>
      <c r="B223" s="154">
        <v>0.33</v>
      </c>
      <c r="D223" s="154"/>
    </row>
    <row r="224" spans="1:4" x14ac:dyDescent="0.2">
      <c r="A224" s="161" t="s">
        <v>375</v>
      </c>
      <c r="B224" s="154">
        <v>0.17</v>
      </c>
      <c r="D224" s="154"/>
    </row>
    <row r="225" spans="1:4" x14ac:dyDescent="0.2">
      <c r="A225" s="161"/>
      <c r="D225" s="154"/>
    </row>
    <row r="226" spans="1:4" x14ac:dyDescent="0.2">
      <c r="A226" s="161">
        <v>5</v>
      </c>
      <c r="D226" s="154"/>
    </row>
    <row r="227" spans="1:4" x14ac:dyDescent="0.2">
      <c r="A227" s="161" t="s">
        <v>102</v>
      </c>
      <c r="B227" s="154">
        <v>0</v>
      </c>
      <c r="D227" s="154"/>
    </row>
    <row r="228" spans="1:4" x14ac:dyDescent="0.2">
      <c r="A228" s="161" t="s">
        <v>103</v>
      </c>
      <c r="B228" s="154">
        <v>0.3</v>
      </c>
      <c r="D228" s="154"/>
    </row>
    <row r="229" spans="1:4" x14ac:dyDescent="0.2">
      <c r="A229" s="161" t="s">
        <v>383</v>
      </c>
      <c r="B229" s="154">
        <v>0.7</v>
      </c>
      <c r="D229" s="154"/>
    </row>
    <row r="230" spans="1:4" x14ac:dyDescent="0.2">
      <c r="A230" s="161" t="s">
        <v>384</v>
      </c>
      <c r="B230" s="154">
        <v>1</v>
      </c>
      <c r="D230" s="154"/>
    </row>
    <row r="231" spans="1:4" x14ac:dyDescent="0.2">
      <c r="A231" s="161" t="s">
        <v>385</v>
      </c>
      <c r="B231" s="154">
        <v>0.25</v>
      </c>
      <c r="D231" s="154"/>
    </row>
    <row r="232" spans="1:4" x14ac:dyDescent="0.2">
      <c r="A232" s="161" t="s">
        <v>386</v>
      </c>
      <c r="B232" s="154">
        <v>0.5</v>
      </c>
      <c r="D232" s="154"/>
    </row>
    <row r="233" spans="1:4" x14ac:dyDescent="0.2">
      <c r="A233" s="161" t="s">
        <v>387</v>
      </c>
      <c r="B233" s="154">
        <v>0.2</v>
      </c>
      <c r="D233" s="154"/>
    </row>
    <row r="234" spans="1:4" x14ac:dyDescent="0.2">
      <c r="A234" s="161"/>
      <c r="D234" s="154"/>
    </row>
    <row r="235" spans="1:4" x14ac:dyDescent="0.2">
      <c r="A235" s="161">
        <v>6</v>
      </c>
      <c r="C235" s="154" t="s">
        <v>230</v>
      </c>
      <c r="D235" s="154"/>
    </row>
    <row r="236" spans="1:4" x14ac:dyDescent="0.2">
      <c r="A236" s="161" t="s">
        <v>102</v>
      </c>
      <c r="B236" s="154">
        <v>0</v>
      </c>
      <c r="D236" s="154"/>
    </row>
    <row r="237" spans="1:4" x14ac:dyDescent="0.2">
      <c r="A237" s="161" t="s">
        <v>97</v>
      </c>
      <c r="B237" s="154">
        <v>0.24</v>
      </c>
      <c r="D237" s="154"/>
    </row>
    <row r="238" spans="1:4" x14ac:dyDescent="0.2">
      <c r="A238" s="161" t="s">
        <v>98</v>
      </c>
      <c r="B238" s="154">
        <v>0.15</v>
      </c>
      <c r="D238" s="154"/>
    </row>
    <row r="239" spans="1:4" x14ac:dyDescent="0.2">
      <c r="A239" s="161" t="s">
        <v>99</v>
      </c>
      <c r="B239" s="154">
        <v>0.1</v>
      </c>
      <c r="D239" s="154"/>
    </row>
    <row r="240" spans="1:4" x14ac:dyDescent="0.2">
      <c r="A240" s="161" t="s">
        <v>374</v>
      </c>
      <c r="B240" s="154">
        <v>0.08</v>
      </c>
      <c r="D240" s="154"/>
    </row>
    <row r="241" spans="1:4" x14ac:dyDescent="0.2">
      <c r="A241" s="161" t="s">
        <v>375</v>
      </c>
      <c r="B241" s="154">
        <v>0.05</v>
      </c>
      <c r="D241" s="154"/>
    </row>
    <row r="242" spans="1:4" x14ac:dyDescent="0.2">
      <c r="A242" s="161"/>
      <c r="D242" s="154"/>
    </row>
    <row r="243" spans="1:4" x14ac:dyDescent="0.2">
      <c r="A243" s="161">
        <v>7.9</v>
      </c>
      <c r="C243" s="154" t="s">
        <v>231</v>
      </c>
      <c r="D243" s="154"/>
    </row>
    <row r="244" spans="1:4" x14ac:dyDescent="0.2">
      <c r="A244" s="161" t="s">
        <v>109</v>
      </c>
      <c r="B244" s="154">
        <v>0.1</v>
      </c>
      <c r="D244" s="154"/>
    </row>
    <row r="245" spans="1:4" x14ac:dyDescent="0.2">
      <c r="A245" s="161" t="s">
        <v>110</v>
      </c>
      <c r="B245" s="154">
        <v>0.2</v>
      </c>
      <c r="D245" s="154"/>
    </row>
    <row r="246" spans="1:4" x14ac:dyDescent="0.2">
      <c r="A246" s="161" t="s">
        <v>111</v>
      </c>
      <c r="B246" s="154">
        <v>0.3</v>
      </c>
      <c r="D246" s="154"/>
    </row>
    <row r="247" spans="1:4" x14ac:dyDescent="0.2">
      <c r="A247" s="161" t="s">
        <v>112</v>
      </c>
      <c r="B247" s="154">
        <v>0.3</v>
      </c>
      <c r="D247" s="154"/>
    </row>
    <row r="248" spans="1:4" x14ac:dyDescent="0.2">
      <c r="A248" s="161"/>
      <c r="D248" s="154"/>
    </row>
    <row r="249" spans="1:4" x14ac:dyDescent="0.2">
      <c r="A249" s="161">
        <v>10</v>
      </c>
      <c r="D249" s="154"/>
    </row>
    <row r="250" spans="1:4" x14ac:dyDescent="0.2">
      <c r="A250" s="161" t="s">
        <v>102</v>
      </c>
      <c r="B250" s="154">
        <v>0</v>
      </c>
      <c r="D250" s="154"/>
    </row>
    <row r="251" spans="1:4" x14ac:dyDescent="0.2">
      <c r="A251" s="161" t="s">
        <v>116</v>
      </c>
      <c r="B251" s="154">
        <v>0.15</v>
      </c>
      <c r="D251" s="154"/>
    </row>
    <row r="252" spans="1:4" x14ac:dyDescent="0.2">
      <c r="A252" s="161" t="s">
        <v>117</v>
      </c>
      <c r="B252" s="154">
        <v>0.3</v>
      </c>
      <c r="D252" s="154"/>
    </row>
    <row r="253" spans="1:4" x14ac:dyDescent="0.2">
      <c r="A253" s="161"/>
    </row>
    <row r="254" spans="1:4" x14ac:dyDescent="0.2">
      <c r="A254" s="161" t="s">
        <v>219</v>
      </c>
    </row>
    <row r="255" spans="1:4" x14ac:dyDescent="0.2">
      <c r="A255" s="161" t="s">
        <v>102</v>
      </c>
      <c r="B255" s="154">
        <v>0</v>
      </c>
    </row>
    <row r="256" spans="1:4" x14ac:dyDescent="0.2">
      <c r="A256" s="161" t="s">
        <v>220</v>
      </c>
      <c r="B256" s="154">
        <v>0.25</v>
      </c>
    </row>
    <row r="257" spans="1:2" x14ac:dyDescent="0.2">
      <c r="A257" s="161" t="s">
        <v>221</v>
      </c>
      <c r="B257" s="154">
        <v>0.25</v>
      </c>
    </row>
    <row r="258" spans="1:2" x14ac:dyDescent="0.2">
      <c r="A258" s="161" t="s">
        <v>222</v>
      </c>
      <c r="B258" s="154">
        <v>0.25</v>
      </c>
    </row>
    <row r="259" spans="1:2" x14ac:dyDescent="0.2">
      <c r="A259" s="161" t="s">
        <v>223</v>
      </c>
      <c r="B259" s="154">
        <v>0.25</v>
      </c>
    </row>
    <row r="260" spans="1:2" x14ac:dyDescent="0.2">
      <c r="A260" s="161" t="s">
        <v>224</v>
      </c>
      <c r="B260" s="154">
        <v>0.25</v>
      </c>
    </row>
    <row r="261" spans="1:2" x14ac:dyDescent="0.2">
      <c r="A261" s="161"/>
    </row>
    <row r="262" spans="1:2" x14ac:dyDescent="0.2">
      <c r="A262" s="161" t="s">
        <v>225</v>
      </c>
    </row>
    <row r="263" spans="1:2" x14ac:dyDescent="0.2">
      <c r="A263" s="161" t="s">
        <v>51</v>
      </c>
    </row>
    <row r="264" spans="1:2" x14ac:dyDescent="0.2">
      <c r="A264" s="161" t="s">
        <v>226</v>
      </c>
      <c r="B264" s="154">
        <v>0.35</v>
      </c>
    </row>
    <row r="265" spans="1:2" x14ac:dyDescent="0.2">
      <c r="A265" s="161" t="s">
        <v>227</v>
      </c>
      <c r="B265" s="154">
        <v>0.8</v>
      </c>
    </row>
    <row r="266" spans="1:2" x14ac:dyDescent="0.2">
      <c r="A266" s="161" t="s">
        <v>228</v>
      </c>
      <c r="B266" s="154">
        <v>1</v>
      </c>
    </row>
    <row r="267" spans="1:2" x14ac:dyDescent="0.2">
      <c r="A267" s="161" t="s">
        <v>229</v>
      </c>
      <c r="B267" s="154">
        <v>1.2</v>
      </c>
    </row>
    <row r="268" spans="1:2" x14ac:dyDescent="0.2">
      <c r="A268" s="161" t="s">
        <v>103</v>
      </c>
      <c r="B268" s="154">
        <v>0.3</v>
      </c>
    </row>
    <row r="269" spans="1:2" x14ac:dyDescent="0.2">
      <c r="A269" s="161" t="s">
        <v>104</v>
      </c>
      <c r="B269" s="154">
        <v>0.7</v>
      </c>
    </row>
    <row r="270" spans="1:2" x14ac:dyDescent="0.2">
      <c r="A270" s="161" t="s">
        <v>105</v>
      </c>
      <c r="B270" s="154">
        <v>1</v>
      </c>
    </row>
    <row r="271" spans="1:2" x14ac:dyDescent="0.2">
      <c r="A271" s="161" t="s">
        <v>106</v>
      </c>
      <c r="B271" s="154">
        <v>0.25</v>
      </c>
    </row>
    <row r="272" spans="1:2" x14ac:dyDescent="0.2">
      <c r="A272" s="161" t="s">
        <v>107</v>
      </c>
      <c r="B272" s="154">
        <v>0.5</v>
      </c>
    </row>
    <row r="273" spans="1:2" x14ac:dyDescent="0.2">
      <c r="A273" s="161" t="s">
        <v>108</v>
      </c>
      <c r="B273" s="154">
        <v>0.2</v>
      </c>
    </row>
    <row r="274" spans="1:2" x14ac:dyDescent="0.2">
      <c r="A274" s="161" t="s">
        <v>52</v>
      </c>
    </row>
    <row r="275" spans="1:2" x14ac:dyDescent="0.2">
      <c r="A275" s="161" t="s">
        <v>97</v>
      </c>
      <c r="B275" s="154">
        <v>0.24</v>
      </c>
    </row>
    <row r="276" spans="1:2" x14ac:dyDescent="0.2">
      <c r="A276" s="161" t="s">
        <v>98</v>
      </c>
      <c r="B276" s="154">
        <v>0.15</v>
      </c>
    </row>
    <row r="277" spans="1:2" x14ac:dyDescent="0.2">
      <c r="A277" s="161" t="s">
        <v>99</v>
      </c>
      <c r="B277" s="154">
        <v>0.1</v>
      </c>
    </row>
    <row r="278" spans="1:2" x14ac:dyDescent="0.2">
      <c r="A278" s="161" t="s">
        <v>100</v>
      </c>
      <c r="B278" s="154">
        <v>0.08</v>
      </c>
    </row>
    <row r="279" spans="1:2" x14ac:dyDescent="0.2">
      <c r="A279" s="161" t="s">
        <v>101</v>
      </c>
      <c r="B279" s="154">
        <v>0.05</v>
      </c>
    </row>
    <row r="280" spans="1:2" x14ac:dyDescent="0.2">
      <c r="A280" s="161"/>
    </row>
    <row r="281" spans="1:2" x14ac:dyDescent="0.2">
      <c r="A281" s="161" t="s">
        <v>232</v>
      </c>
    </row>
    <row r="282" spans="1:2" x14ac:dyDescent="0.2">
      <c r="A282" s="161" t="s">
        <v>109</v>
      </c>
      <c r="B282" s="154">
        <v>0.05</v>
      </c>
    </row>
    <row r="283" spans="1:2" x14ac:dyDescent="0.2">
      <c r="A283" s="161" t="s">
        <v>113</v>
      </c>
      <c r="B283" s="154">
        <v>0.1</v>
      </c>
    </row>
    <row r="284" spans="1:2" x14ac:dyDescent="0.2">
      <c r="A284" s="161" t="s">
        <v>114</v>
      </c>
      <c r="B284" s="154">
        <v>0.15</v>
      </c>
    </row>
    <row r="285" spans="1:2" x14ac:dyDescent="0.2">
      <c r="A285" s="161" t="s">
        <v>115</v>
      </c>
      <c r="B285" s="154">
        <v>0.15</v>
      </c>
    </row>
    <row r="286" spans="1:2" x14ac:dyDescent="0.2">
      <c r="A286" s="161"/>
    </row>
    <row r="287" spans="1:2" x14ac:dyDescent="0.2">
      <c r="A287" s="161"/>
    </row>
    <row r="288" spans="1:2" x14ac:dyDescent="0.2">
      <c r="A288" s="161"/>
    </row>
    <row r="289" spans="1:1" x14ac:dyDescent="0.2">
      <c r="A289" s="161"/>
    </row>
    <row r="290" spans="1:1" x14ac:dyDescent="0.2">
      <c r="A290" s="161"/>
    </row>
    <row r="291" spans="1:1" x14ac:dyDescent="0.2">
      <c r="A291" s="161"/>
    </row>
    <row r="292" spans="1:1" x14ac:dyDescent="0.2">
      <c r="A292" s="161"/>
    </row>
    <row r="293" spans="1:1" x14ac:dyDescent="0.2">
      <c r="A293" s="161"/>
    </row>
    <row r="294" spans="1:1" x14ac:dyDescent="0.2">
      <c r="A294" s="161"/>
    </row>
    <row r="295" spans="1:1" x14ac:dyDescent="0.2">
      <c r="A295" s="161"/>
    </row>
    <row r="296" spans="1:1" x14ac:dyDescent="0.2">
      <c r="A296" s="161"/>
    </row>
    <row r="297" spans="1:1" x14ac:dyDescent="0.2">
      <c r="A297" s="161"/>
    </row>
    <row r="298" spans="1:1" x14ac:dyDescent="0.2">
      <c r="A298" s="161"/>
    </row>
    <row r="299" spans="1:1" x14ac:dyDescent="0.2">
      <c r="A299" s="161"/>
    </row>
    <row r="300" spans="1:1" x14ac:dyDescent="0.2">
      <c r="A300" s="161"/>
    </row>
  </sheetData>
  <sheetProtection algorithmName="SHA-512" hashValue="I3fpRauS1tmgtI55/Ty+7IUsSlajZkj+LlNOibNenIxyycTBpaU3xqHejnH4Z9LyShrmr8wCVMkfcGZRjwv8Og==" saltValue="vFqZbtruqIL2cuC00ldLcg==" spinCount="100000" sheet="1" objects="1" scenarios="1"/>
  <dataConsolidate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41F7-4E7A-494B-B4BF-217F58495955}">
  <sheetPr>
    <tabColor rgb="FF00B0F0"/>
  </sheetPr>
  <dimension ref="A1:J269"/>
  <sheetViews>
    <sheetView showGridLines="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77.33203125" style="76" customWidth="1"/>
    <col min="2" max="2" width="18.33203125" style="77" customWidth="1"/>
    <col min="3" max="3" width="14.33203125" style="2" customWidth="1"/>
    <col min="4" max="6" width="11.33203125" style="2" customWidth="1"/>
    <col min="7" max="7" width="11.83203125" style="2" customWidth="1"/>
    <col min="8" max="16384" width="11.33203125" style="2"/>
  </cols>
  <sheetData>
    <row r="1" spans="1:10" ht="46.5" customHeight="1" x14ac:dyDescent="0.2">
      <c r="A1" s="173" t="s">
        <v>313</v>
      </c>
      <c r="B1" s="173"/>
      <c r="C1" s="173"/>
      <c r="D1" s="173"/>
      <c r="E1" s="1"/>
      <c r="F1" s="172" t="s">
        <v>245</v>
      </c>
      <c r="G1" s="172"/>
    </row>
    <row r="2" spans="1:10" x14ac:dyDescent="0.2">
      <c r="C2" s="1"/>
      <c r="D2" s="1"/>
      <c r="E2" s="1"/>
      <c r="F2" s="1"/>
      <c r="G2" s="1"/>
    </row>
    <row r="3" spans="1:10" ht="35" customHeight="1" x14ac:dyDescent="0.2">
      <c r="A3" s="174" t="str">
        <f>TEXT( "Рпред = (6 + 8 × Кпд + 3 × Кпд інш+ ((6 × Ксуд1/п.дій + 10 × Ксуд2 + 26 × Ксуд3 + 6 × Ксуд4) / m)) × Кос.кат × Огод × Кзвіт = 
(6 + 8 x "&amp;D10&amp;" + 3 x "&amp;D17&amp;" + ((6 x "&amp;D25&amp;" + 10 x "&amp;D26&amp;" + 26 x "&amp;D27&amp;" + 6 x "&amp;D28&amp;") / "&amp;D30&amp;" )) х "&amp;D31&amp;" x "&amp;D9&amp;" х "&amp;D37&amp;"  = ",0)</f>
        <v xml:space="preserve">Рпред = (6 + 8 × Кпд + 3 × Кпд інш+ ((6 × Ксуд1/п.дій + 10 × Ксуд2 + 26 × Ксуд3 + 6 × Ксуд4) / m)) × Кос.кат × Огод × Кзвіт = 
(6 + 8 x 0 + 3 x 0 + ((6 x 0 + 10 x 0 + 26 x 0 + 6 x 0) / 1 )) х 1 x 166,4 х 1  = </v>
      </c>
      <c r="B3" s="175"/>
      <c r="C3" s="171">
        <f>(6+8*D10+3*D17+((6*D25+10*D26+26*D27+8*D28)/D30))*D31*D9*D37</f>
        <v>998.40000000000009</v>
      </c>
      <c r="D3" s="171"/>
      <c r="E3" s="1"/>
      <c r="F3" s="1"/>
      <c r="G3" s="1"/>
    </row>
    <row r="4" spans="1:10" ht="14.25" customHeight="1" x14ac:dyDescent="0.2">
      <c r="A4" s="78"/>
      <c r="B4" s="79"/>
      <c r="C4" s="1"/>
      <c r="D4" s="1"/>
      <c r="E4" s="1"/>
      <c r="F4" s="1"/>
      <c r="G4" s="1"/>
    </row>
    <row r="5" spans="1:10" ht="20.25" customHeight="1" x14ac:dyDescent="0.2">
      <c r="A5" s="80" t="s">
        <v>299</v>
      </c>
      <c r="B5" s="178"/>
      <c r="C5" s="179"/>
      <c r="D5" s="180"/>
      <c r="E5" s="1"/>
      <c r="F5" s="81"/>
      <c r="G5" s="1"/>
    </row>
    <row r="6" spans="1:10" x14ac:dyDescent="0.2">
      <c r="A6" s="92" t="s">
        <v>295</v>
      </c>
      <c r="B6" s="181"/>
      <c r="C6" s="182"/>
      <c r="D6" s="183"/>
      <c r="E6" s="1"/>
      <c r="F6" s="81"/>
      <c r="G6" s="1"/>
    </row>
    <row r="7" spans="1:10" ht="22.5" customHeight="1" x14ac:dyDescent="0.2">
      <c r="A7" s="82" t="s">
        <v>308</v>
      </c>
      <c r="B7" s="178"/>
      <c r="C7" s="179"/>
      <c r="D7" s="180"/>
      <c r="E7" s="1"/>
      <c r="F7" s="81"/>
      <c r="G7" s="1"/>
    </row>
    <row r="8" spans="1:10" x14ac:dyDescent="0.2">
      <c r="A8" s="92" t="s">
        <v>283</v>
      </c>
      <c r="B8" s="181"/>
      <c r="C8" s="182"/>
      <c r="D8" s="183"/>
      <c r="E8" s="1"/>
      <c r="F8" s="81"/>
      <c r="G8" s="1"/>
    </row>
    <row r="9" spans="1:10" ht="35.25" customHeight="1" x14ac:dyDescent="0.2">
      <c r="A9" s="6" t="s">
        <v>194</v>
      </c>
      <c r="B9" s="7">
        <v>3328</v>
      </c>
      <c r="C9" s="8" t="s">
        <v>200</v>
      </c>
      <c r="D9" s="9">
        <f>ROUND(B9*0.05,3)</f>
        <v>166.4</v>
      </c>
      <c r="E9" s="1"/>
      <c r="F9" s="1"/>
      <c r="G9" s="1"/>
      <c r="H9" s="1"/>
      <c r="I9" s="1"/>
      <c r="J9" s="1"/>
    </row>
    <row r="10" spans="1:10" ht="51" customHeight="1" x14ac:dyDescent="0.2">
      <c r="A10" s="83" t="s">
        <v>312</v>
      </c>
      <c r="B10" s="84"/>
      <c r="C10" s="184" t="s">
        <v>303</v>
      </c>
      <c r="D10" s="185">
        <f>IF(A8="судове провадження не відкривалось",0,SUM(B11:B16))</f>
        <v>0</v>
      </c>
      <c r="E10" s="1"/>
      <c r="F10" s="1"/>
      <c r="G10" s="1"/>
    </row>
    <row r="11" spans="1:10" ht="30" x14ac:dyDescent="0.2">
      <c r="A11" s="85" t="s">
        <v>357</v>
      </c>
      <c r="B11" s="93">
        <v>0</v>
      </c>
      <c r="C11" s="184"/>
      <c r="D11" s="185"/>
      <c r="E11" s="1"/>
      <c r="F11" s="1"/>
      <c r="G11" s="1"/>
    </row>
    <row r="12" spans="1:10" x14ac:dyDescent="0.2">
      <c r="A12" s="85" t="s">
        <v>358</v>
      </c>
      <c r="B12" s="93">
        <v>0</v>
      </c>
      <c r="C12" s="184"/>
      <c r="D12" s="185"/>
      <c r="E12" s="30" t="s">
        <v>356</v>
      </c>
      <c r="F12" s="1"/>
      <c r="G12" s="1"/>
    </row>
    <row r="13" spans="1:10" x14ac:dyDescent="0.2">
      <c r="A13" s="85" t="s">
        <v>359</v>
      </c>
      <c r="B13" s="93">
        <v>0</v>
      </c>
      <c r="C13" s="184"/>
      <c r="D13" s="185"/>
      <c r="E13" s="1"/>
      <c r="F13" s="1"/>
      <c r="G13" s="1"/>
    </row>
    <row r="14" spans="1:10" x14ac:dyDescent="0.2">
      <c r="A14" s="85" t="s">
        <v>345</v>
      </c>
      <c r="B14" s="93">
        <v>0</v>
      </c>
      <c r="C14" s="184"/>
      <c r="D14" s="185"/>
      <c r="E14" s="1"/>
      <c r="F14" s="1"/>
      <c r="G14" s="1"/>
    </row>
    <row r="15" spans="1:10" x14ac:dyDescent="0.2">
      <c r="A15" s="85" t="s">
        <v>346</v>
      </c>
      <c r="B15" s="93">
        <v>0</v>
      </c>
      <c r="C15" s="184"/>
      <c r="D15" s="185"/>
      <c r="E15" s="1"/>
      <c r="F15" s="1"/>
      <c r="G15" s="1"/>
    </row>
    <row r="16" spans="1:10" ht="30" x14ac:dyDescent="0.2">
      <c r="A16" s="85" t="s">
        <v>360</v>
      </c>
      <c r="B16" s="93">
        <v>0</v>
      </c>
      <c r="C16" s="184"/>
      <c r="D16" s="185"/>
      <c r="E16" s="1"/>
      <c r="F16" s="1"/>
      <c r="G16" s="1"/>
    </row>
    <row r="17" spans="1:10" ht="29" x14ac:dyDescent="0.2">
      <c r="A17" s="83" t="s">
        <v>403</v>
      </c>
      <c r="B17" s="84"/>
      <c r="C17" s="190" t="s">
        <v>402</v>
      </c>
      <c r="D17" s="193">
        <f>IF(A8="судове провадження не відкривалось",0,SUM(B18:B23))</f>
        <v>0</v>
      </c>
      <c r="E17" s="1"/>
      <c r="F17" s="1"/>
      <c r="G17" s="1"/>
    </row>
    <row r="18" spans="1:10" x14ac:dyDescent="0.2">
      <c r="A18" s="85" t="s">
        <v>396</v>
      </c>
      <c r="B18" s="93">
        <v>0</v>
      </c>
      <c r="C18" s="191"/>
      <c r="D18" s="194"/>
      <c r="E18" s="1"/>
      <c r="F18" s="1"/>
      <c r="G18" s="1"/>
    </row>
    <row r="19" spans="1:10" x14ac:dyDescent="0.2">
      <c r="A19" s="85" t="s">
        <v>397</v>
      </c>
      <c r="B19" s="93">
        <v>0</v>
      </c>
      <c r="C19" s="191"/>
      <c r="D19" s="194"/>
      <c r="E19" s="1"/>
      <c r="F19" s="1"/>
      <c r="G19" s="1"/>
    </row>
    <row r="20" spans="1:10" ht="30" x14ac:dyDescent="0.2">
      <c r="A20" s="85" t="s">
        <v>398</v>
      </c>
      <c r="B20" s="93">
        <v>0</v>
      </c>
      <c r="C20" s="191"/>
      <c r="D20" s="194"/>
      <c r="E20" s="1"/>
      <c r="F20" s="1"/>
      <c r="G20" s="1"/>
    </row>
    <row r="21" spans="1:10" x14ac:dyDescent="0.2">
      <c r="A21" s="85" t="s">
        <v>399</v>
      </c>
      <c r="B21" s="93">
        <v>0</v>
      </c>
      <c r="C21" s="191"/>
      <c r="D21" s="194"/>
      <c r="E21" s="1"/>
      <c r="F21" s="1"/>
      <c r="G21" s="1"/>
    </row>
    <row r="22" spans="1:10" ht="30" x14ac:dyDescent="0.2">
      <c r="A22" s="85" t="s">
        <v>400</v>
      </c>
      <c r="B22" s="93">
        <v>0</v>
      </c>
      <c r="C22" s="191"/>
      <c r="D22" s="194"/>
      <c r="E22" s="1"/>
      <c r="F22" s="1"/>
      <c r="G22" s="1"/>
    </row>
    <row r="23" spans="1:10" x14ac:dyDescent="0.2">
      <c r="A23" s="85" t="s">
        <v>401</v>
      </c>
      <c r="B23" s="93">
        <v>0</v>
      </c>
      <c r="C23" s="192"/>
      <c r="D23" s="195"/>
      <c r="E23" s="1"/>
      <c r="F23" s="1"/>
      <c r="G23" s="1"/>
    </row>
    <row r="24" spans="1:10" ht="38.25" customHeight="1" x14ac:dyDescent="0.2">
      <c r="A24" s="83" t="s">
        <v>294</v>
      </c>
      <c r="B24" s="88"/>
      <c r="C24" s="186">
        <f>IF(A6="кримінальний",B25+B29,B25)</f>
        <v>0</v>
      </c>
      <c r="D24" s="187"/>
      <c r="E24" s="1"/>
      <c r="F24" s="1"/>
      <c r="G24" s="1"/>
    </row>
    <row r="25" spans="1:10" ht="31.5" customHeight="1" x14ac:dyDescent="0.2">
      <c r="A25" s="89" t="s">
        <v>347</v>
      </c>
      <c r="B25" s="93">
        <v>0</v>
      </c>
      <c r="C25" s="71" t="s">
        <v>304</v>
      </c>
      <c r="D25" s="71">
        <f>IF(A8="судове провадження не відкривалось",0,C24)</f>
        <v>0</v>
      </c>
      <c r="E25" s="1"/>
      <c r="F25" s="1"/>
      <c r="G25" s="1"/>
    </row>
    <row r="26" spans="1:10" ht="45" customHeight="1" x14ac:dyDescent="0.2">
      <c r="A26" s="89" t="s">
        <v>348</v>
      </c>
      <c r="B26" s="93">
        <v>0</v>
      </c>
      <c r="C26" s="71" t="s">
        <v>305</v>
      </c>
      <c r="D26" s="71">
        <f>IF(A8="судове провадження не відкривалось",0,B26)</f>
        <v>0</v>
      </c>
      <c r="E26" s="1"/>
      <c r="F26" s="1"/>
      <c r="G26" s="1"/>
    </row>
    <row r="27" spans="1:10" ht="18" customHeight="1" x14ac:dyDescent="0.2">
      <c r="A27" s="85" t="s">
        <v>349</v>
      </c>
      <c r="B27" s="93">
        <v>0</v>
      </c>
      <c r="C27" s="71" t="s">
        <v>306</v>
      </c>
      <c r="D27" s="71">
        <f>IF(A8="судове провадження не відкривалось",0,B27)</f>
        <v>0</v>
      </c>
      <c r="E27" s="1"/>
      <c r="F27" s="1"/>
      <c r="G27" s="1"/>
    </row>
    <row r="28" spans="1:10" ht="18" customHeight="1" x14ac:dyDescent="0.2">
      <c r="A28" s="85" t="s">
        <v>404</v>
      </c>
      <c r="B28" s="93">
        <v>0</v>
      </c>
      <c r="C28" s="148" t="s">
        <v>405</v>
      </c>
      <c r="D28" s="71">
        <f>IF(A8="судове провадження не відкривалось",0,B28)</f>
        <v>0</v>
      </c>
      <c r="E28" s="1"/>
      <c r="F28" s="1"/>
      <c r="G28" s="1"/>
    </row>
    <row r="29" spans="1:10" ht="35.25" customHeight="1" x14ac:dyDescent="0.2">
      <c r="A29" s="90" t="s">
        <v>309</v>
      </c>
      <c r="B29" s="95">
        <v>0</v>
      </c>
      <c r="C29" s="188"/>
      <c r="D29" s="189"/>
      <c r="E29" s="1"/>
      <c r="F29" s="1"/>
      <c r="G29" s="1"/>
    </row>
    <row r="30" spans="1:10" ht="35.25" customHeight="1" x14ac:dyDescent="0.2">
      <c r="A30" s="149" t="s">
        <v>406</v>
      </c>
      <c r="B30" s="95">
        <v>1</v>
      </c>
      <c r="C30" s="151" t="s">
        <v>408</v>
      </c>
      <c r="D30" s="71">
        <f>IF(A11="судове провадження не відкривалось",0,B30)</f>
        <v>1</v>
      </c>
      <c r="E30" s="1"/>
      <c r="F30" s="1"/>
      <c r="G30" s="1"/>
    </row>
    <row r="31" spans="1:10" ht="39" customHeight="1" x14ac:dyDescent="0.2">
      <c r="A31" s="150" t="s">
        <v>407</v>
      </c>
      <c r="B31" s="25"/>
      <c r="C31" s="176" t="s">
        <v>311</v>
      </c>
      <c r="D31" s="176">
        <f>IF(SUM(E32:E36)=1,1.1,IF(SUM(E32:E36)&gt;=2,1.2,1))</f>
        <v>1</v>
      </c>
      <c r="E31" s="1"/>
      <c r="F31" s="1"/>
      <c r="G31" s="1"/>
      <c r="H31" s="1"/>
      <c r="I31" s="1"/>
      <c r="J31" s="1"/>
    </row>
    <row r="32" spans="1:10" x14ac:dyDescent="0.2">
      <c r="A32" s="42" t="s">
        <v>217</v>
      </c>
      <c r="B32" s="43" t="s">
        <v>1</v>
      </c>
      <c r="C32" s="177"/>
      <c r="D32" s="177"/>
      <c r="E32" s="1">
        <f>IF(B32="так",1,0)</f>
        <v>0</v>
      </c>
      <c r="F32" s="1"/>
      <c r="G32" s="1"/>
      <c r="H32" s="1"/>
      <c r="I32" s="1"/>
      <c r="J32" s="1"/>
    </row>
    <row r="33" spans="1:10" ht="30" x14ac:dyDescent="0.2">
      <c r="A33" s="42" t="s">
        <v>38</v>
      </c>
      <c r="B33" s="43" t="s">
        <v>1</v>
      </c>
      <c r="C33" s="177"/>
      <c r="D33" s="177"/>
      <c r="E33" s="1">
        <f>IF(B33="так",1,0)</f>
        <v>0</v>
      </c>
      <c r="F33" s="1"/>
      <c r="G33" s="1"/>
      <c r="H33" s="1"/>
      <c r="I33" s="1"/>
      <c r="J33" s="1"/>
    </row>
    <row r="34" spans="1:10" x14ac:dyDescent="0.2">
      <c r="A34" s="42" t="s">
        <v>218</v>
      </c>
      <c r="B34" s="43" t="s">
        <v>1</v>
      </c>
      <c r="C34" s="177"/>
      <c r="D34" s="177"/>
      <c r="E34" s="1">
        <f>IF(B34="так",1,0)</f>
        <v>0</v>
      </c>
      <c r="F34" s="1"/>
      <c r="G34" s="1"/>
      <c r="H34" s="1"/>
      <c r="I34" s="1"/>
      <c r="J34" s="1"/>
    </row>
    <row r="35" spans="1:10" x14ac:dyDescent="0.2">
      <c r="A35" s="42" t="s">
        <v>39</v>
      </c>
      <c r="B35" s="43" t="s">
        <v>1</v>
      </c>
      <c r="C35" s="177"/>
      <c r="D35" s="177"/>
      <c r="E35" s="1">
        <f>IF(B35="так",1,0)</f>
        <v>0</v>
      </c>
      <c r="F35" s="1"/>
      <c r="G35" s="1"/>
      <c r="H35" s="1"/>
      <c r="I35" s="1"/>
      <c r="J35" s="1"/>
    </row>
    <row r="36" spans="1:10" ht="45" x14ac:dyDescent="0.2">
      <c r="A36" s="42" t="s">
        <v>422</v>
      </c>
      <c r="B36" s="43" t="s">
        <v>1</v>
      </c>
      <c r="C36" s="177"/>
      <c r="D36" s="177"/>
      <c r="E36" s="1">
        <f>IF(B36="так",1,0)</f>
        <v>0</v>
      </c>
      <c r="F36" s="1"/>
      <c r="G36" s="1"/>
      <c r="H36" s="1"/>
      <c r="I36" s="1"/>
      <c r="J36" s="1"/>
    </row>
    <row r="37" spans="1:10" ht="48" customHeight="1" x14ac:dyDescent="0.2">
      <c r="A37" s="44" t="s">
        <v>215</v>
      </c>
      <c r="B37" s="26" t="s">
        <v>139</v>
      </c>
      <c r="C37" s="45" t="s">
        <v>235</v>
      </c>
      <c r="D37" s="71">
        <f>VLOOKUP(B37,Kzvit,2,0)</f>
        <v>1</v>
      </c>
      <c r="E37" s="72"/>
    </row>
    <row r="38" spans="1:10" x14ac:dyDescent="0.2">
      <c r="B38" s="91"/>
    </row>
    <row r="39" spans="1:10" ht="30" customHeight="1" x14ac:dyDescent="0.2">
      <c r="A39" s="169" t="str">
        <f>A3</f>
        <v xml:space="preserve">Рпред = (6 + 8 × Кпд + 3 × Кпд інш+ ((6 × Ксуд1/п.дій + 10 × Ксуд2 + 26 × Ксуд3 + 6 × Ксуд4) / m)) × Кос.кат × Огод × Кзвіт = 
(6 + 8 x 0 + 3 x 0 + ((6 x 0 + 10 x 0 + 26 x 0 + 6 x 0) / 1 )) х 1 x 166,4 х 1  = </v>
      </c>
      <c r="B39" s="170"/>
      <c r="C39" s="171">
        <f>C3</f>
        <v>998.40000000000009</v>
      </c>
      <c r="D39" s="171"/>
    </row>
    <row r="40" spans="1:10" x14ac:dyDescent="0.2">
      <c r="B40" s="91"/>
    </row>
    <row r="41" spans="1:10" x14ac:dyDescent="0.2">
      <c r="B41" s="91"/>
    </row>
    <row r="42" spans="1:10" x14ac:dyDescent="0.2">
      <c r="B42" s="91"/>
    </row>
    <row r="43" spans="1:10" x14ac:dyDescent="0.2">
      <c r="B43" s="91"/>
    </row>
    <row r="44" spans="1:10" x14ac:dyDescent="0.2">
      <c r="B44" s="91"/>
    </row>
    <row r="45" spans="1:10" x14ac:dyDescent="0.2">
      <c r="B45" s="91"/>
    </row>
    <row r="46" spans="1:10" x14ac:dyDescent="0.2">
      <c r="B46" s="91"/>
    </row>
    <row r="47" spans="1:10" x14ac:dyDescent="0.2">
      <c r="B47" s="91"/>
    </row>
    <row r="48" spans="1:10" x14ac:dyDescent="0.2">
      <c r="B48" s="91"/>
    </row>
    <row r="49" spans="2:2" x14ac:dyDescent="0.2">
      <c r="B49" s="91"/>
    </row>
    <row r="50" spans="2:2" x14ac:dyDescent="0.2">
      <c r="B50" s="91"/>
    </row>
    <row r="51" spans="2:2" x14ac:dyDescent="0.2">
      <c r="B51" s="91"/>
    </row>
    <row r="52" spans="2:2" x14ac:dyDescent="0.2">
      <c r="B52" s="91"/>
    </row>
    <row r="53" spans="2:2" x14ac:dyDescent="0.2">
      <c r="B53" s="91"/>
    </row>
    <row r="54" spans="2:2" x14ac:dyDescent="0.2">
      <c r="B54" s="91"/>
    </row>
    <row r="55" spans="2:2" x14ac:dyDescent="0.2">
      <c r="B55" s="91"/>
    </row>
    <row r="56" spans="2:2" x14ac:dyDescent="0.2">
      <c r="B56" s="91"/>
    </row>
    <row r="57" spans="2:2" x14ac:dyDescent="0.2">
      <c r="B57" s="91"/>
    </row>
    <row r="58" spans="2:2" x14ac:dyDescent="0.2">
      <c r="B58" s="91"/>
    </row>
    <row r="59" spans="2:2" x14ac:dyDescent="0.2">
      <c r="B59" s="91"/>
    </row>
    <row r="60" spans="2:2" x14ac:dyDescent="0.2">
      <c r="B60" s="91"/>
    </row>
    <row r="61" spans="2:2" x14ac:dyDescent="0.2">
      <c r="B61" s="91"/>
    </row>
    <row r="62" spans="2:2" x14ac:dyDescent="0.2">
      <c r="B62" s="91"/>
    </row>
    <row r="63" spans="2:2" x14ac:dyDescent="0.2">
      <c r="B63" s="91"/>
    </row>
    <row r="64" spans="2:2" x14ac:dyDescent="0.2">
      <c r="B64" s="91"/>
    </row>
    <row r="65" spans="2:2" x14ac:dyDescent="0.2">
      <c r="B65" s="91"/>
    </row>
    <row r="66" spans="2:2" x14ac:dyDescent="0.2">
      <c r="B66" s="91"/>
    </row>
    <row r="67" spans="2:2" x14ac:dyDescent="0.2">
      <c r="B67" s="91"/>
    </row>
    <row r="68" spans="2:2" x14ac:dyDescent="0.2">
      <c r="B68" s="91"/>
    </row>
    <row r="69" spans="2:2" x14ac:dyDescent="0.2">
      <c r="B69" s="91"/>
    </row>
    <row r="70" spans="2:2" x14ac:dyDescent="0.2">
      <c r="B70" s="91"/>
    </row>
    <row r="71" spans="2:2" x14ac:dyDescent="0.2">
      <c r="B71" s="91"/>
    </row>
    <row r="72" spans="2:2" x14ac:dyDescent="0.2">
      <c r="B72" s="91"/>
    </row>
    <row r="73" spans="2:2" x14ac:dyDescent="0.2">
      <c r="B73" s="91"/>
    </row>
    <row r="74" spans="2:2" x14ac:dyDescent="0.2">
      <c r="B74" s="91"/>
    </row>
    <row r="75" spans="2:2" x14ac:dyDescent="0.2">
      <c r="B75" s="91"/>
    </row>
    <row r="76" spans="2:2" x14ac:dyDescent="0.2">
      <c r="B76" s="91"/>
    </row>
    <row r="77" spans="2:2" x14ac:dyDescent="0.2">
      <c r="B77" s="91"/>
    </row>
    <row r="78" spans="2:2" x14ac:dyDescent="0.2">
      <c r="B78" s="91"/>
    </row>
    <row r="79" spans="2:2" x14ac:dyDescent="0.2">
      <c r="B79" s="91"/>
    </row>
    <row r="80" spans="2:2" x14ac:dyDescent="0.2">
      <c r="B80" s="91"/>
    </row>
    <row r="81" spans="2:2" x14ac:dyDescent="0.2">
      <c r="B81" s="91"/>
    </row>
    <row r="82" spans="2:2" x14ac:dyDescent="0.2">
      <c r="B82" s="91"/>
    </row>
    <row r="83" spans="2:2" x14ac:dyDescent="0.2">
      <c r="B83" s="91"/>
    </row>
    <row r="84" spans="2:2" x14ac:dyDescent="0.2">
      <c r="B84" s="91"/>
    </row>
    <row r="85" spans="2:2" x14ac:dyDescent="0.2">
      <c r="B85" s="91"/>
    </row>
    <row r="86" spans="2:2" x14ac:dyDescent="0.2">
      <c r="B86" s="91"/>
    </row>
    <row r="87" spans="2:2" x14ac:dyDescent="0.2">
      <c r="B87" s="91"/>
    </row>
    <row r="88" spans="2:2" x14ac:dyDescent="0.2">
      <c r="B88" s="91"/>
    </row>
    <row r="89" spans="2:2" x14ac:dyDescent="0.2">
      <c r="B89" s="91"/>
    </row>
    <row r="90" spans="2:2" x14ac:dyDescent="0.2">
      <c r="B90" s="91"/>
    </row>
    <row r="91" spans="2:2" x14ac:dyDescent="0.2">
      <c r="B91" s="91"/>
    </row>
    <row r="92" spans="2:2" x14ac:dyDescent="0.2">
      <c r="B92" s="91"/>
    </row>
    <row r="93" spans="2:2" x14ac:dyDescent="0.2">
      <c r="B93" s="91"/>
    </row>
    <row r="94" spans="2:2" x14ac:dyDescent="0.2">
      <c r="B94" s="91"/>
    </row>
    <row r="95" spans="2:2" x14ac:dyDescent="0.2">
      <c r="B95" s="91"/>
    </row>
    <row r="96" spans="2:2" x14ac:dyDescent="0.2">
      <c r="B96" s="91"/>
    </row>
    <row r="97" spans="2:2" x14ac:dyDescent="0.2">
      <c r="B97" s="91"/>
    </row>
    <row r="98" spans="2:2" x14ac:dyDescent="0.2">
      <c r="B98" s="91"/>
    </row>
    <row r="99" spans="2:2" x14ac:dyDescent="0.2">
      <c r="B99" s="91"/>
    </row>
    <row r="100" spans="2:2" x14ac:dyDescent="0.2">
      <c r="B100" s="91"/>
    </row>
    <row r="101" spans="2:2" x14ac:dyDescent="0.2">
      <c r="B101" s="91"/>
    </row>
    <row r="102" spans="2:2" x14ac:dyDescent="0.2">
      <c r="B102" s="91"/>
    </row>
    <row r="103" spans="2:2" x14ac:dyDescent="0.2">
      <c r="B103" s="91"/>
    </row>
    <row r="104" spans="2:2" x14ac:dyDescent="0.2">
      <c r="B104" s="91"/>
    </row>
    <row r="105" spans="2:2" x14ac:dyDescent="0.2">
      <c r="B105" s="91"/>
    </row>
    <row r="106" spans="2:2" x14ac:dyDescent="0.2">
      <c r="B106" s="91"/>
    </row>
    <row r="107" spans="2:2" x14ac:dyDescent="0.2">
      <c r="B107" s="91"/>
    </row>
    <row r="108" spans="2:2" x14ac:dyDescent="0.2">
      <c r="B108" s="91"/>
    </row>
    <row r="109" spans="2:2" x14ac:dyDescent="0.2">
      <c r="B109" s="91"/>
    </row>
    <row r="110" spans="2:2" x14ac:dyDescent="0.2">
      <c r="B110" s="91"/>
    </row>
    <row r="111" spans="2:2" x14ac:dyDescent="0.2">
      <c r="B111" s="91"/>
    </row>
    <row r="112" spans="2:2" x14ac:dyDescent="0.2">
      <c r="B112" s="91"/>
    </row>
    <row r="113" spans="2:2" x14ac:dyDescent="0.2">
      <c r="B113" s="91"/>
    </row>
    <row r="114" spans="2:2" x14ac:dyDescent="0.2">
      <c r="B114" s="91"/>
    </row>
    <row r="115" spans="2:2" x14ac:dyDescent="0.2">
      <c r="B115" s="91"/>
    </row>
    <row r="116" spans="2:2" x14ac:dyDescent="0.2">
      <c r="B116" s="91"/>
    </row>
    <row r="117" spans="2:2" x14ac:dyDescent="0.2">
      <c r="B117" s="91"/>
    </row>
    <row r="118" spans="2:2" x14ac:dyDescent="0.2">
      <c r="B118" s="91"/>
    </row>
    <row r="119" spans="2:2" x14ac:dyDescent="0.2">
      <c r="B119" s="91"/>
    </row>
    <row r="120" spans="2:2" x14ac:dyDescent="0.2">
      <c r="B120" s="91"/>
    </row>
    <row r="121" spans="2:2" x14ac:dyDescent="0.2">
      <c r="B121" s="91"/>
    </row>
    <row r="122" spans="2:2" x14ac:dyDescent="0.2">
      <c r="B122" s="91"/>
    </row>
    <row r="123" spans="2:2" x14ac:dyDescent="0.2">
      <c r="B123" s="91"/>
    </row>
    <row r="124" spans="2:2" x14ac:dyDescent="0.2">
      <c r="B124" s="91"/>
    </row>
    <row r="125" spans="2:2" x14ac:dyDescent="0.2">
      <c r="B125" s="91"/>
    </row>
    <row r="126" spans="2:2" x14ac:dyDescent="0.2">
      <c r="B126" s="91"/>
    </row>
    <row r="127" spans="2:2" x14ac:dyDescent="0.2">
      <c r="B127" s="91"/>
    </row>
    <row r="128" spans="2:2" x14ac:dyDescent="0.2">
      <c r="B128" s="91"/>
    </row>
    <row r="129" spans="2:2" x14ac:dyDescent="0.2">
      <c r="B129" s="91"/>
    </row>
    <row r="130" spans="2:2" x14ac:dyDescent="0.2">
      <c r="B130" s="91"/>
    </row>
    <row r="131" spans="2:2" x14ac:dyDescent="0.2">
      <c r="B131" s="91"/>
    </row>
    <row r="132" spans="2:2" x14ac:dyDescent="0.2">
      <c r="B132" s="91"/>
    </row>
    <row r="133" spans="2:2" x14ac:dyDescent="0.2">
      <c r="B133" s="91"/>
    </row>
    <row r="134" spans="2:2" x14ac:dyDescent="0.2">
      <c r="B134" s="91"/>
    </row>
    <row r="135" spans="2:2" x14ac:dyDescent="0.2">
      <c r="B135" s="91"/>
    </row>
    <row r="136" spans="2:2" x14ac:dyDescent="0.2">
      <c r="B136" s="91"/>
    </row>
    <row r="137" spans="2:2" x14ac:dyDescent="0.2">
      <c r="B137" s="91"/>
    </row>
    <row r="138" spans="2:2" x14ac:dyDescent="0.2">
      <c r="B138" s="91"/>
    </row>
    <row r="139" spans="2:2" x14ac:dyDescent="0.2">
      <c r="B139" s="91"/>
    </row>
    <row r="140" spans="2:2" x14ac:dyDescent="0.2">
      <c r="B140" s="91"/>
    </row>
    <row r="141" spans="2:2" x14ac:dyDescent="0.2">
      <c r="B141" s="91"/>
    </row>
    <row r="142" spans="2:2" x14ac:dyDescent="0.2">
      <c r="B142" s="91"/>
    </row>
    <row r="143" spans="2:2" x14ac:dyDescent="0.2">
      <c r="B143" s="91"/>
    </row>
    <row r="144" spans="2:2" x14ac:dyDescent="0.2">
      <c r="B144" s="91"/>
    </row>
    <row r="145" spans="2:2" x14ac:dyDescent="0.2">
      <c r="B145" s="91"/>
    </row>
    <row r="146" spans="2:2" x14ac:dyDescent="0.2">
      <c r="B146" s="91"/>
    </row>
    <row r="147" spans="2:2" x14ac:dyDescent="0.2">
      <c r="B147" s="91"/>
    </row>
    <row r="148" spans="2:2" x14ac:dyDescent="0.2">
      <c r="B148" s="91"/>
    </row>
    <row r="149" spans="2:2" x14ac:dyDescent="0.2">
      <c r="B149" s="91"/>
    </row>
    <row r="150" spans="2:2" x14ac:dyDescent="0.2">
      <c r="B150" s="91"/>
    </row>
    <row r="151" spans="2:2" x14ac:dyDescent="0.2">
      <c r="B151" s="91"/>
    </row>
    <row r="152" spans="2:2" x14ac:dyDescent="0.2">
      <c r="B152" s="91"/>
    </row>
    <row r="153" spans="2:2" x14ac:dyDescent="0.2">
      <c r="B153" s="91"/>
    </row>
    <row r="154" spans="2:2" x14ac:dyDescent="0.2">
      <c r="B154" s="91"/>
    </row>
    <row r="155" spans="2:2" x14ac:dyDescent="0.2">
      <c r="B155" s="91"/>
    </row>
    <row r="156" spans="2:2" x14ac:dyDescent="0.2">
      <c r="B156" s="91"/>
    </row>
    <row r="157" spans="2:2" x14ac:dyDescent="0.2">
      <c r="B157" s="91"/>
    </row>
    <row r="158" spans="2:2" x14ac:dyDescent="0.2">
      <c r="B158" s="91"/>
    </row>
    <row r="159" spans="2:2" x14ac:dyDescent="0.2">
      <c r="B159" s="91"/>
    </row>
    <row r="160" spans="2:2" x14ac:dyDescent="0.2">
      <c r="B160" s="91"/>
    </row>
    <row r="161" spans="2:2" x14ac:dyDescent="0.2">
      <c r="B161" s="91"/>
    </row>
    <row r="162" spans="2:2" x14ac:dyDescent="0.2">
      <c r="B162" s="91"/>
    </row>
    <row r="163" spans="2:2" x14ac:dyDescent="0.2">
      <c r="B163" s="91"/>
    </row>
    <row r="164" spans="2:2" x14ac:dyDescent="0.2">
      <c r="B164" s="91"/>
    </row>
    <row r="165" spans="2:2" x14ac:dyDescent="0.2">
      <c r="B165" s="91"/>
    </row>
    <row r="166" spans="2:2" x14ac:dyDescent="0.2">
      <c r="B166" s="91"/>
    </row>
    <row r="167" spans="2:2" x14ac:dyDescent="0.2">
      <c r="B167" s="91"/>
    </row>
    <row r="168" spans="2:2" x14ac:dyDescent="0.2">
      <c r="B168" s="91"/>
    </row>
    <row r="169" spans="2:2" x14ac:dyDescent="0.2">
      <c r="B169" s="91"/>
    </row>
    <row r="170" spans="2:2" x14ac:dyDescent="0.2">
      <c r="B170" s="91"/>
    </row>
    <row r="171" spans="2:2" x14ac:dyDescent="0.2">
      <c r="B171" s="91"/>
    </row>
    <row r="172" spans="2:2" x14ac:dyDescent="0.2">
      <c r="B172" s="91"/>
    </row>
    <row r="173" spans="2:2" x14ac:dyDescent="0.2">
      <c r="B173" s="91"/>
    </row>
    <row r="174" spans="2:2" x14ac:dyDescent="0.2">
      <c r="B174" s="91"/>
    </row>
    <row r="175" spans="2:2" x14ac:dyDescent="0.2">
      <c r="B175" s="91"/>
    </row>
    <row r="176" spans="2:2" x14ac:dyDescent="0.2">
      <c r="B176" s="91"/>
    </row>
    <row r="177" spans="2:2" x14ac:dyDescent="0.2">
      <c r="B177" s="91"/>
    </row>
    <row r="178" spans="2:2" x14ac:dyDescent="0.2">
      <c r="B178" s="91"/>
    </row>
    <row r="179" spans="2:2" x14ac:dyDescent="0.2">
      <c r="B179" s="91"/>
    </row>
    <row r="180" spans="2:2" x14ac:dyDescent="0.2">
      <c r="B180" s="91"/>
    </row>
    <row r="181" spans="2:2" x14ac:dyDescent="0.2">
      <c r="B181" s="91"/>
    </row>
    <row r="182" spans="2:2" x14ac:dyDescent="0.2">
      <c r="B182" s="91"/>
    </row>
    <row r="183" spans="2:2" x14ac:dyDescent="0.2">
      <c r="B183" s="91"/>
    </row>
    <row r="184" spans="2:2" x14ac:dyDescent="0.2">
      <c r="B184" s="91"/>
    </row>
    <row r="185" spans="2:2" x14ac:dyDescent="0.2">
      <c r="B185" s="91"/>
    </row>
    <row r="186" spans="2:2" x14ac:dyDescent="0.2">
      <c r="B186" s="91"/>
    </row>
    <row r="187" spans="2:2" x14ac:dyDescent="0.2">
      <c r="B187" s="91"/>
    </row>
    <row r="188" spans="2:2" x14ac:dyDescent="0.2">
      <c r="B188" s="91"/>
    </row>
    <row r="189" spans="2:2" x14ac:dyDescent="0.2">
      <c r="B189" s="91"/>
    </row>
    <row r="190" spans="2:2" x14ac:dyDescent="0.2">
      <c r="B190" s="91"/>
    </row>
    <row r="191" spans="2:2" x14ac:dyDescent="0.2">
      <c r="B191" s="91"/>
    </row>
    <row r="192" spans="2:2" x14ac:dyDescent="0.2">
      <c r="B192" s="91"/>
    </row>
    <row r="193" spans="2:2" x14ac:dyDescent="0.2">
      <c r="B193" s="91"/>
    </row>
    <row r="194" spans="2:2" x14ac:dyDescent="0.2">
      <c r="B194" s="91"/>
    </row>
    <row r="195" spans="2:2" x14ac:dyDescent="0.2">
      <c r="B195" s="91"/>
    </row>
    <row r="196" spans="2:2" x14ac:dyDescent="0.2">
      <c r="B196" s="91"/>
    </row>
    <row r="197" spans="2:2" x14ac:dyDescent="0.2">
      <c r="B197" s="91"/>
    </row>
    <row r="198" spans="2:2" x14ac:dyDescent="0.2">
      <c r="B198" s="91"/>
    </row>
    <row r="199" spans="2:2" x14ac:dyDescent="0.2">
      <c r="B199" s="91"/>
    </row>
    <row r="200" spans="2:2" x14ac:dyDescent="0.2">
      <c r="B200" s="91"/>
    </row>
    <row r="201" spans="2:2" x14ac:dyDescent="0.2">
      <c r="B201" s="91"/>
    </row>
    <row r="202" spans="2:2" x14ac:dyDescent="0.2">
      <c r="B202" s="91"/>
    </row>
    <row r="203" spans="2:2" x14ac:dyDescent="0.2">
      <c r="B203" s="91"/>
    </row>
    <row r="204" spans="2:2" x14ac:dyDescent="0.2">
      <c r="B204" s="91"/>
    </row>
    <row r="205" spans="2:2" x14ac:dyDescent="0.2">
      <c r="B205" s="91"/>
    </row>
    <row r="206" spans="2:2" x14ac:dyDescent="0.2">
      <c r="B206" s="91"/>
    </row>
    <row r="207" spans="2:2" x14ac:dyDescent="0.2">
      <c r="B207" s="91"/>
    </row>
    <row r="208" spans="2:2" x14ac:dyDescent="0.2">
      <c r="B208" s="91"/>
    </row>
    <row r="209" spans="2:2" x14ac:dyDescent="0.2">
      <c r="B209" s="91"/>
    </row>
    <row r="210" spans="2:2" x14ac:dyDescent="0.2">
      <c r="B210" s="91"/>
    </row>
    <row r="211" spans="2:2" x14ac:dyDescent="0.2">
      <c r="B211" s="91"/>
    </row>
    <row r="212" spans="2:2" x14ac:dyDescent="0.2">
      <c r="B212" s="91"/>
    </row>
    <row r="213" spans="2:2" x14ac:dyDescent="0.2">
      <c r="B213" s="91"/>
    </row>
    <row r="214" spans="2:2" x14ac:dyDescent="0.2">
      <c r="B214" s="91"/>
    </row>
    <row r="215" spans="2:2" x14ac:dyDescent="0.2">
      <c r="B215" s="91"/>
    </row>
    <row r="216" spans="2:2" x14ac:dyDescent="0.2">
      <c r="B216" s="91"/>
    </row>
    <row r="217" spans="2:2" x14ac:dyDescent="0.2">
      <c r="B217" s="91"/>
    </row>
    <row r="218" spans="2:2" x14ac:dyDescent="0.2">
      <c r="B218" s="91"/>
    </row>
    <row r="219" spans="2:2" x14ac:dyDescent="0.2">
      <c r="B219" s="91"/>
    </row>
    <row r="220" spans="2:2" x14ac:dyDescent="0.2">
      <c r="B220" s="91"/>
    </row>
    <row r="221" spans="2:2" x14ac:dyDescent="0.2">
      <c r="B221" s="91"/>
    </row>
    <row r="222" spans="2:2" x14ac:dyDescent="0.2">
      <c r="B222" s="91"/>
    </row>
    <row r="223" spans="2:2" x14ac:dyDescent="0.2">
      <c r="B223" s="91"/>
    </row>
    <row r="224" spans="2:2" x14ac:dyDescent="0.2">
      <c r="B224" s="91"/>
    </row>
    <row r="225" spans="2:2" x14ac:dyDescent="0.2">
      <c r="B225" s="91"/>
    </row>
    <row r="226" spans="2:2" x14ac:dyDescent="0.2">
      <c r="B226" s="91"/>
    </row>
    <row r="227" spans="2:2" x14ac:dyDescent="0.2">
      <c r="B227" s="91"/>
    </row>
    <row r="228" spans="2:2" x14ac:dyDescent="0.2">
      <c r="B228" s="91"/>
    </row>
    <row r="229" spans="2:2" x14ac:dyDescent="0.2">
      <c r="B229" s="91"/>
    </row>
    <row r="230" spans="2:2" x14ac:dyDescent="0.2">
      <c r="B230" s="91"/>
    </row>
    <row r="231" spans="2:2" x14ac:dyDescent="0.2">
      <c r="B231" s="91"/>
    </row>
    <row r="232" spans="2:2" x14ac:dyDescent="0.2">
      <c r="B232" s="91"/>
    </row>
    <row r="233" spans="2:2" x14ac:dyDescent="0.2">
      <c r="B233" s="91"/>
    </row>
    <row r="234" spans="2:2" x14ac:dyDescent="0.2">
      <c r="B234" s="91"/>
    </row>
    <row r="235" spans="2:2" x14ac:dyDescent="0.2">
      <c r="B235" s="91"/>
    </row>
    <row r="236" spans="2:2" x14ac:dyDescent="0.2">
      <c r="B236" s="91"/>
    </row>
    <row r="237" spans="2:2" x14ac:dyDescent="0.2">
      <c r="B237" s="91"/>
    </row>
    <row r="238" spans="2:2" x14ac:dyDescent="0.2">
      <c r="B238" s="91"/>
    </row>
    <row r="239" spans="2:2" x14ac:dyDescent="0.2">
      <c r="B239" s="91"/>
    </row>
    <row r="240" spans="2:2" x14ac:dyDescent="0.2">
      <c r="B240" s="91"/>
    </row>
    <row r="241" spans="2:2" x14ac:dyDescent="0.2">
      <c r="B241" s="91"/>
    </row>
    <row r="242" spans="2:2" x14ac:dyDescent="0.2">
      <c r="B242" s="91"/>
    </row>
    <row r="243" spans="2:2" x14ac:dyDescent="0.2">
      <c r="B243" s="91"/>
    </row>
    <row r="244" spans="2:2" x14ac:dyDescent="0.2">
      <c r="B244" s="91"/>
    </row>
    <row r="245" spans="2:2" x14ac:dyDescent="0.2">
      <c r="B245" s="91"/>
    </row>
    <row r="246" spans="2:2" x14ac:dyDescent="0.2">
      <c r="B246" s="91"/>
    </row>
    <row r="247" spans="2:2" x14ac:dyDescent="0.2">
      <c r="B247" s="91"/>
    </row>
    <row r="248" spans="2:2" x14ac:dyDescent="0.2">
      <c r="B248" s="91"/>
    </row>
    <row r="249" spans="2:2" x14ac:dyDescent="0.2">
      <c r="B249" s="91"/>
    </row>
    <row r="250" spans="2:2" x14ac:dyDescent="0.2">
      <c r="B250" s="91"/>
    </row>
    <row r="251" spans="2:2" x14ac:dyDescent="0.2">
      <c r="B251" s="91"/>
    </row>
    <row r="252" spans="2:2" x14ac:dyDescent="0.2">
      <c r="B252" s="91"/>
    </row>
    <row r="253" spans="2:2" x14ac:dyDescent="0.2">
      <c r="B253" s="91"/>
    </row>
    <row r="254" spans="2:2" x14ac:dyDescent="0.2">
      <c r="B254" s="91"/>
    </row>
    <row r="255" spans="2:2" x14ac:dyDescent="0.2">
      <c r="B255" s="91"/>
    </row>
    <row r="256" spans="2:2" x14ac:dyDescent="0.2">
      <c r="B256" s="91"/>
    </row>
    <row r="257" spans="2:2" x14ac:dyDescent="0.2">
      <c r="B257" s="91"/>
    </row>
    <row r="258" spans="2:2" x14ac:dyDescent="0.2">
      <c r="B258" s="91"/>
    </row>
    <row r="259" spans="2:2" x14ac:dyDescent="0.2">
      <c r="B259" s="91"/>
    </row>
    <row r="260" spans="2:2" x14ac:dyDescent="0.2">
      <c r="B260" s="91"/>
    </row>
    <row r="261" spans="2:2" x14ac:dyDescent="0.2">
      <c r="B261" s="91"/>
    </row>
    <row r="262" spans="2:2" x14ac:dyDescent="0.2">
      <c r="B262" s="91"/>
    </row>
    <row r="263" spans="2:2" x14ac:dyDescent="0.2">
      <c r="B263" s="91"/>
    </row>
    <row r="264" spans="2:2" x14ac:dyDescent="0.2">
      <c r="B264" s="91"/>
    </row>
    <row r="265" spans="2:2" x14ac:dyDescent="0.2">
      <c r="B265" s="91"/>
    </row>
    <row r="266" spans="2:2" x14ac:dyDescent="0.2">
      <c r="B266" s="91"/>
    </row>
    <row r="267" spans="2:2" x14ac:dyDescent="0.2">
      <c r="B267" s="91"/>
    </row>
    <row r="268" spans="2:2" x14ac:dyDescent="0.2">
      <c r="B268" s="91"/>
    </row>
    <row r="269" spans="2:2" x14ac:dyDescent="0.2">
      <c r="B269" s="91"/>
    </row>
  </sheetData>
  <sheetProtection algorithmName="SHA-512" hashValue="A35lfmpsva3bpmzX2N+tM43ol5irpAzdSv29WrCA5vWsU0X7tu5o03UhYGXJRfC8e0cWBTqz8Upc6ickJ0tFrA==" saltValue="iwQGDGbY4XPPklyMGNbn1A==" spinCount="100000" sheet="1" objects="1" scenarios="1"/>
  <mergeCells count="16">
    <mergeCell ref="A39:B39"/>
    <mergeCell ref="C39:D39"/>
    <mergeCell ref="F1:G1"/>
    <mergeCell ref="A1:D1"/>
    <mergeCell ref="C3:D3"/>
    <mergeCell ref="A3:B3"/>
    <mergeCell ref="C31:C36"/>
    <mergeCell ref="D31:D36"/>
    <mergeCell ref="B5:D6"/>
    <mergeCell ref="B7:D8"/>
    <mergeCell ref="C10:C16"/>
    <mergeCell ref="D10:D16"/>
    <mergeCell ref="C24:D24"/>
    <mergeCell ref="C29:D29"/>
    <mergeCell ref="C17:C23"/>
    <mergeCell ref="D17:D23"/>
  </mergeCells>
  <dataValidations count="7">
    <dataValidation type="list" allowBlank="1" showInputMessage="1" showErrorMessage="1" sqref="B37" xr:uid="{EF532623-5C07-7046-B9F2-63BCECE681A0}">
      <formula1>Zvit</formula1>
    </dataValidation>
    <dataValidation type="list" allowBlank="1" showInputMessage="1" showErrorMessage="1" sqref="B11:B23 B25:B29" xr:uid="{9A758273-771B-D445-A22B-382D9B04D24B}">
      <formula1>Krouts</formula1>
    </dataValidation>
    <dataValidation type="list" allowBlank="1" showInputMessage="1" showErrorMessage="1" sqref="B9" xr:uid="{427B0C4F-CE6A-6C45-A02D-D710CB18082D}">
      <formula1>ЗП</formula1>
    </dataValidation>
    <dataValidation type="list" allowBlank="1" showInputMessage="1" showErrorMessage="1" sqref="A8" xr:uid="{AC476A73-069A-AD48-ACE1-24A9B9230FC5}">
      <formula1>CAS_list</formula1>
    </dataValidation>
    <dataValidation type="list" allowBlank="1" showInputMessage="1" showErrorMessage="1" sqref="B32:B36" xr:uid="{364D39CD-8B6A-AB42-B117-9AB1945CBBEB}">
      <formula1>ТакНі</formula1>
    </dataValidation>
    <dataValidation type="list" allowBlank="1" showInputMessage="1" showErrorMessage="1" sqref="A6" xr:uid="{486D6BBE-2853-C14E-AC5C-185F5125E6FA}">
      <formula1>Process</formula1>
    </dataValidation>
    <dataValidation type="list" allowBlank="1" showInputMessage="1" showErrorMessage="1" sqref="B30" xr:uid="{366EBD08-F480-C548-8301-6B9591563845}">
      <formula1>Kacts</formula1>
    </dataValidation>
  </dataValidation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0633-549C-EF40-9EC2-1DB305CC1F4A}">
  <sheetPr>
    <tabColor rgb="FF00B0F0"/>
  </sheetPr>
  <dimension ref="A1:J257"/>
  <sheetViews>
    <sheetView showGridLines="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77.33203125" style="76" customWidth="1"/>
    <col min="2" max="2" width="18.33203125" style="77" customWidth="1"/>
    <col min="3" max="3" width="14.33203125" style="2" customWidth="1"/>
    <col min="4" max="6" width="11.33203125" style="2" customWidth="1"/>
    <col min="7" max="7" width="11.83203125" style="2" customWidth="1"/>
    <col min="8" max="16384" width="11.33203125" style="2"/>
  </cols>
  <sheetData>
    <row r="1" spans="1:10" ht="46.5" customHeight="1" x14ac:dyDescent="0.2">
      <c r="A1" s="173" t="s">
        <v>427</v>
      </c>
      <c r="B1" s="173"/>
      <c r="C1" s="173"/>
      <c r="D1" s="173"/>
      <c r="E1" s="1"/>
      <c r="F1" s="172" t="s">
        <v>245</v>
      </c>
      <c r="G1" s="172"/>
    </row>
    <row r="2" spans="1:10" x14ac:dyDescent="0.2">
      <c r="C2" s="1"/>
      <c r="D2" s="1"/>
      <c r="E2" s="1"/>
      <c r="F2" s="1"/>
      <c r="G2" s="1"/>
    </row>
    <row r="3" spans="1:10" ht="35" customHeight="1" x14ac:dyDescent="0.2">
      <c r="A3" s="174" t="str">
        <f>TEXT( "Рпред = (3 + 3 × Кпд + 6 × Ксуд) × Кос.кат × Огод × Кзвіт = (3 + 3 x "&amp;D10&amp;" + 6 x "&amp;D18&amp;" ) х "&amp;D19&amp;" x "&amp;D9&amp;" х "&amp;D25&amp;"  = ",0)</f>
        <v xml:space="preserve">Рпред = (3 + 3 × Кпд + 6 × Ксуд) × Кос.кат × Огод × Кзвіт = (3 + 3 x 0 + 6 x 0 ) х 1 x 166,4 х 1  = </v>
      </c>
      <c r="B3" s="175"/>
      <c r="C3" s="171">
        <f>(3+3*D10+6*D18)*D19*D9*D25</f>
        <v>499.20000000000005</v>
      </c>
      <c r="D3" s="171"/>
      <c r="E3" s="1"/>
      <c r="F3" s="1"/>
      <c r="G3" s="1"/>
    </row>
    <row r="4" spans="1:10" ht="14.25" customHeight="1" x14ac:dyDescent="0.2">
      <c r="A4" s="78"/>
      <c r="B4" s="79"/>
      <c r="C4" s="1"/>
      <c r="D4" s="1"/>
      <c r="E4" s="1"/>
      <c r="F4" s="1"/>
      <c r="G4" s="1"/>
    </row>
    <row r="5" spans="1:10" ht="20.25" customHeight="1" x14ac:dyDescent="0.2">
      <c r="A5" s="80" t="s">
        <v>299</v>
      </c>
      <c r="B5" s="178"/>
      <c r="C5" s="179"/>
      <c r="D5" s="180"/>
      <c r="E5" s="1"/>
      <c r="F5" s="81"/>
      <c r="G5" s="1"/>
    </row>
    <row r="6" spans="1:10" x14ac:dyDescent="0.2">
      <c r="A6" s="92" t="s">
        <v>295</v>
      </c>
      <c r="B6" s="181"/>
      <c r="C6" s="182"/>
      <c r="D6" s="183"/>
      <c r="E6" s="1"/>
      <c r="F6" s="81"/>
      <c r="G6" s="1"/>
    </row>
    <row r="7" spans="1:10" ht="22.5" customHeight="1" x14ac:dyDescent="0.2">
      <c r="A7" s="82" t="s">
        <v>308</v>
      </c>
      <c r="B7" s="178"/>
      <c r="C7" s="179"/>
      <c r="D7" s="180"/>
      <c r="E7" s="1"/>
      <c r="F7" s="81"/>
      <c r="G7" s="1"/>
    </row>
    <row r="8" spans="1:10" x14ac:dyDescent="0.2">
      <c r="A8" s="92" t="s">
        <v>310</v>
      </c>
      <c r="B8" s="181"/>
      <c r="C8" s="182"/>
      <c r="D8" s="183"/>
      <c r="E8" s="1"/>
      <c r="F8" s="81"/>
      <c r="G8" s="1"/>
    </row>
    <row r="9" spans="1:10" ht="35.25" customHeight="1" x14ac:dyDescent="0.2">
      <c r="A9" s="6" t="s">
        <v>194</v>
      </c>
      <c r="B9" s="7">
        <v>3328</v>
      </c>
      <c r="C9" s="8" t="s">
        <v>200</v>
      </c>
      <c r="D9" s="9">
        <f>ROUND(B9*0.05,3)</f>
        <v>166.4</v>
      </c>
      <c r="E9" s="1"/>
      <c r="F9" s="1"/>
      <c r="G9" s="1"/>
      <c r="H9" s="1"/>
      <c r="I9" s="1"/>
      <c r="J9" s="1"/>
    </row>
    <row r="10" spans="1:10" ht="63" customHeight="1" x14ac:dyDescent="0.2">
      <c r="A10" s="83" t="s">
        <v>409</v>
      </c>
      <c r="B10" s="84"/>
      <c r="C10" s="184" t="s">
        <v>303</v>
      </c>
      <c r="D10" s="185">
        <f>IF(A8="судове провадження не відкривалось",0,SUM(B11:B17))</f>
        <v>0</v>
      </c>
      <c r="E10" s="1"/>
      <c r="F10" s="1"/>
      <c r="G10" s="1"/>
    </row>
    <row r="11" spans="1:10" ht="30" x14ac:dyDescent="0.2">
      <c r="A11" s="85" t="s">
        <v>410</v>
      </c>
      <c r="B11" s="93">
        <v>0</v>
      </c>
      <c r="C11" s="184"/>
      <c r="D11" s="185"/>
      <c r="E11" s="1"/>
      <c r="F11" s="1"/>
      <c r="G11" s="1"/>
    </row>
    <row r="12" spans="1:10" ht="30" x14ac:dyDescent="0.2">
      <c r="A12" s="85" t="s">
        <v>411</v>
      </c>
      <c r="B12" s="93">
        <v>0</v>
      </c>
      <c r="C12" s="184"/>
      <c r="D12" s="185"/>
      <c r="E12" s="30" t="s">
        <v>356</v>
      </c>
      <c r="F12" s="1"/>
      <c r="G12" s="1"/>
    </row>
    <row r="13" spans="1:10" x14ac:dyDescent="0.2">
      <c r="A13" s="85" t="s">
        <v>412</v>
      </c>
      <c r="B13" s="93">
        <v>0</v>
      </c>
      <c r="C13" s="184"/>
      <c r="D13" s="185"/>
      <c r="E13" s="1"/>
      <c r="F13" s="1"/>
      <c r="G13" s="1"/>
    </row>
    <row r="14" spans="1:10" x14ac:dyDescent="0.2">
      <c r="A14" s="85" t="s">
        <v>413</v>
      </c>
      <c r="B14" s="93">
        <v>0</v>
      </c>
      <c r="C14" s="184"/>
      <c r="D14" s="185"/>
      <c r="E14" s="1"/>
      <c r="F14" s="1"/>
      <c r="G14" s="1"/>
    </row>
    <row r="15" spans="1:10" ht="30" x14ac:dyDescent="0.2">
      <c r="A15" s="85" t="s">
        <v>414</v>
      </c>
      <c r="B15" s="93">
        <v>0</v>
      </c>
      <c r="C15" s="184"/>
      <c r="D15" s="185"/>
      <c r="E15" s="1"/>
      <c r="F15" s="1"/>
      <c r="G15" s="1"/>
    </row>
    <row r="16" spans="1:10" x14ac:dyDescent="0.2">
      <c r="A16" s="85" t="s">
        <v>415</v>
      </c>
      <c r="B16" s="93">
        <v>0</v>
      </c>
      <c r="C16" s="184"/>
      <c r="D16" s="185"/>
      <c r="E16" s="1"/>
      <c r="F16" s="1"/>
      <c r="G16" s="1"/>
    </row>
    <row r="17" spans="1:10" ht="30" x14ac:dyDescent="0.2">
      <c r="A17" s="85" t="s">
        <v>416</v>
      </c>
      <c r="B17" s="93">
        <v>0</v>
      </c>
      <c r="C17" s="184"/>
      <c r="D17" s="185"/>
      <c r="E17" s="1"/>
      <c r="F17" s="1"/>
      <c r="G17" s="1"/>
    </row>
    <row r="18" spans="1:10" ht="38.25" customHeight="1" x14ac:dyDescent="0.2">
      <c r="A18" s="83" t="s">
        <v>417</v>
      </c>
      <c r="B18" s="93">
        <v>0</v>
      </c>
      <c r="C18" s="152" t="s">
        <v>418</v>
      </c>
      <c r="D18" s="71">
        <f>IF(A7="судове провадження не відкривалось",0,B18)</f>
        <v>0</v>
      </c>
      <c r="E18" s="1"/>
      <c r="F18" s="1"/>
      <c r="G18" s="1"/>
    </row>
    <row r="19" spans="1:10" ht="39" customHeight="1" x14ac:dyDescent="0.2">
      <c r="A19" s="150" t="s">
        <v>407</v>
      </c>
      <c r="B19" s="25"/>
      <c r="C19" s="176" t="s">
        <v>311</v>
      </c>
      <c r="D19" s="176">
        <f>IF(SUM(E20:E24)=1,1.1,IF(SUM(E20:E24)&gt;=2,1.2,1))</f>
        <v>1</v>
      </c>
      <c r="E19" s="1"/>
      <c r="F19" s="1"/>
      <c r="G19" s="1"/>
      <c r="H19" s="1"/>
      <c r="I19" s="1"/>
      <c r="J19" s="1"/>
    </row>
    <row r="20" spans="1:10" x14ac:dyDescent="0.2">
      <c r="A20" s="42" t="s">
        <v>217</v>
      </c>
      <c r="B20" s="43" t="s">
        <v>1</v>
      </c>
      <c r="C20" s="177"/>
      <c r="D20" s="177"/>
      <c r="E20" s="1">
        <f>IF(B20="так",1,0)</f>
        <v>0</v>
      </c>
      <c r="F20" s="1"/>
      <c r="G20" s="1"/>
      <c r="H20" s="1"/>
      <c r="I20" s="1"/>
      <c r="J20" s="1"/>
    </row>
    <row r="21" spans="1:10" ht="30" x14ac:dyDescent="0.2">
      <c r="A21" s="42" t="s">
        <v>38</v>
      </c>
      <c r="B21" s="43" t="s">
        <v>1</v>
      </c>
      <c r="C21" s="177"/>
      <c r="D21" s="177"/>
      <c r="E21" s="1">
        <f>IF(B21="так",1,0)</f>
        <v>0</v>
      </c>
      <c r="F21" s="1"/>
      <c r="G21" s="1"/>
      <c r="H21" s="1"/>
      <c r="I21" s="1"/>
      <c r="J21" s="1"/>
    </row>
    <row r="22" spans="1:10" x14ac:dyDescent="0.2">
      <c r="A22" s="42" t="s">
        <v>218</v>
      </c>
      <c r="B22" s="43" t="s">
        <v>1</v>
      </c>
      <c r="C22" s="177"/>
      <c r="D22" s="177"/>
      <c r="E22" s="1">
        <f>IF(B22="так",1,0)</f>
        <v>0</v>
      </c>
      <c r="F22" s="1"/>
      <c r="G22" s="1"/>
      <c r="H22" s="1"/>
      <c r="I22" s="1"/>
      <c r="J22" s="1"/>
    </row>
    <row r="23" spans="1:10" x14ac:dyDescent="0.2">
      <c r="A23" s="42" t="s">
        <v>39</v>
      </c>
      <c r="B23" s="43" t="s">
        <v>1</v>
      </c>
      <c r="C23" s="177"/>
      <c r="D23" s="177"/>
      <c r="E23" s="1">
        <f>IF(B23="так",1,0)</f>
        <v>0</v>
      </c>
      <c r="F23" s="1"/>
      <c r="G23" s="1"/>
      <c r="H23" s="1"/>
      <c r="I23" s="1"/>
      <c r="J23" s="1"/>
    </row>
    <row r="24" spans="1:10" ht="45" x14ac:dyDescent="0.2">
      <c r="A24" s="42" t="s">
        <v>422</v>
      </c>
      <c r="B24" s="43" t="s">
        <v>1</v>
      </c>
      <c r="C24" s="177"/>
      <c r="D24" s="177"/>
      <c r="E24" s="1">
        <f>IF(B24="так",1,0)</f>
        <v>0</v>
      </c>
      <c r="F24" s="1"/>
      <c r="G24" s="1"/>
      <c r="H24" s="1"/>
      <c r="I24" s="1"/>
      <c r="J24" s="1"/>
    </row>
    <row r="25" spans="1:10" ht="48" customHeight="1" x14ac:dyDescent="0.2">
      <c r="A25" s="44" t="s">
        <v>215</v>
      </c>
      <c r="B25" s="26" t="s">
        <v>139</v>
      </c>
      <c r="C25" s="45" t="s">
        <v>235</v>
      </c>
      <c r="D25" s="71">
        <f>VLOOKUP(B25,Kzvit,2,0)</f>
        <v>1</v>
      </c>
      <c r="E25" s="72"/>
    </row>
    <row r="26" spans="1:10" x14ac:dyDescent="0.2">
      <c r="B26" s="91"/>
    </row>
    <row r="27" spans="1:10" ht="30" customHeight="1" x14ac:dyDescent="0.2">
      <c r="A27" s="169" t="str">
        <f>A3</f>
        <v xml:space="preserve">Рпред = (3 + 3 × Кпд + 6 × Ксуд) × Кос.кат × Огод × Кзвіт = (3 + 3 x 0 + 6 x 0 ) х 1 x 166,4 х 1  = </v>
      </c>
      <c r="B27" s="170"/>
      <c r="C27" s="171">
        <f>C3</f>
        <v>499.20000000000005</v>
      </c>
      <c r="D27" s="171"/>
    </row>
    <row r="28" spans="1:10" x14ac:dyDescent="0.2">
      <c r="B28" s="91"/>
    </row>
    <row r="29" spans="1:10" x14ac:dyDescent="0.2">
      <c r="B29" s="91"/>
    </row>
    <row r="30" spans="1:10" x14ac:dyDescent="0.2">
      <c r="B30" s="91"/>
    </row>
    <row r="31" spans="1:10" x14ac:dyDescent="0.2">
      <c r="B31" s="91"/>
    </row>
    <row r="32" spans="1:10" x14ac:dyDescent="0.2">
      <c r="B32" s="91"/>
    </row>
    <row r="33" spans="2:2" x14ac:dyDescent="0.2">
      <c r="B33" s="91"/>
    </row>
    <row r="34" spans="2:2" x14ac:dyDescent="0.2">
      <c r="B34" s="91"/>
    </row>
    <row r="35" spans="2:2" x14ac:dyDescent="0.2">
      <c r="B35" s="91"/>
    </row>
    <row r="36" spans="2:2" x14ac:dyDescent="0.2">
      <c r="B36" s="91"/>
    </row>
    <row r="37" spans="2:2" x14ac:dyDescent="0.2">
      <c r="B37" s="91"/>
    </row>
    <row r="38" spans="2:2" x14ac:dyDescent="0.2">
      <c r="B38" s="91"/>
    </row>
    <row r="39" spans="2:2" x14ac:dyDescent="0.2">
      <c r="B39" s="91"/>
    </row>
    <row r="40" spans="2:2" x14ac:dyDescent="0.2">
      <c r="B40" s="91"/>
    </row>
    <row r="41" spans="2:2" x14ac:dyDescent="0.2">
      <c r="B41" s="91"/>
    </row>
    <row r="42" spans="2:2" x14ac:dyDescent="0.2">
      <c r="B42" s="91"/>
    </row>
    <row r="43" spans="2:2" x14ac:dyDescent="0.2">
      <c r="B43" s="91"/>
    </row>
    <row r="44" spans="2:2" x14ac:dyDescent="0.2">
      <c r="B44" s="91"/>
    </row>
    <row r="45" spans="2:2" x14ac:dyDescent="0.2">
      <c r="B45" s="91"/>
    </row>
    <row r="46" spans="2:2" x14ac:dyDescent="0.2">
      <c r="B46" s="91"/>
    </row>
    <row r="47" spans="2:2" x14ac:dyDescent="0.2">
      <c r="B47" s="91"/>
    </row>
    <row r="48" spans="2:2" x14ac:dyDescent="0.2">
      <c r="B48" s="91"/>
    </row>
    <row r="49" spans="2:2" x14ac:dyDescent="0.2">
      <c r="B49" s="91"/>
    </row>
    <row r="50" spans="2:2" x14ac:dyDescent="0.2">
      <c r="B50" s="91"/>
    </row>
    <row r="51" spans="2:2" x14ac:dyDescent="0.2">
      <c r="B51" s="91"/>
    </row>
    <row r="52" spans="2:2" x14ac:dyDescent="0.2">
      <c r="B52" s="91"/>
    </row>
    <row r="53" spans="2:2" x14ac:dyDescent="0.2">
      <c r="B53" s="91"/>
    </row>
    <row r="54" spans="2:2" x14ac:dyDescent="0.2">
      <c r="B54" s="91"/>
    </row>
    <row r="55" spans="2:2" x14ac:dyDescent="0.2">
      <c r="B55" s="91"/>
    </row>
    <row r="56" spans="2:2" x14ac:dyDescent="0.2">
      <c r="B56" s="91"/>
    </row>
    <row r="57" spans="2:2" x14ac:dyDescent="0.2">
      <c r="B57" s="91"/>
    </row>
    <row r="58" spans="2:2" x14ac:dyDescent="0.2">
      <c r="B58" s="91"/>
    </row>
    <row r="59" spans="2:2" x14ac:dyDescent="0.2">
      <c r="B59" s="91"/>
    </row>
    <row r="60" spans="2:2" x14ac:dyDescent="0.2">
      <c r="B60" s="91"/>
    </row>
    <row r="61" spans="2:2" x14ac:dyDescent="0.2">
      <c r="B61" s="91"/>
    </row>
    <row r="62" spans="2:2" x14ac:dyDescent="0.2">
      <c r="B62" s="91"/>
    </row>
    <row r="63" spans="2:2" x14ac:dyDescent="0.2">
      <c r="B63" s="91"/>
    </row>
    <row r="64" spans="2:2" x14ac:dyDescent="0.2">
      <c r="B64" s="91"/>
    </row>
    <row r="65" spans="2:2" x14ac:dyDescent="0.2">
      <c r="B65" s="91"/>
    </row>
    <row r="66" spans="2:2" x14ac:dyDescent="0.2">
      <c r="B66" s="91"/>
    </row>
    <row r="67" spans="2:2" x14ac:dyDescent="0.2">
      <c r="B67" s="91"/>
    </row>
    <row r="68" spans="2:2" x14ac:dyDescent="0.2">
      <c r="B68" s="91"/>
    </row>
    <row r="69" spans="2:2" x14ac:dyDescent="0.2">
      <c r="B69" s="91"/>
    </row>
    <row r="70" spans="2:2" x14ac:dyDescent="0.2">
      <c r="B70" s="91"/>
    </row>
    <row r="71" spans="2:2" x14ac:dyDescent="0.2">
      <c r="B71" s="91"/>
    </row>
    <row r="72" spans="2:2" x14ac:dyDescent="0.2">
      <c r="B72" s="91"/>
    </row>
    <row r="73" spans="2:2" x14ac:dyDescent="0.2">
      <c r="B73" s="91"/>
    </row>
    <row r="74" spans="2:2" x14ac:dyDescent="0.2">
      <c r="B74" s="91"/>
    </row>
    <row r="75" spans="2:2" x14ac:dyDescent="0.2">
      <c r="B75" s="91"/>
    </row>
    <row r="76" spans="2:2" x14ac:dyDescent="0.2">
      <c r="B76" s="91"/>
    </row>
    <row r="77" spans="2:2" x14ac:dyDescent="0.2">
      <c r="B77" s="91"/>
    </row>
    <row r="78" spans="2:2" x14ac:dyDescent="0.2">
      <c r="B78" s="91"/>
    </row>
    <row r="79" spans="2:2" x14ac:dyDescent="0.2">
      <c r="B79" s="91"/>
    </row>
    <row r="80" spans="2:2" x14ac:dyDescent="0.2">
      <c r="B80" s="91"/>
    </row>
    <row r="81" spans="2:2" x14ac:dyDescent="0.2">
      <c r="B81" s="91"/>
    </row>
    <row r="82" spans="2:2" x14ac:dyDescent="0.2">
      <c r="B82" s="91"/>
    </row>
    <row r="83" spans="2:2" x14ac:dyDescent="0.2">
      <c r="B83" s="91"/>
    </row>
    <row r="84" spans="2:2" x14ac:dyDescent="0.2">
      <c r="B84" s="91"/>
    </row>
    <row r="85" spans="2:2" x14ac:dyDescent="0.2">
      <c r="B85" s="91"/>
    </row>
    <row r="86" spans="2:2" x14ac:dyDescent="0.2">
      <c r="B86" s="91"/>
    </row>
    <row r="87" spans="2:2" x14ac:dyDescent="0.2">
      <c r="B87" s="91"/>
    </row>
    <row r="88" spans="2:2" x14ac:dyDescent="0.2">
      <c r="B88" s="91"/>
    </row>
    <row r="89" spans="2:2" x14ac:dyDescent="0.2">
      <c r="B89" s="91"/>
    </row>
    <row r="90" spans="2:2" x14ac:dyDescent="0.2">
      <c r="B90" s="91"/>
    </row>
    <row r="91" spans="2:2" x14ac:dyDescent="0.2">
      <c r="B91" s="91"/>
    </row>
    <row r="92" spans="2:2" x14ac:dyDescent="0.2">
      <c r="B92" s="91"/>
    </row>
    <row r="93" spans="2:2" x14ac:dyDescent="0.2">
      <c r="B93" s="91"/>
    </row>
    <row r="94" spans="2:2" x14ac:dyDescent="0.2">
      <c r="B94" s="91"/>
    </row>
    <row r="95" spans="2:2" x14ac:dyDescent="0.2">
      <c r="B95" s="91"/>
    </row>
    <row r="96" spans="2:2" x14ac:dyDescent="0.2">
      <c r="B96" s="91"/>
    </row>
    <row r="97" spans="2:2" x14ac:dyDescent="0.2">
      <c r="B97" s="91"/>
    </row>
    <row r="98" spans="2:2" x14ac:dyDescent="0.2">
      <c r="B98" s="91"/>
    </row>
    <row r="99" spans="2:2" x14ac:dyDescent="0.2">
      <c r="B99" s="91"/>
    </row>
    <row r="100" spans="2:2" x14ac:dyDescent="0.2">
      <c r="B100" s="91"/>
    </row>
    <row r="101" spans="2:2" x14ac:dyDescent="0.2">
      <c r="B101" s="91"/>
    </row>
    <row r="102" spans="2:2" x14ac:dyDescent="0.2">
      <c r="B102" s="91"/>
    </row>
    <row r="103" spans="2:2" x14ac:dyDescent="0.2">
      <c r="B103" s="91"/>
    </row>
    <row r="104" spans="2:2" x14ac:dyDescent="0.2">
      <c r="B104" s="91"/>
    </row>
    <row r="105" spans="2:2" x14ac:dyDescent="0.2">
      <c r="B105" s="91"/>
    </row>
    <row r="106" spans="2:2" x14ac:dyDescent="0.2">
      <c r="B106" s="91"/>
    </row>
    <row r="107" spans="2:2" x14ac:dyDescent="0.2">
      <c r="B107" s="91"/>
    </row>
    <row r="108" spans="2:2" x14ac:dyDescent="0.2">
      <c r="B108" s="91"/>
    </row>
    <row r="109" spans="2:2" x14ac:dyDescent="0.2">
      <c r="B109" s="91"/>
    </row>
    <row r="110" spans="2:2" x14ac:dyDescent="0.2">
      <c r="B110" s="91"/>
    </row>
    <row r="111" spans="2:2" x14ac:dyDescent="0.2">
      <c r="B111" s="91"/>
    </row>
    <row r="112" spans="2:2" x14ac:dyDescent="0.2">
      <c r="B112" s="91"/>
    </row>
    <row r="113" spans="2:2" x14ac:dyDescent="0.2">
      <c r="B113" s="91"/>
    </row>
    <row r="114" spans="2:2" x14ac:dyDescent="0.2">
      <c r="B114" s="91"/>
    </row>
    <row r="115" spans="2:2" x14ac:dyDescent="0.2">
      <c r="B115" s="91"/>
    </row>
    <row r="116" spans="2:2" x14ac:dyDescent="0.2">
      <c r="B116" s="91"/>
    </row>
    <row r="117" spans="2:2" x14ac:dyDescent="0.2">
      <c r="B117" s="91"/>
    </row>
    <row r="118" spans="2:2" x14ac:dyDescent="0.2">
      <c r="B118" s="91"/>
    </row>
    <row r="119" spans="2:2" x14ac:dyDescent="0.2">
      <c r="B119" s="91"/>
    </row>
    <row r="120" spans="2:2" x14ac:dyDescent="0.2">
      <c r="B120" s="91"/>
    </row>
    <row r="121" spans="2:2" x14ac:dyDescent="0.2">
      <c r="B121" s="91"/>
    </row>
    <row r="122" spans="2:2" x14ac:dyDescent="0.2">
      <c r="B122" s="91"/>
    </row>
    <row r="123" spans="2:2" x14ac:dyDescent="0.2">
      <c r="B123" s="91"/>
    </row>
    <row r="124" spans="2:2" x14ac:dyDescent="0.2">
      <c r="B124" s="91"/>
    </row>
    <row r="125" spans="2:2" x14ac:dyDescent="0.2">
      <c r="B125" s="91"/>
    </row>
    <row r="126" spans="2:2" x14ac:dyDescent="0.2">
      <c r="B126" s="91"/>
    </row>
    <row r="127" spans="2:2" x14ac:dyDescent="0.2">
      <c r="B127" s="91"/>
    </row>
    <row r="128" spans="2:2" x14ac:dyDescent="0.2">
      <c r="B128" s="91"/>
    </row>
    <row r="129" spans="2:2" x14ac:dyDescent="0.2">
      <c r="B129" s="91"/>
    </row>
    <row r="130" spans="2:2" x14ac:dyDescent="0.2">
      <c r="B130" s="91"/>
    </row>
    <row r="131" spans="2:2" x14ac:dyDescent="0.2">
      <c r="B131" s="91"/>
    </row>
    <row r="132" spans="2:2" x14ac:dyDescent="0.2">
      <c r="B132" s="91"/>
    </row>
    <row r="133" spans="2:2" x14ac:dyDescent="0.2">
      <c r="B133" s="91"/>
    </row>
    <row r="134" spans="2:2" x14ac:dyDescent="0.2">
      <c r="B134" s="91"/>
    </row>
    <row r="135" spans="2:2" x14ac:dyDescent="0.2">
      <c r="B135" s="91"/>
    </row>
    <row r="136" spans="2:2" x14ac:dyDescent="0.2">
      <c r="B136" s="91"/>
    </row>
    <row r="137" spans="2:2" x14ac:dyDescent="0.2">
      <c r="B137" s="91"/>
    </row>
    <row r="138" spans="2:2" x14ac:dyDescent="0.2">
      <c r="B138" s="91"/>
    </row>
    <row r="139" spans="2:2" x14ac:dyDescent="0.2">
      <c r="B139" s="91"/>
    </row>
    <row r="140" spans="2:2" x14ac:dyDescent="0.2">
      <c r="B140" s="91"/>
    </row>
    <row r="141" spans="2:2" x14ac:dyDescent="0.2">
      <c r="B141" s="91"/>
    </row>
    <row r="142" spans="2:2" x14ac:dyDescent="0.2">
      <c r="B142" s="91"/>
    </row>
    <row r="143" spans="2:2" x14ac:dyDescent="0.2">
      <c r="B143" s="91"/>
    </row>
    <row r="144" spans="2:2" x14ac:dyDescent="0.2">
      <c r="B144" s="91"/>
    </row>
    <row r="145" spans="2:2" x14ac:dyDescent="0.2">
      <c r="B145" s="91"/>
    </row>
    <row r="146" spans="2:2" x14ac:dyDescent="0.2">
      <c r="B146" s="91"/>
    </row>
    <row r="147" spans="2:2" x14ac:dyDescent="0.2">
      <c r="B147" s="91"/>
    </row>
    <row r="148" spans="2:2" x14ac:dyDescent="0.2">
      <c r="B148" s="91"/>
    </row>
    <row r="149" spans="2:2" x14ac:dyDescent="0.2">
      <c r="B149" s="91"/>
    </row>
    <row r="150" spans="2:2" x14ac:dyDescent="0.2">
      <c r="B150" s="91"/>
    </row>
    <row r="151" spans="2:2" x14ac:dyDescent="0.2">
      <c r="B151" s="91"/>
    </row>
    <row r="152" spans="2:2" x14ac:dyDescent="0.2">
      <c r="B152" s="91"/>
    </row>
    <row r="153" spans="2:2" x14ac:dyDescent="0.2">
      <c r="B153" s="91"/>
    </row>
    <row r="154" spans="2:2" x14ac:dyDescent="0.2">
      <c r="B154" s="91"/>
    </row>
    <row r="155" spans="2:2" x14ac:dyDescent="0.2">
      <c r="B155" s="91"/>
    </row>
    <row r="156" spans="2:2" x14ac:dyDescent="0.2">
      <c r="B156" s="91"/>
    </row>
    <row r="157" spans="2:2" x14ac:dyDescent="0.2">
      <c r="B157" s="91"/>
    </row>
    <row r="158" spans="2:2" x14ac:dyDescent="0.2">
      <c r="B158" s="91"/>
    </row>
    <row r="159" spans="2:2" x14ac:dyDescent="0.2">
      <c r="B159" s="91"/>
    </row>
    <row r="160" spans="2:2" x14ac:dyDescent="0.2">
      <c r="B160" s="91"/>
    </row>
    <row r="161" spans="2:2" x14ac:dyDescent="0.2">
      <c r="B161" s="91"/>
    </row>
    <row r="162" spans="2:2" x14ac:dyDescent="0.2">
      <c r="B162" s="91"/>
    </row>
    <row r="163" spans="2:2" x14ac:dyDescent="0.2">
      <c r="B163" s="91"/>
    </row>
    <row r="164" spans="2:2" x14ac:dyDescent="0.2">
      <c r="B164" s="91"/>
    </row>
    <row r="165" spans="2:2" x14ac:dyDescent="0.2">
      <c r="B165" s="91"/>
    </row>
    <row r="166" spans="2:2" x14ac:dyDescent="0.2">
      <c r="B166" s="91"/>
    </row>
    <row r="167" spans="2:2" x14ac:dyDescent="0.2">
      <c r="B167" s="91"/>
    </row>
    <row r="168" spans="2:2" x14ac:dyDescent="0.2">
      <c r="B168" s="91"/>
    </row>
    <row r="169" spans="2:2" x14ac:dyDescent="0.2">
      <c r="B169" s="91"/>
    </row>
    <row r="170" spans="2:2" x14ac:dyDescent="0.2">
      <c r="B170" s="91"/>
    </row>
    <row r="171" spans="2:2" x14ac:dyDescent="0.2">
      <c r="B171" s="91"/>
    </row>
    <row r="172" spans="2:2" x14ac:dyDescent="0.2">
      <c r="B172" s="91"/>
    </row>
    <row r="173" spans="2:2" x14ac:dyDescent="0.2">
      <c r="B173" s="91"/>
    </row>
    <row r="174" spans="2:2" x14ac:dyDescent="0.2">
      <c r="B174" s="91"/>
    </row>
    <row r="175" spans="2:2" x14ac:dyDescent="0.2">
      <c r="B175" s="91"/>
    </row>
    <row r="176" spans="2:2" x14ac:dyDescent="0.2">
      <c r="B176" s="91"/>
    </row>
    <row r="177" spans="2:2" x14ac:dyDescent="0.2">
      <c r="B177" s="91"/>
    </row>
    <row r="178" spans="2:2" x14ac:dyDescent="0.2">
      <c r="B178" s="91"/>
    </row>
    <row r="179" spans="2:2" x14ac:dyDescent="0.2">
      <c r="B179" s="91"/>
    </row>
    <row r="180" spans="2:2" x14ac:dyDescent="0.2">
      <c r="B180" s="91"/>
    </row>
    <row r="181" spans="2:2" x14ac:dyDescent="0.2">
      <c r="B181" s="91"/>
    </row>
    <row r="182" spans="2:2" x14ac:dyDescent="0.2">
      <c r="B182" s="91"/>
    </row>
    <row r="183" spans="2:2" x14ac:dyDescent="0.2">
      <c r="B183" s="91"/>
    </row>
    <row r="184" spans="2:2" x14ac:dyDescent="0.2">
      <c r="B184" s="91"/>
    </row>
    <row r="185" spans="2:2" x14ac:dyDescent="0.2">
      <c r="B185" s="91"/>
    </row>
    <row r="186" spans="2:2" x14ac:dyDescent="0.2">
      <c r="B186" s="91"/>
    </row>
    <row r="187" spans="2:2" x14ac:dyDescent="0.2">
      <c r="B187" s="91"/>
    </row>
    <row r="188" spans="2:2" x14ac:dyDescent="0.2">
      <c r="B188" s="91"/>
    </row>
    <row r="189" spans="2:2" x14ac:dyDescent="0.2">
      <c r="B189" s="91"/>
    </row>
    <row r="190" spans="2:2" x14ac:dyDescent="0.2">
      <c r="B190" s="91"/>
    </row>
    <row r="191" spans="2:2" x14ac:dyDescent="0.2">
      <c r="B191" s="91"/>
    </row>
    <row r="192" spans="2:2" x14ac:dyDescent="0.2">
      <c r="B192" s="91"/>
    </row>
    <row r="193" spans="2:2" x14ac:dyDescent="0.2">
      <c r="B193" s="91"/>
    </row>
    <row r="194" spans="2:2" x14ac:dyDescent="0.2">
      <c r="B194" s="91"/>
    </row>
    <row r="195" spans="2:2" x14ac:dyDescent="0.2">
      <c r="B195" s="91"/>
    </row>
    <row r="196" spans="2:2" x14ac:dyDescent="0.2">
      <c r="B196" s="91"/>
    </row>
    <row r="197" spans="2:2" x14ac:dyDescent="0.2">
      <c r="B197" s="91"/>
    </row>
    <row r="198" spans="2:2" x14ac:dyDescent="0.2">
      <c r="B198" s="91"/>
    </row>
    <row r="199" spans="2:2" x14ac:dyDescent="0.2">
      <c r="B199" s="91"/>
    </row>
    <row r="200" spans="2:2" x14ac:dyDescent="0.2">
      <c r="B200" s="91"/>
    </row>
    <row r="201" spans="2:2" x14ac:dyDescent="0.2">
      <c r="B201" s="91"/>
    </row>
    <row r="202" spans="2:2" x14ac:dyDescent="0.2">
      <c r="B202" s="91"/>
    </row>
    <row r="203" spans="2:2" x14ac:dyDescent="0.2">
      <c r="B203" s="91"/>
    </row>
    <row r="204" spans="2:2" x14ac:dyDescent="0.2">
      <c r="B204" s="91"/>
    </row>
    <row r="205" spans="2:2" x14ac:dyDescent="0.2">
      <c r="B205" s="91"/>
    </row>
    <row r="206" spans="2:2" x14ac:dyDescent="0.2">
      <c r="B206" s="91"/>
    </row>
    <row r="207" spans="2:2" x14ac:dyDescent="0.2">
      <c r="B207" s="91"/>
    </row>
    <row r="208" spans="2:2" x14ac:dyDescent="0.2">
      <c r="B208" s="91"/>
    </row>
    <row r="209" spans="2:2" x14ac:dyDescent="0.2">
      <c r="B209" s="91"/>
    </row>
    <row r="210" spans="2:2" x14ac:dyDescent="0.2">
      <c r="B210" s="91"/>
    </row>
    <row r="211" spans="2:2" x14ac:dyDescent="0.2">
      <c r="B211" s="91"/>
    </row>
    <row r="212" spans="2:2" x14ac:dyDescent="0.2">
      <c r="B212" s="91"/>
    </row>
    <row r="213" spans="2:2" x14ac:dyDescent="0.2">
      <c r="B213" s="91"/>
    </row>
    <row r="214" spans="2:2" x14ac:dyDescent="0.2">
      <c r="B214" s="91"/>
    </row>
    <row r="215" spans="2:2" x14ac:dyDescent="0.2">
      <c r="B215" s="91"/>
    </row>
    <row r="216" spans="2:2" x14ac:dyDescent="0.2">
      <c r="B216" s="91"/>
    </row>
    <row r="217" spans="2:2" x14ac:dyDescent="0.2">
      <c r="B217" s="91"/>
    </row>
    <row r="218" spans="2:2" x14ac:dyDescent="0.2">
      <c r="B218" s="91"/>
    </row>
    <row r="219" spans="2:2" x14ac:dyDescent="0.2">
      <c r="B219" s="91"/>
    </row>
    <row r="220" spans="2:2" x14ac:dyDescent="0.2">
      <c r="B220" s="91"/>
    </row>
    <row r="221" spans="2:2" x14ac:dyDescent="0.2">
      <c r="B221" s="91"/>
    </row>
    <row r="222" spans="2:2" x14ac:dyDescent="0.2">
      <c r="B222" s="91"/>
    </row>
    <row r="223" spans="2:2" x14ac:dyDescent="0.2">
      <c r="B223" s="91"/>
    </row>
    <row r="224" spans="2:2" x14ac:dyDescent="0.2">
      <c r="B224" s="91"/>
    </row>
    <row r="225" spans="2:2" x14ac:dyDescent="0.2">
      <c r="B225" s="91"/>
    </row>
    <row r="226" spans="2:2" x14ac:dyDescent="0.2">
      <c r="B226" s="91"/>
    </row>
    <row r="227" spans="2:2" x14ac:dyDescent="0.2">
      <c r="B227" s="91"/>
    </row>
    <row r="228" spans="2:2" x14ac:dyDescent="0.2">
      <c r="B228" s="91"/>
    </row>
    <row r="229" spans="2:2" x14ac:dyDescent="0.2">
      <c r="B229" s="91"/>
    </row>
    <row r="230" spans="2:2" x14ac:dyDescent="0.2">
      <c r="B230" s="91"/>
    </row>
    <row r="231" spans="2:2" x14ac:dyDescent="0.2">
      <c r="B231" s="91"/>
    </row>
    <row r="232" spans="2:2" x14ac:dyDescent="0.2">
      <c r="B232" s="91"/>
    </row>
    <row r="233" spans="2:2" x14ac:dyDescent="0.2">
      <c r="B233" s="91"/>
    </row>
    <row r="234" spans="2:2" x14ac:dyDescent="0.2">
      <c r="B234" s="91"/>
    </row>
    <row r="235" spans="2:2" x14ac:dyDescent="0.2">
      <c r="B235" s="91"/>
    </row>
    <row r="236" spans="2:2" x14ac:dyDescent="0.2">
      <c r="B236" s="91"/>
    </row>
    <row r="237" spans="2:2" x14ac:dyDescent="0.2">
      <c r="B237" s="91"/>
    </row>
    <row r="238" spans="2:2" x14ac:dyDescent="0.2">
      <c r="B238" s="91"/>
    </row>
    <row r="239" spans="2:2" x14ac:dyDescent="0.2">
      <c r="B239" s="91"/>
    </row>
    <row r="240" spans="2:2" x14ac:dyDescent="0.2">
      <c r="B240" s="91"/>
    </row>
    <row r="241" spans="2:2" x14ac:dyDescent="0.2">
      <c r="B241" s="91"/>
    </row>
    <row r="242" spans="2:2" x14ac:dyDescent="0.2">
      <c r="B242" s="91"/>
    </row>
    <row r="243" spans="2:2" x14ac:dyDescent="0.2">
      <c r="B243" s="91"/>
    </row>
    <row r="244" spans="2:2" x14ac:dyDescent="0.2">
      <c r="B244" s="91"/>
    </row>
    <row r="245" spans="2:2" x14ac:dyDescent="0.2">
      <c r="B245" s="91"/>
    </row>
    <row r="246" spans="2:2" x14ac:dyDescent="0.2">
      <c r="B246" s="91"/>
    </row>
    <row r="247" spans="2:2" x14ac:dyDescent="0.2">
      <c r="B247" s="91"/>
    </row>
    <row r="248" spans="2:2" x14ac:dyDescent="0.2">
      <c r="B248" s="91"/>
    </row>
    <row r="249" spans="2:2" x14ac:dyDescent="0.2">
      <c r="B249" s="91"/>
    </row>
    <row r="250" spans="2:2" x14ac:dyDescent="0.2">
      <c r="B250" s="91"/>
    </row>
    <row r="251" spans="2:2" x14ac:dyDescent="0.2">
      <c r="B251" s="91"/>
    </row>
    <row r="252" spans="2:2" x14ac:dyDescent="0.2">
      <c r="B252" s="91"/>
    </row>
    <row r="253" spans="2:2" x14ac:dyDescent="0.2">
      <c r="B253" s="91"/>
    </row>
    <row r="254" spans="2:2" x14ac:dyDescent="0.2">
      <c r="B254" s="91"/>
    </row>
    <row r="255" spans="2:2" x14ac:dyDescent="0.2">
      <c r="B255" s="91"/>
    </row>
    <row r="256" spans="2:2" x14ac:dyDescent="0.2">
      <c r="B256" s="91"/>
    </row>
    <row r="257" spans="2:2" x14ac:dyDescent="0.2">
      <c r="B257" s="91"/>
    </row>
  </sheetData>
  <sheetProtection algorithmName="SHA-512" hashValue="TtdQ1oRABqFimgsq+fTt8lSaHSSUP/leQ/WQnChmfKtfzYqoB1ArFJEGdRjiileiPHlIS9VBKdZXwOG+A80slA==" saltValue="2oBeMCAm6n7uaAL0QyAN7g==" spinCount="100000" sheet="1" objects="1" scenarios="1"/>
  <mergeCells count="12">
    <mergeCell ref="C19:C24"/>
    <mergeCell ref="D19:D24"/>
    <mergeCell ref="A27:B27"/>
    <mergeCell ref="C27:D27"/>
    <mergeCell ref="C10:C17"/>
    <mergeCell ref="D10:D17"/>
    <mergeCell ref="B7:D8"/>
    <mergeCell ref="A1:D1"/>
    <mergeCell ref="F1:G1"/>
    <mergeCell ref="A3:B3"/>
    <mergeCell ref="C3:D3"/>
    <mergeCell ref="B5:D6"/>
  </mergeCells>
  <dataValidations count="6">
    <dataValidation type="list" allowBlank="1" showInputMessage="1" showErrorMessage="1" sqref="A6" xr:uid="{3B8AFA8C-5E3B-F943-B241-96E18FF6CFAE}">
      <formula1>Process</formula1>
    </dataValidation>
    <dataValidation type="list" allowBlank="1" showInputMessage="1" showErrorMessage="1" sqref="B20:B24" xr:uid="{C8337B34-8378-334F-A1B9-B3F229A85CBB}">
      <formula1>ТакНі</formula1>
    </dataValidation>
    <dataValidation type="list" allowBlank="1" showInputMessage="1" showErrorMessage="1" sqref="A8" xr:uid="{B7A44E8A-7963-354A-84F1-8A7F164D42CF}">
      <formula1>CAS_list</formula1>
    </dataValidation>
    <dataValidation type="list" allowBlank="1" showInputMessage="1" showErrorMessage="1" sqref="B9" xr:uid="{762BCF70-74C3-644D-9830-B97DB5C2EE43}">
      <formula1>ЗП</formula1>
    </dataValidation>
    <dataValidation type="list" allowBlank="1" showInputMessage="1" showErrorMessage="1" sqref="B25" xr:uid="{EF261AA9-E147-D040-B03C-F21E804193E5}">
      <formula1>Zvit</formula1>
    </dataValidation>
    <dataValidation type="list" allowBlank="1" showInputMessage="1" showErrorMessage="1" sqref="B11:B18" xr:uid="{E5C16D43-9A71-0D44-BFC8-FB46D7E5A92A}">
      <formula1>Krouts</formula1>
    </dataValidation>
  </dataValidation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459C-36A2-DE4C-BE20-5126A488E96D}">
  <sheetPr>
    <tabColor rgb="FF00B0F0"/>
  </sheetPr>
  <dimension ref="A1:J251"/>
  <sheetViews>
    <sheetView showGridLines="0" workbookViewId="0">
      <pane ySplit="1" topLeftCell="A3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77.33203125" style="76" customWidth="1"/>
    <col min="2" max="2" width="18.33203125" style="77" customWidth="1"/>
    <col min="3" max="3" width="14.33203125" style="2" customWidth="1"/>
    <col min="4" max="6" width="11.33203125" style="2" customWidth="1"/>
    <col min="7" max="7" width="11.83203125" style="2" customWidth="1"/>
    <col min="8" max="16384" width="11.33203125" style="2"/>
  </cols>
  <sheetData>
    <row r="1" spans="1:10" ht="36.75" customHeight="1" x14ac:dyDescent="0.2">
      <c r="A1" s="173" t="s">
        <v>314</v>
      </c>
      <c r="B1" s="173"/>
      <c r="C1" s="173"/>
      <c r="D1" s="173"/>
      <c r="E1" s="1"/>
      <c r="F1" s="172" t="s">
        <v>245</v>
      </c>
      <c r="G1" s="172"/>
    </row>
    <row r="2" spans="1:10" x14ac:dyDescent="0.2">
      <c r="C2" s="1"/>
      <c r="D2" s="1"/>
      <c r="E2" s="1"/>
      <c r="F2" s="1"/>
      <c r="G2" s="1"/>
    </row>
    <row r="3" spans="1:10" ht="29.25" customHeight="1" x14ac:dyDescent="0.2">
      <c r="A3" s="220" t="str">
        <f>TEXT( "Рпр. док = (3 + 8 х Кпр.д + 3 х Кпр.д.інш) х Кос.кат х Огод х Кзвіт = (3 + 8 x "&amp;D6&amp;" + 3 x "&amp;D12&amp;") х "&amp;D13&amp;" x "&amp;D5&amp;" х "&amp;D19&amp;"  = ",0)</f>
        <v xml:space="preserve">Рпр. док = (3 + 8 х Кпр.д + 3 х Кпр.д.інш) х Кос.кат х Огод х Кзвіт = (3 + 8 x 0 + 3 x 0) х 1 x 166,4 х 1  = </v>
      </c>
      <c r="B3" s="221"/>
      <c r="C3" s="171">
        <f>(3+8*D6+3*D12)*D13*D5*D19</f>
        <v>499.20000000000005</v>
      </c>
      <c r="D3" s="171"/>
      <c r="E3" s="1"/>
      <c r="F3" s="1"/>
      <c r="G3" s="1"/>
    </row>
    <row r="4" spans="1:10" ht="14.25" customHeight="1" x14ac:dyDescent="0.2">
      <c r="A4" s="78"/>
      <c r="B4" s="79"/>
      <c r="C4" s="1"/>
      <c r="D4" s="1"/>
      <c r="E4" s="1"/>
      <c r="F4" s="1"/>
      <c r="G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9">
        <f>ROUND(B5*0.05,3)</f>
        <v>166.4</v>
      </c>
      <c r="E5" s="1"/>
      <c r="F5" s="1"/>
      <c r="G5" s="1"/>
      <c r="H5" s="1"/>
      <c r="I5" s="1"/>
      <c r="J5" s="1"/>
    </row>
    <row r="6" spans="1:10" ht="51" customHeight="1" x14ac:dyDescent="0.2">
      <c r="A6" s="83" t="s">
        <v>315</v>
      </c>
      <c r="B6" s="84"/>
      <c r="C6" s="184" t="s">
        <v>318</v>
      </c>
      <c r="D6" s="185">
        <f>SUM(B7:B11)</f>
        <v>0</v>
      </c>
      <c r="E6" s="1"/>
      <c r="F6" s="1"/>
      <c r="G6" s="1"/>
    </row>
    <row r="7" spans="1:10" x14ac:dyDescent="0.2">
      <c r="A7" s="85" t="s">
        <v>325</v>
      </c>
      <c r="B7" s="93">
        <v>0</v>
      </c>
      <c r="C7" s="184"/>
      <c r="D7" s="185"/>
      <c r="E7" s="1"/>
      <c r="F7" s="1"/>
      <c r="G7" s="1"/>
    </row>
    <row r="8" spans="1:10" x14ac:dyDescent="0.2">
      <c r="A8" s="85" t="s">
        <v>302</v>
      </c>
      <c r="B8" s="93">
        <v>0</v>
      </c>
      <c r="C8" s="184"/>
      <c r="D8" s="185"/>
      <c r="E8" s="1"/>
      <c r="F8" s="1"/>
      <c r="G8" s="1"/>
    </row>
    <row r="9" spans="1:10" x14ac:dyDescent="0.2">
      <c r="A9" s="85" t="s">
        <v>345</v>
      </c>
      <c r="B9" s="93">
        <v>0</v>
      </c>
      <c r="C9" s="184"/>
      <c r="D9" s="185"/>
      <c r="E9" s="1"/>
      <c r="F9" s="1"/>
      <c r="G9" s="1"/>
    </row>
    <row r="10" spans="1:10" x14ac:dyDescent="0.2">
      <c r="A10" s="85" t="s">
        <v>346</v>
      </c>
      <c r="B10" s="93">
        <v>0</v>
      </c>
      <c r="C10" s="184"/>
      <c r="D10" s="185"/>
      <c r="E10" s="1"/>
      <c r="F10" s="1"/>
      <c r="G10" s="1"/>
    </row>
    <row r="11" spans="1:10" ht="30" x14ac:dyDescent="0.2">
      <c r="A11" s="85" t="s">
        <v>326</v>
      </c>
      <c r="B11" s="93">
        <v>0</v>
      </c>
      <c r="C11" s="184"/>
      <c r="D11" s="185"/>
      <c r="E11" s="1"/>
      <c r="F11" s="1"/>
      <c r="G11" s="1"/>
    </row>
    <row r="12" spans="1:10" ht="50.25" customHeight="1" x14ac:dyDescent="0.2">
      <c r="A12" s="86" t="s">
        <v>301</v>
      </c>
      <c r="B12" s="94">
        <v>0</v>
      </c>
      <c r="C12" s="71" t="s">
        <v>319</v>
      </c>
      <c r="D12" s="87">
        <f>B12</f>
        <v>0</v>
      </c>
      <c r="E12" s="1"/>
      <c r="F12" s="1"/>
      <c r="G12" s="1"/>
    </row>
    <row r="13" spans="1:10" ht="39" customHeight="1" x14ac:dyDescent="0.2">
      <c r="A13" s="16" t="s">
        <v>316</v>
      </c>
      <c r="B13" s="25"/>
      <c r="C13" s="176" t="s">
        <v>311</v>
      </c>
      <c r="D13" s="176">
        <f>IF(SUM(E14:E18)=1,1.1,IF(SUM(E14:E18)&gt;=2,1.2,1))</f>
        <v>1</v>
      </c>
      <c r="E13" s="1"/>
      <c r="F13" s="1"/>
      <c r="G13" s="1"/>
      <c r="H13" s="1"/>
      <c r="I13" s="1"/>
      <c r="J13" s="1"/>
    </row>
    <row r="14" spans="1:10" x14ac:dyDescent="0.2">
      <c r="A14" s="42" t="s">
        <v>217</v>
      </c>
      <c r="B14" s="43" t="s">
        <v>1</v>
      </c>
      <c r="C14" s="177"/>
      <c r="D14" s="177"/>
      <c r="E14" s="1">
        <f>IF(B14="так",1,0)</f>
        <v>0</v>
      </c>
      <c r="F14" s="1"/>
      <c r="G14" s="1"/>
      <c r="H14" s="1"/>
      <c r="I14" s="1"/>
      <c r="J14" s="1"/>
    </row>
    <row r="15" spans="1:10" ht="30" x14ac:dyDescent="0.2">
      <c r="A15" s="42" t="s">
        <v>38</v>
      </c>
      <c r="B15" s="43" t="s">
        <v>1</v>
      </c>
      <c r="C15" s="177"/>
      <c r="D15" s="177"/>
      <c r="E15" s="1">
        <f>IF(B15="так",1,0)</f>
        <v>0</v>
      </c>
      <c r="F15" s="1"/>
      <c r="G15" s="1"/>
      <c r="H15" s="1"/>
      <c r="I15" s="1"/>
      <c r="J15" s="1"/>
    </row>
    <row r="16" spans="1:10" x14ac:dyDescent="0.2">
      <c r="A16" s="42" t="s">
        <v>218</v>
      </c>
      <c r="B16" s="43" t="s">
        <v>1</v>
      </c>
      <c r="C16" s="177"/>
      <c r="D16" s="177"/>
      <c r="E16" s="1">
        <f>IF(B16="так",1,0)</f>
        <v>0</v>
      </c>
      <c r="F16" s="1"/>
      <c r="G16" s="1"/>
      <c r="H16" s="1"/>
      <c r="I16" s="1"/>
      <c r="J16" s="1"/>
    </row>
    <row r="17" spans="1:10" x14ac:dyDescent="0.2">
      <c r="A17" s="42" t="s">
        <v>39</v>
      </c>
      <c r="B17" s="43" t="s">
        <v>1</v>
      </c>
      <c r="C17" s="177"/>
      <c r="D17" s="177"/>
      <c r="E17" s="1">
        <f>IF(B17="так",1,0)</f>
        <v>0</v>
      </c>
      <c r="F17" s="1"/>
      <c r="G17" s="1"/>
      <c r="H17" s="1"/>
      <c r="I17" s="1"/>
      <c r="J17" s="1"/>
    </row>
    <row r="18" spans="1:10" ht="45" x14ac:dyDescent="0.2">
      <c r="A18" s="42" t="s">
        <v>422</v>
      </c>
      <c r="B18" s="43" t="s">
        <v>1</v>
      </c>
      <c r="C18" s="177"/>
      <c r="D18" s="177"/>
      <c r="E18" s="1">
        <f>IF(B18="так",1,0)</f>
        <v>0</v>
      </c>
      <c r="F18" s="1"/>
      <c r="G18" s="1"/>
      <c r="H18" s="1"/>
      <c r="I18" s="1"/>
      <c r="J18" s="1"/>
    </row>
    <row r="19" spans="1:10" ht="48" customHeight="1" x14ac:dyDescent="0.2">
      <c r="A19" s="44" t="s">
        <v>317</v>
      </c>
      <c r="B19" s="26" t="s">
        <v>139</v>
      </c>
      <c r="C19" s="45" t="s">
        <v>235</v>
      </c>
      <c r="D19" s="71">
        <f>VLOOKUP(B19,Kzvit,2,0)</f>
        <v>1</v>
      </c>
      <c r="E19" s="72"/>
    </row>
    <row r="20" spans="1:10" x14ac:dyDescent="0.2">
      <c r="B20" s="91"/>
    </row>
    <row r="21" spans="1:10" ht="30" customHeight="1" x14ac:dyDescent="0.2">
      <c r="A21" s="220" t="str">
        <f>A3</f>
        <v xml:space="preserve">Рпр. док = (3 + 8 х Кпр.д + 3 х Кпр.д.інш) х Кос.кат х Огод х Кзвіт = (3 + 8 x 0 + 3 x 0) х 1 x 166,4 х 1  = </v>
      </c>
      <c r="B21" s="221"/>
      <c r="C21" s="171">
        <f>C3</f>
        <v>499.20000000000005</v>
      </c>
      <c r="D21" s="171"/>
    </row>
    <row r="22" spans="1:10" x14ac:dyDescent="0.2">
      <c r="B22" s="91"/>
    </row>
    <row r="23" spans="1:10" x14ac:dyDescent="0.2">
      <c r="B23" s="91"/>
    </row>
    <row r="24" spans="1:10" x14ac:dyDescent="0.2">
      <c r="B24" s="91"/>
    </row>
    <row r="25" spans="1:10" x14ac:dyDescent="0.2">
      <c r="B25" s="91"/>
    </row>
    <row r="26" spans="1:10" x14ac:dyDescent="0.2">
      <c r="B26" s="91"/>
    </row>
    <row r="27" spans="1:10" x14ac:dyDescent="0.2">
      <c r="B27" s="91"/>
    </row>
    <row r="28" spans="1:10" x14ac:dyDescent="0.2">
      <c r="B28" s="91"/>
    </row>
    <row r="29" spans="1:10" x14ac:dyDescent="0.2">
      <c r="B29" s="91"/>
    </row>
    <row r="30" spans="1:10" x14ac:dyDescent="0.2">
      <c r="B30" s="91"/>
    </row>
    <row r="31" spans="1:10" x14ac:dyDescent="0.2">
      <c r="B31" s="91"/>
    </row>
    <row r="32" spans="1:10" x14ac:dyDescent="0.2">
      <c r="B32" s="91"/>
    </row>
    <row r="33" spans="2:2" x14ac:dyDescent="0.2">
      <c r="B33" s="91"/>
    </row>
    <row r="34" spans="2:2" x14ac:dyDescent="0.2">
      <c r="B34" s="91"/>
    </row>
    <row r="35" spans="2:2" x14ac:dyDescent="0.2">
      <c r="B35" s="91"/>
    </row>
    <row r="36" spans="2:2" x14ac:dyDescent="0.2">
      <c r="B36" s="91"/>
    </row>
    <row r="37" spans="2:2" x14ac:dyDescent="0.2">
      <c r="B37" s="91"/>
    </row>
    <row r="38" spans="2:2" x14ac:dyDescent="0.2">
      <c r="B38" s="91"/>
    </row>
    <row r="39" spans="2:2" x14ac:dyDescent="0.2">
      <c r="B39" s="91"/>
    </row>
    <row r="40" spans="2:2" x14ac:dyDescent="0.2">
      <c r="B40" s="91"/>
    </row>
    <row r="41" spans="2:2" x14ac:dyDescent="0.2">
      <c r="B41" s="91"/>
    </row>
    <row r="42" spans="2:2" x14ac:dyDescent="0.2">
      <c r="B42" s="91"/>
    </row>
    <row r="43" spans="2:2" x14ac:dyDescent="0.2">
      <c r="B43" s="91"/>
    </row>
    <row r="44" spans="2:2" x14ac:dyDescent="0.2">
      <c r="B44" s="91"/>
    </row>
    <row r="45" spans="2:2" x14ac:dyDescent="0.2">
      <c r="B45" s="91"/>
    </row>
    <row r="46" spans="2:2" x14ac:dyDescent="0.2">
      <c r="B46" s="91"/>
    </row>
    <row r="47" spans="2:2" x14ac:dyDescent="0.2">
      <c r="B47" s="91"/>
    </row>
    <row r="48" spans="2:2" x14ac:dyDescent="0.2">
      <c r="B48" s="91"/>
    </row>
    <row r="49" spans="2:2" x14ac:dyDescent="0.2">
      <c r="B49" s="91"/>
    </row>
    <row r="50" spans="2:2" x14ac:dyDescent="0.2">
      <c r="B50" s="91"/>
    </row>
    <row r="51" spans="2:2" x14ac:dyDescent="0.2">
      <c r="B51" s="91"/>
    </row>
    <row r="52" spans="2:2" x14ac:dyDescent="0.2">
      <c r="B52" s="91"/>
    </row>
    <row r="53" spans="2:2" x14ac:dyDescent="0.2">
      <c r="B53" s="91"/>
    </row>
    <row r="54" spans="2:2" x14ac:dyDescent="0.2">
      <c r="B54" s="91"/>
    </row>
    <row r="55" spans="2:2" x14ac:dyDescent="0.2">
      <c r="B55" s="91"/>
    </row>
    <row r="56" spans="2:2" x14ac:dyDescent="0.2">
      <c r="B56" s="91"/>
    </row>
    <row r="57" spans="2:2" x14ac:dyDescent="0.2">
      <c r="B57" s="91"/>
    </row>
    <row r="58" spans="2:2" x14ac:dyDescent="0.2">
      <c r="B58" s="91"/>
    </row>
    <row r="59" spans="2:2" x14ac:dyDescent="0.2">
      <c r="B59" s="91"/>
    </row>
    <row r="60" spans="2:2" x14ac:dyDescent="0.2">
      <c r="B60" s="91"/>
    </row>
    <row r="61" spans="2:2" x14ac:dyDescent="0.2">
      <c r="B61" s="91"/>
    </row>
    <row r="62" spans="2:2" x14ac:dyDescent="0.2">
      <c r="B62" s="91"/>
    </row>
    <row r="63" spans="2:2" x14ac:dyDescent="0.2">
      <c r="B63" s="91"/>
    </row>
    <row r="64" spans="2:2" x14ac:dyDescent="0.2">
      <c r="B64" s="91"/>
    </row>
    <row r="65" spans="2:2" x14ac:dyDescent="0.2">
      <c r="B65" s="91"/>
    </row>
    <row r="66" spans="2:2" x14ac:dyDescent="0.2">
      <c r="B66" s="91"/>
    </row>
    <row r="67" spans="2:2" x14ac:dyDescent="0.2">
      <c r="B67" s="91"/>
    </row>
    <row r="68" spans="2:2" x14ac:dyDescent="0.2">
      <c r="B68" s="91"/>
    </row>
    <row r="69" spans="2:2" x14ac:dyDescent="0.2">
      <c r="B69" s="91"/>
    </row>
    <row r="70" spans="2:2" x14ac:dyDescent="0.2">
      <c r="B70" s="91"/>
    </row>
    <row r="71" spans="2:2" x14ac:dyDescent="0.2">
      <c r="B71" s="91"/>
    </row>
    <row r="72" spans="2:2" x14ac:dyDescent="0.2">
      <c r="B72" s="91"/>
    </row>
    <row r="73" spans="2:2" x14ac:dyDescent="0.2">
      <c r="B73" s="91"/>
    </row>
    <row r="74" spans="2:2" x14ac:dyDescent="0.2">
      <c r="B74" s="91"/>
    </row>
    <row r="75" spans="2:2" x14ac:dyDescent="0.2">
      <c r="B75" s="91"/>
    </row>
    <row r="76" spans="2:2" x14ac:dyDescent="0.2">
      <c r="B76" s="91"/>
    </row>
    <row r="77" spans="2:2" x14ac:dyDescent="0.2">
      <c r="B77" s="91"/>
    </row>
    <row r="78" spans="2:2" x14ac:dyDescent="0.2">
      <c r="B78" s="91"/>
    </row>
    <row r="79" spans="2:2" x14ac:dyDescent="0.2">
      <c r="B79" s="91"/>
    </row>
    <row r="80" spans="2:2" x14ac:dyDescent="0.2">
      <c r="B80" s="91"/>
    </row>
    <row r="81" spans="2:2" x14ac:dyDescent="0.2">
      <c r="B81" s="91"/>
    </row>
    <row r="82" spans="2:2" x14ac:dyDescent="0.2">
      <c r="B82" s="91"/>
    </row>
    <row r="83" spans="2:2" x14ac:dyDescent="0.2">
      <c r="B83" s="91"/>
    </row>
    <row r="84" spans="2:2" x14ac:dyDescent="0.2">
      <c r="B84" s="91"/>
    </row>
    <row r="85" spans="2:2" x14ac:dyDescent="0.2">
      <c r="B85" s="91"/>
    </row>
    <row r="86" spans="2:2" x14ac:dyDescent="0.2">
      <c r="B86" s="91"/>
    </row>
    <row r="87" spans="2:2" x14ac:dyDescent="0.2">
      <c r="B87" s="91"/>
    </row>
    <row r="88" spans="2:2" x14ac:dyDescent="0.2">
      <c r="B88" s="91"/>
    </row>
    <row r="89" spans="2:2" x14ac:dyDescent="0.2">
      <c r="B89" s="91"/>
    </row>
    <row r="90" spans="2:2" x14ac:dyDescent="0.2">
      <c r="B90" s="91"/>
    </row>
    <row r="91" spans="2:2" x14ac:dyDescent="0.2">
      <c r="B91" s="91"/>
    </row>
    <row r="92" spans="2:2" x14ac:dyDescent="0.2">
      <c r="B92" s="91"/>
    </row>
    <row r="93" spans="2:2" x14ac:dyDescent="0.2">
      <c r="B93" s="91"/>
    </row>
    <row r="94" spans="2:2" x14ac:dyDescent="0.2">
      <c r="B94" s="91"/>
    </row>
    <row r="95" spans="2:2" x14ac:dyDescent="0.2">
      <c r="B95" s="91"/>
    </row>
    <row r="96" spans="2:2" x14ac:dyDescent="0.2">
      <c r="B96" s="91"/>
    </row>
    <row r="97" spans="2:2" x14ac:dyDescent="0.2">
      <c r="B97" s="91"/>
    </row>
    <row r="98" spans="2:2" x14ac:dyDescent="0.2">
      <c r="B98" s="91"/>
    </row>
    <row r="99" spans="2:2" x14ac:dyDescent="0.2">
      <c r="B99" s="91"/>
    </row>
    <row r="100" spans="2:2" x14ac:dyDescent="0.2">
      <c r="B100" s="91"/>
    </row>
    <row r="101" spans="2:2" x14ac:dyDescent="0.2">
      <c r="B101" s="91"/>
    </row>
    <row r="102" spans="2:2" x14ac:dyDescent="0.2">
      <c r="B102" s="91"/>
    </row>
    <row r="103" spans="2:2" x14ac:dyDescent="0.2">
      <c r="B103" s="91"/>
    </row>
    <row r="104" spans="2:2" x14ac:dyDescent="0.2">
      <c r="B104" s="91"/>
    </row>
    <row r="105" spans="2:2" x14ac:dyDescent="0.2">
      <c r="B105" s="91"/>
    </row>
    <row r="106" spans="2:2" x14ac:dyDescent="0.2">
      <c r="B106" s="91"/>
    </row>
    <row r="107" spans="2:2" x14ac:dyDescent="0.2">
      <c r="B107" s="91"/>
    </row>
    <row r="108" spans="2:2" x14ac:dyDescent="0.2">
      <c r="B108" s="91"/>
    </row>
    <row r="109" spans="2:2" x14ac:dyDescent="0.2">
      <c r="B109" s="91"/>
    </row>
    <row r="110" spans="2:2" x14ac:dyDescent="0.2">
      <c r="B110" s="91"/>
    </row>
    <row r="111" spans="2:2" x14ac:dyDescent="0.2">
      <c r="B111" s="91"/>
    </row>
    <row r="112" spans="2:2" x14ac:dyDescent="0.2">
      <c r="B112" s="91"/>
    </row>
    <row r="113" spans="2:2" x14ac:dyDescent="0.2">
      <c r="B113" s="91"/>
    </row>
    <row r="114" spans="2:2" x14ac:dyDescent="0.2">
      <c r="B114" s="91"/>
    </row>
    <row r="115" spans="2:2" x14ac:dyDescent="0.2">
      <c r="B115" s="91"/>
    </row>
    <row r="116" spans="2:2" x14ac:dyDescent="0.2">
      <c r="B116" s="91"/>
    </row>
    <row r="117" spans="2:2" x14ac:dyDescent="0.2">
      <c r="B117" s="91"/>
    </row>
    <row r="118" spans="2:2" x14ac:dyDescent="0.2">
      <c r="B118" s="91"/>
    </row>
    <row r="119" spans="2:2" x14ac:dyDescent="0.2">
      <c r="B119" s="91"/>
    </row>
    <row r="120" spans="2:2" x14ac:dyDescent="0.2">
      <c r="B120" s="91"/>
    </row>
    <row r="121" spans="2:2" x14ac:dyDescent="0.2">
      <c r="B121" s="91"/>
    </row>
    <row r="122" spans="2:2" x14ac:dyDescent="0.2">
      <c r="B122" s="91"/>
    </row>
    <row r="123" spans="2:2" x14ac:dyDescent="0.2">
      <c r="B123" s="91"/>
    </row>
    <row r="124" spans="2:2" x14ac:dyDescent="0.2">
      <c r="B124" s="91"/>
    </row>
    <row r="125" spans="2:2" x14ac:dyDescent="0.2">
      <c r="B125" s="91"/>
    </row>
    <row r="126" spans="2:2" x14ac:dyDescent="0.2">
      <c r="B126" s="91"/>
    </row>
    <row r="127" spans="2:2" x14ac:dyDescent="0.2">
      <c r="B127" s="91"/>
    </row>
    <row r="128" spans="2:2" x14ac:dyDescent="0.2">
      <c r="B128" s="91"/>
    </row>
    <row r="129" spans="2:2" x14ac:dyDescent="0.2">
      <c r="B129" s="91"/>
    </row>
    <row r="130" spans="2:2" x14ac:dyDescent="0.2">
      <c r="B130" s="91"/>
    </row>
    <row r="131" spans="2:2" x14ac:dyDescent="0.2">
      <c r="B131" s="91"/>
    </row>
    <row r="132" spans="2:2" x14ac:dyDescent="0.2">
      <c r="B132" s="91"/>
    </row>
    <row r="133" spans="2:2" x14ac:dyDescent="0.2">
      <c r="B133" s="91"/>
    </row>
    <row r="134" spans="2:2" x14ac:dyDescent="0.2">
      <c r="B134" s="91"/>
    </row>
    <row r="135" spans="2:2" x14ac:dyDescent="0.2">
      <c r="B135" s="91"/>
    </row>
    <row r="136" spans="2:2" x14ac:dyDescent="0.2">
      <c r="B136" s="91"/>
    </row>
    <row r="137" spans="2:2" x14ac:dyDescent="0.2">
      <c r="B137" s="91"/>
    </row>
    <row r="138" spans="2:2" x14ac:dyDescent="0.2">
      <c r="B138" s="91"/>
    </row>
    <row r="139" spans="2:2" x14ac:dyDescent="0.2">
      <c r="B139" s="91"/>
    </row>
    <row r="140" spans="2:2" x14ac:dyDescent="0.2">
      <c r="B140" s="91"/>
    </row>
    <row r="141" spans="2:2" x14ac:dyDescent="0.2">
      <c r="B141" s="91"/>
    </row>
    <row r="142" spans="2:2" x14ac:dyDescent="0.2">
      <c r="B142" s="91"/>
    </row>
    <row r="143" spans="2:2" x14ac:dyDescent="0.2">
      <c r="B143" s="91"/>
    </row>
    <row r="144" spans="2:2" x14ac:dyDescent="0.2">
      <c r="B144" s="91"/>
    </row>
    <row r="145" spans="2:2" x14ac:dyDescent="0.2">
      <c r="B145" s="91"/>
    </row>
    <row r="146" spans="2:2" x14ac:dyDescent="0.2">
      <c r="B146" s="91"/>
    </row>
    <row r="147" spans="2:2" x14ac:dyDescent="0.2">
      <c r="B147" s="91"/>
    </row>
    <row r="148" spans="2:2" x14ac:dyDescent="0.2">
      <c r="B148" s="91"/>
    </row>
    <row r="149" spans="2:2" x14ac:dyDescent="0.2">
      <c r="B149" s="91"/>
    </row>
    <row r="150" spans="2:2" x14ac:dyDescent="0.2">
      <c r="B150" s="91"/>
    </row>
    <row r="151" spans="2:2" x14ac:dyDescent="0.2">
      <c r="B151" s="91"/>
    </row>
    <row r="152" spans="2:2" x14ac:dyDescent="0.2">
      <c r="B152" s="91"/>
    </row>
    <row r="153" spans="2:2" x14ac:dyDescent="0.2">
      <c r="B153" s="91"/>
    </row>
    <row r="154" spans="2:2" x14ac:dyDescent="0.2">
      <c r="B154" s="91"/>
    </row>
    <row r="155" spans="2:2" x14ac:dyDescent="0.2">
      <c r="B155" s="91"/>
    </row>
    <row r="156" spans="2:2" x14ac:dyDescent="0.2">
      <c r="B156" s="91"/>
    </row>
    <row r="157" spans="2:2" x14ac:dyDescent="0.2">
      <c r="B157" s="91"/>
    </row>
    <row r="158" spans="2:2" x14ac:dyDescent="0.2">
      <c r="B158" s="91"/>
    </row>
    <row r="159" spans="2:2" x14ac:dyDescent="0.2">
      <c r="B159" s="91"/>
    </row>
    <row r="160" spans="2:2" x14ac:dyDescent="0.2">
      <c r="B160" s="91"/>
    </row>
    <row r="161" spans="2:2" x14ac:dyDescent="0.2">
      <c r="B161" s="91"/>
    </row>
    <row r="162" spans="2:2" x14ac:dyDescent="0.2">
      <c r="B162" s="91"/>
    </row>
    <row r="163" spans="2:2" x14ac:dyDescent="0.2">
      <c r="B163" s="91"/>
    </row>
    <row r="164" spans="2:2" x14ac:dyDescent="0.2">
      <c r="B164" s="91"/>
    </row>
    <row r="165" spans="2:2" x14ac:dyDescent="0.2">
      <c r="B165" s="91"/>
    </row>
    <row r="166" spans="2:2" x14ac:dyDescent="0.2">
      <c r="B166" s="91"/>
    </row>
    <row r="167" spans="2:2" x14ac:dyDescent="0.2">
      <c r="B167" s="91"/>
    </row>
    <row r="168" spans="2:2" x14ac:dyDescent="0.2">
      <c r="B168" s="91"/>
    </row>
    <row r="169" spans="2:2" x14ac:dyDescent="0.2">
      <c r="B169" s="91"/>
    </row>
    <row r="170" spans="2:2" x14ac:dyDescent="0.2">
      <c r="B170" s="91"/>
    </row>
    <row r="171" spans="2:2" x14ac:dyDescent="0.2">
      <c r="B171" s="91"/>
    </row>
    <row r="172" spans="2:2" x14ac:dyDescent="0.2">
      <c r="B172" s="91"/>
    </row>
    <row r="173" spans="2:2" x14ac:dyDescent="0.2">
      <c r="B173" s="91"/>
    </row>
    <row r="174" spans="2:2" x14ac:dyDescent="0.2">
      <c r="B174" s="91"/>
    </row>
    <row r="175" spans="2:2" x14ac:dyDescent="0.2">
      <c r="B175" s="91"/>
    </row>
    <row r="176" spans="2:2" x14ac:dyDescent="0.2">
      <c r="B176" s="91"/>
    </row>
    <row r="177" spans="2:2" x14ac:dyDescent="0.2">
      <c r="B177" s="91"/>
    </row>
    <row r="178" spans="2:2" x14ac:dyDescent="0.2">
      <c r="B178" s="91"/>
    </row>
    <row r="179" spans="2:2" x14ac:dyDescent="0.2">
      <c r="B179" s="91"/>
    </row>
    <row r="180" spans="2:2" x14ac:dyDescent="0.2">
      <c r="B180" s="91"/>
    </row>
    <row r="181" spans="2:2" x14ac:dyDescent="0.2">
      <c r="B181" s="91"/>
    </row>
    <row r="182" spans="2:2" x14ac:dyDescent="0.2">
      <c r="B182" s="91"/>
    </row>
    <row r="183" spans="2:2" x14ac:dyDescent="0.2">
      <c r="B183" s="91"/>
    </row>
    <row r="184" spans="2:2" x14ac:dyDescent="0.2">
      <c r="B184" s="91"/>
    </row>
    <row r="185" spans="2:2" x14ac:dyDescent="0.2">
      <c r="B185" s="91"/>
    </row>
    <row r="186" spans="2:2" x14ac:dyDescent="0.2">
      <c r="B186" s="91"/>
    </row>
    <row r="187" spans="2:2" x14ac:dyDescent="0.2">
      <c r="B187" s="91"/>
    </row>
    <row r="188" spans="2:2" x14ac:dyDescent="0.2">
      <c r="B188" s="91"/>
    </row>
    <row r="189" spans="2:2" x14ac:dyDescent="0.2">
      <c r="B189" s="91"/>
    </row>
    <row r="190" spans="2:2" x14ac:dyDescent="0.2">
      <c r="B190" s="91"/>
    </row>
    <row r="191" spans="2:2" x14ac:dyDescent="0.2">
      <c r="B191" s="91"/>
    </row>
    <row r="192" spans="2:2" x14ac:dyDescent="0.2">
      <c r="B192" s="91"/>
    </row>
    <row r="193" spans="2:2" x14ac:dyDescent="0.2">
      <c r="B193" s="91"/>
    </row>
    <row r="194" spans="2:2" x14ac:dyDescent="0.2">
      <c r="B194" s="91"/>
    </row>
    <row r="195" spans="2:2" x14ac:dyDescent="0.2">
      <c r="B195" s="91"/>
    </row>
    <row r="196" spans="2:2" x14ac:dyDescent="0.2">
      <c r="B196" s="91"/>
    </row>
    <row r="197" spans="2:2" x14ac:dyDescent="0.2">
      <c r="B197" s="91"/>
    </row>
    <row r="198" spans="2:2" x14ac:dyDescent="0.2">
      <c r="B198" s="91"/>
    </row>
    <row r="199" spans="2:2" x14ac:dyDescent="0.2">
      <c r="B199" s="91"/>
    </row>
    <row r="200" spans="2:2" x14ac:dyDescent="0.2">
      <c r="B200" s="91"/>
    </row>
    <row r="201" spans="2:2" x14ac:dyDescent="0.2">
      <c r="B201" s="91"/>
    </row>
    <row r="202" spans="2:2" x14ac:dyDescent="0.2">
      <c r="B202" s="91"/>
    </row>
    <row r="203" spans="2:2" x14ac:dyDescent="0.2">
      <c r="B203" s="91"/>
    </row>
    <row r="204" spans="2:2" x14ac:dyDescent="0.2">
      <c r="B204" s="91"/>
    </row>
    <row r="205" spans="2:2" x14ac:dyDescent="0.2">
      <c r="B205" s="91"/>
    </row>
    <row r="206" spans="2:2" x14ac:dyDescent="0.2">
      <c r="B206" s="91"/>
    </row>
    <row r="207" spans="2:2" x14ac:dyDescent="0.2">
      <c r="B207" s="91"/>
    </row>
    <row r="208" spans="2:2" x14ac:dyDescent="0.2">
      <c r="B208" s="91"/>
    </row>
    <row r="209" spans="2:2" x14ac:dyDescent="0.2">
      <c r="B209" s="91"/>
    </row>
    <row r="210" spans="2:2" x14ac:dyDescent="0.2">
      <c r="B210" s="91"/>
    </row>
    <row r="211" spans="2:2" x14ac:dyDescent="0.2">
      <c r="B211" s="91"/>
    </row>
    <row r="212" spans="2:2" x14ac:dyDescent="0.2">
      <c r="B212" s="91"/>
    </row>
    <row r="213" spans="2:2" x14ac:dyDescent="0.2">
      <c r="B213" s="91"/>
    </row>
    <row r="214" spans="2:2" x14ac:dyDescent="0.2">
      <c r="B214" s="91"/>
    </row>
    <row r="215" spans="2:2" x14ac:dyDescent="0.2">
      <c r="B215" s="91"/>
    </row>
    <row r="216" spans="2:2" x14ac:dyDescent="0.2">
      <c r="B216" s="91"/>
    </row>
    <row r="217" spans="2:2" x14ac:dyDescent="0.2">
      <c r="B217" s="91"/>
    </row>
    <row r="218" spans="2:2" x14ac:dyDescent="0.2">
      <c r="B218" s="91"/>
    </row>
    <row r="219" spans="2:2" x14ac:dyDescent="0.2">
      <c r="B219" s="91"/>
    </row>
    <row r="220" spans="2:2" x14ac:dyDescent="0.2">
      <c r="B220" s="91"/>
    </row>
    <row r="221" spans="2:2" x14ac:dyDescent="0.2">
      <c r="B221" s="91"/>
    </row>
    <row r="222" spans="2:2" x14ac:dyDescent="0.2">
      <c r="B222" s="91"/>
    </row>
    <row r="223" spans="2:2" x14ac:dyDescent="0.2">
      <c r="B223" s="91"/>
    </row>
    <row r="224" spans="2:2" x14ac:dyDescent="0.2">
      <c r="B224" s="91"/>
    </row>
    <row r="225" spans="2:2" x14ac:dyDescent="0.2">
      <c r="B225" s="91"/>
    </row>
    <row r="226" spans="2:2" x14ac:dyDescent="0.2">
      <c r="B226" s="91"/>
    </row>
    <row r="227" spans="2:2" x14ac:dyDescent="0.2">
      <c r="B227" s="91"/>
    </row>
    <row r="228" spans="2:2" x14ac:dyDescent="0.2">
      <c r="B228" s="91"/>
    </row>
    <row r="229" spans="2:2" x14ac:dyDescent="0.2">
      <c r="B229" s="91"/>
    </row>
    <row r="230" spans="2:2" x14ac:dyDescent="0.2">
      <c r="B230" s="91"/>
    </row>
    <row r="231" spans="2:2" x14ac:dyDescent="0.2">
      <c r="B231" s="91"/>
    </row>
    <row r="232" spans="2:2" x14ac:dyDescent="0.2">
      <c r="B232" s="91"/>
    </row>
    <row r="233" spans="2:2" x14ac:dyDescent="0.2">
      <c r="B233" s="91"/>
    </row>
    <row r="234" spans="2:2" x14ac:dyDescent="0.2">
      <c r="B234" s="91"/>
    </row>
    <row r="235" spans="2:2" x14ac:dyDescent="0.2">
      <c r="B235" s="91"/>
    </row>
    <row r="236" spans="2:2" x14ac:dyDescent="0.2">
      <c r="B236" s="91"/>
    </row>
    <row r="237" spans="2:2" x14ac:dyDescent="0.2">
      <c r="B237" s="91"/>
    </row>
    <row r="238" spans="2:2" x14ac:dyDescent="0.2">
      <c r="B238" s="91"/>
    </row>
    <row r="239" spans="2:2" x14ac:dyDescent="0.2">
      <c r="B239" s="91"/>
    </row>
    <row r="240" spans="2:2" x14ac:dyDescent="0.2">
      <c r="B240" s="91"/>
    </row>
    <row r="241" spans="2:2" x14ac:dyDescent="0.2">
      <c r="B241" s="91"/>
    </row>
    <row r="242" spans="2:2" x14ac:dyDescent="0.2">
      <c r="B242" s="91"/>
    </row>
    <row r="243" spans="2:2" x14ac:dyDescent="0.2">
      <c r="B243" s="91"/>
    </row>
    <row r="244" spans="2:2" x14ac:dyDescent="0.2">
      <c r="B244" s="91"/>
    </row>
    <row r="245" spans="2:2" x14ac:dyDescent="0.2">
      <c r="B245" s="91"/>
    </row>
    <row r="246" spans="2:2" x14ac:dyDescent="0.2">
      <c r="B246" s="91"/>
    </row>
    <row r="247" spans="2:2" x14ac:dyDescent="0.2">
      <c r="B247" s="91"/>
    </row>
    <row r="248" spans="2:2" x14ac:dyDescent="0.2">
      <c r="B248" s="91"/>
    </row>
    <row r="249" spans="2:2" x14ac:dyDescent="0.2">
      <c r="B249" s="91"/>
    </row>
    <row r="250" spans="2:2" x14ac:dyDescent="0.2">
      <c r="B250" s="91"/>
    </row>
    <row r="251" spans="2:2" x14ac:dyDescent="0.2">
      <c r="B251" s="91"/>
    </row>
  </sheetData>
  <sheetProtection algorithmName="SHA-512" hashValue="5CGUbwgoa+3GkR384YGFrfmo5F2bJO++5pCFtN9AczRABDkFGNYv3i+//5NPf9haQxl6EDatp5Z0jxJ7jUtRYw==" saltValue="fuEK3stDzPl8msNI6KpJkg==" spinCount="100000" sheet="1" objects="1" scenarios="1"/>
  <mergeCells count="10">
    <mergeCell ref="A1:D1"/>
    <mergeCell ref="F1:G1"/>
    <mergeCell ref="A3:B3"/>
    <mergeCell ref="C3:D3"/>
    <mergeCell ref="A21:B21"/>
    <mergeCell ref="C21:D21"/>
    <mergeCell ref="C6:C11"/>
    <mergeCell ref="D6:D11"/>
    <mergeCell ref="C13:C18"/>
    <mergeCell ref="D13:D18"/>
  </mergeCells>
  <dataValidations count="4">
    <dataValidation type="list" allowBlank="1" showInputMessage="1" showErrorMessage="1" sqref="B14:B18" xr:uid="{CF2EABEB-02DC-7745-98D6-1E16A618CEDE}">
      <formula1>ТакНі</formula1>
    </dataValidation>
    <dataValidation type="list" allowBlank="1" showInputMessage="1" showErrorMessage="1" sqref="B5" xr:uid="{6E5BC8E6-D84C-694E-A775-10FC9618DE9A}">
      <formula1>ЗП</formula1>
    </dataValidation>
    <dataValidation type="list" allowBlank="1" showInputMessage="1" showErrorMessage="1" sqref="B7:B12" xr:uid="{AE373967-DA57-A846-A001-C9BAEA022A47}">
      <formula1>Krouts</formula1>
    </dataValidation>
    <dataValidation type="list" allowBlank="1" showInputMessage="1" showErrorMessage="1" sqref="B19" xr:uid="{718EA3CA-F16A-7544-B8C3-469868DA0E70}">
      <formula1>Zvit</formula1>
    </dataValidation>
  </dataValidation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2E20-C47E-9F4B-AEBC-426A1FDEE8B6}">
  <sheetPr>
    <tabColor rgb="FF00B0F0"/>
  </sheetPr>
  <dimension ref="A1:J249"/>
  <sheetViews>
    <sheetView showGridLines="0" zoomScaleNormal="100" workbookViewId="0">
      <pane ySplit="1" topLeftCell="A3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77.33203125" style="76" customWidth="1"/>
    <col min="2" max="2" width="18.33203125" style="77" customWidth="1"/>
    <col min="3" max="3" width="14.33203125" style="2" customWidth="1"/>
    <col min="4" max="6" width="11.33203125" style="2" customWidth="1"/>
    <col min="7" max="7" width="11.83203125" style="2" customWidth="1"/>
    <col min="8" max="16384" width="11.33203125" style="2"/>
  </cols>
  <sheetData>
    <row r="1" spans="1:10" ht="74" customHeight="1" x14ac:dyDescent="0.2">
      <c r="A1" s="173" t="s">
        <v>419</v>
      </c>
      <c r="B1" s="173"/>
      <c r="C1" s="173"/>
      <c r="D1" s="173"/>
      <c r="E1" s="1"/>
      <c r="F1" s="172" t="s">
        <v>245</v>
      </c>
      <c r="G1" s="172"/>
    </row>
    <row r="2" spans="1:10" x14ac:dyDescent="0.2">
      <c r="C2" s="1"/>
      <c r="D2" s="1"/>
      <c r="E2" s="1"/>
      <c r="F2" s="1"/>
      <c r="G2" s="1"/>
    </row>
    <row r="3" spans="1:10" ht="29.25" customHeight="1" x14ac:dyDescent="0.2">
      <c r="A3" s="220" t="str">
        <f>TEXT( "Рінш = (4 × Кднів 1 + 8 × Кднів 2 + 24 × Кднів 3) × Кос. кат × Огод × Кзвіт =(4 x "&amp;D8&amp;" + 8 x "&amp;D9&amp;" + 24 x "&amp;D10&amp;") х "&amp;D11&amp;" x "&amp;D5&amp;" х "&amp;D17&amp;"  = ",0)</f>
        <v xml:space="preserve">Рінш = (4 × Кднів 1 + 8 × Кднів 2 + 24 × Кднів 3) × Кос. кат × Огод × Кзвіт =(4 x 0 + 8 x 0 + 24 x 0) х 1 x 166,4 х 1  = </v>
      </c>
      <c r="B3" s="221"/>
      <c r="C3" s="171">
        <f>(4*D8+8*D9+24*D10)*D11*D5*D17</f>
        <v>0</v>
      </c>
      <c r="D3" s="171"/>
      <c r="E3" s="1"/>
      <c r="F3" s="1"/>
      <c r="G3" s="1"/>
    </row>
    <row r="4" spans="1:10" ht="14.25" customHeight="1" x14ac:dyDescent="0.2">
      <c r="A4" s="78"/>
      <c r="B4" s="79"/>
      <c r="C4" s="1"/>
      <c r="D4" s="1"/>
      <c r="E4" s="1"/>
      <c r="F4" s="1"/>
      <c r="G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9">
        <f>ROUND(B5*0.05,3)</f>
        <v>166.4</v>
      </c>
      <c r="E5" s="1"/>
      <c r="F5" s="1"/>
      <c r="G5" s="1"/>
      <c r="H5" s="1"/>
      <c r="I5" s="1"/>
      <c r="J5" s="1"/>
    </row>
    <row r="6" spans="1:10" ht="79" customHeight="1" x14ac:dyDescent="0.2">
      <c r="A6" s="83" t="s">
        <v>421</v>
      </c>
      <c r="B6" s="26" t="s">
        <v>1</v>
      </c>
      <c r="C6" s="153"/>
      <c r="D6" s="9"/>
      <c r="E6" s="1"/>
      <c r="F6" s="1"/>
      <c r="G6" s="1"/>
      <c r="H6" s="1"/>
      <c r="I6" s="1"/>
      <c r="J6" s="1"/>
    </row>
    <row r="7" spans="1:10" ht="38.25" customHeight="1" x14ac:dyDescent="0.2">
      <c r="A7" s="83" t="s">
        <v>420</v>
      </c>
      <c r="B7" s="88"/>
      <c r="C7" s="186"/>
      <c r="D7" s="187"/>
      <c r="E7" s="1"/>
      <c r="F7" s="1"/>
      <c r="G7" s="1"/>
    </row>
    <row r="8" spans="1:10" ht="31.5" customHeight="1" x14ac:dyDescent="0.2">
      <c r="A8" s="89" t="s">
        <v>347</v>
      </c>
      <c r="B8" s="93">
        <v>0</v>
      </c>
      <c r="C8" s="71" t="s">
        <v>320</v>
      </c>
      <c r="D8" s="87">
        <f>IF(AND($B$6="так",B8&gt;0),2,B8)</f>
        <v>0</v>
      </c>
      <c r="E8" s="1"/>
      <c r="F8" s="1"/>
      <c r="G8" s="1"/>
    </row>
    <row r="9" spans="1:10" ht="45" customHeight="1" x14ac:dyDescent="0.2">
      <c r="A9" s="89" t="s">
        <v>348</v>
      </c>
      <c r="B9" s="93">
        <v>0</v>
      </c>
      <c r="C9" s="71" t="s">
        <v>321</v>
      </c>
      <c r="D9" s="87">
        <f>IF(AND($B$6="так",B9&gt;0),2,B9)</f>
        <v>0</v>
      </c>
      <c r="E9" s="1"/>
      <c r="F9" s="1"/>
      <c r="G9" s="1"/>
    </row>
    <row r="10" spans="1:10" ht="18" customHeight="1" x14ac:dyDescent="0.2">
      <c r="A10" s="85" t="s">
        <v>349</v>
      </c>
      <c r="B10" s="93">
        <v>0</v>
      </c>
      <c r="C10" s="71" t="s">
        <v>322</v>
      </c>
      <c r="D10" s="87">
        <f>IF(AND($B$6="так",B10&gt;0),2,B10)</f>
        <v>0</v>
      </c>
      <c r="E10" s="1"/>
      <c r="F10" s="1"/>
      <c r="G10" s="1"/>
    </row>
    <row r="11" spans="1:10" ht="39" customHeight="1" x14ac:dyDescent="0.2">
      <c r="A11" s="16" t="s">
        <v>323</v>
      </c>
      <c r="B11" s="25"/>
      <c r="C11" s="176" t="s">
        <v>311</v>
      </c>
      <c r="D11" s="176">
        <f>IF(SUM(E12:E16)=1,1.1,IF(SUM(E12:E16)&gt;=2,1.2,1))</f>
        <v>1</v>
      </c>
      <c r="E11" s="1"/>
      <c r="F11" s="1"/>
      <c r="G11" s="1"/>
      <c r="H11" s="1"/>
      <c r="I11" s="1"/>
      <c r="J11" s="1"/>
    </row>
    <row r="12" spans="1:10" x14ac:dyDescent="0.2">
      <c r="A12" s="42" t="s">
        <v>217</v>
      </c>
      <c r="B12" s="43" t="s">
        <v>1</v>
      </c>
      <c r="C12" s="177"/>
      <c r="D12" s="177"/>
      <c r="E12" s="1">
        <f>IF(B12="так",1,0)</f>
        <v>0</v>
      </c>
      <c r="F12" s="1"/>
      <c r="G12" s="1"/>
      <c r="H12" s="1"/>
      <c r="I12" s="1"/>
      <c r="J12" s="1"/>
    </row>
    <row r="13" spans="1:10" ht="30" x14ac:dyDescent="0.2">
      <c r="A13" s="42" t="s">
        <v>38</v>
      </c>
      <c r="B13" s="43" t="s">
        <v>1</v>
      </c>
      <c r="C13" s="177"/>
      <c r="D13" s="177"/>
      <c r="E13" s="1">
        <f>IF(B13="так",1,0)</f>
        <v>0</v>
      </c>
      <c r="F13" s="1"/>
      <c r="G13" s="1"/>
      <c r="H13" s="1"/>
      <c r="I13" s="1"/>
      <c r="J13" s="1"/>
    </row>
    <row r="14" spans="1:10" x14ac:dyDescent="0.2">
      <c r="A14" s="42" t="s">
        <v>218</v>
      </c>
      <c r="B14" s="43" t="s">
        <v>1</v>
      </c>
      <c r="C14" s="177"/>
      <c r="D14" s="177"/>
      <c r="E14" s="1">
        <f>IF(B14="так",1,0)</f>
        <v>0</v>
      </c>
      <c r="F14" s="1"/>
      <c r="G14" s="1"/>
      <c r="H14" s="1"/>
      <c r="I14" s="1"/>
      <c r="J14" s="1"/>
    </row>
    <row r="15" spans="1:10" x14ac:dyDescent="0.2">
      <c r="A15" s="42" t="s">
        <v>39</v>
      </c>
      <c r="B15" s="43" t="s">
        <v>1</v>
      </c>
      <c r="C15" s="177"/>
      <c r="D15" s="177"/>
      <c r="E15" s="1">
        <f>IF(B15="так",1,0)</f>
        <v>0</v>
      </c>
      <c r="F15" s="1"/>
      <c r="G15" s="1"/>
      <c r="H15" s="1"/>
      <c r="I15" s="1"/>
      <c r="J15" s="1"/>
    </row>
    <row r="16" spans="1:10" ht="55" customHeight="1" x14ac:dyDescent="0.2">
      <c r="A16" s="42" t="s">
        <v>422</v>
      </c>
      <c r="B16" s="43" t="s">
        <v>1</v>
      </c>
      <c r="C16" s="177"/>
      <c r="D16" s="177"/>
      <c r="E16" s="1">
        <f>IF(B16="так",1,0)</f>
        <v>0</v>
      </c>
      <c r="F16" s="1"/>
      <c r="G16" s="1"/>
      <c r="H16" s="1"/>
      <c r="I16" s="1"/>
      <c r="J16" s="1"/>
    </row>
    <row r="17" spans="1:5" ht="48" customHeight="1" x14ac:dyDescent="0.2">
      <c r="A17" s="44" t="s">
        <v>324</v>
      </c>
      <c r="B17" s="26" t="s">
        <v>139</v>
      </c>
      <c r="C17" s="45" t="s">
        <v>235</v>
      </c>
      <c r="D17" s="71">
        <f>VLOOKUP(B17,Kzvit,2,0)</f>
        <v>1</v>
      </c>
      <c r="E17" s="72"/>
    </row>
    <row r="18" spans="1:5" x14ac:dyDescent="0.2">
      <c r="B18" s="91"/>
    </row>
    <row r="19" spans="1:5" ht="30" customHeight="1" x14ac:dyDescent="0.2">
      <c r="A19" s="220" t="str">
        <f>A3</f>
        <v xml:space="preserve">Рінш = (4 × Кднів 1 + 8 × Кднів 2 + 24 × Кднів 3) × Кос. кат × Огод × Кзвіт =(4 x 0 + 8 x 0 + 24 x 0) х 1 x 166,4 х 1  = </v>
      </c>
      <c r="B19" s="221"/>
      <c r="C19" s="171">
        <f>C3</f>
        <v>0</v>
      </c>
      <c r="D19" s="171"/>
    </row>
    <row r="20" spans="1:5" x14ac:dyDescent="0.2">
      <c r="B20" s="91"/>
    </row>
    <row r="21" spans="1:5" x14ac:dyDescent="0.2">
      <c r="B21" s="91"/>
    </row>
    <row r="22" spans="1:5" x14ac:dyDescent="0.2">
      <c r="B22" s="91"/>
    </row>
    <row r="23" spans="1:5" x14ac:dyDescent="0.2">
      <c r="B23" s="91"/>
    </row>
    <row r="24" spans="1:5" x14ac:dyDescent="0.2">
      <c r="B24" s="91"/>
    </row>
    <row r="25" spans="1:5" x14ac:dyDescent="0.2">
      <c r="B25" s="91"/>
    </row>
    <row r="26" spans="1:5" x14ac:dyDescent="0.2">
      <c r="B26" s="91"/>
    </row>
    <row r="27" spans="1:5" x14ac:dyDescent="0.2">
      <c r="B27" s="91"/>
    </row>
    <row r="28" spans="1:5" x14ac:dyDescent="0.2">
      <c r="B28" s="91"/>
    </row>
    <row r="29" spans="1:5" x14ac:dyDescent="0.2">
      <c r="B29" s="91"/>
    </row>
    <row r="30" spans="1:5" x14ac:dyDescent="0.2">
      <c r="B30" s="91"/>
    </row>
    <row r="31" spans="1:5" x14ac:dyDescent="0.2">
      <c r="B31" s="91"/>
    </row>
    <row r="32" spans="1:5" x14ac:dyDescent="0.2">
      <c r="B32" s="91"/>
    </row>
    <row r="33" spans="2:2" x14ac:dyDescent="0.2">
      <c r="B33" s="91"/>
    </row>
    <row r="34" spans="2:2" x14ac:dyDescent="0.2">
      <c r="B34" s="91"/>
    </row>
    <row r="35" spans="2:2" x14ac:dyDescent="0.2">
      <c r="B35" s="91"/>
    </row>
    <row r="36" spans="2:2" x14ac:dyDescent="0.2">
      <c r="B36" s="91"/>
    </row>
    <row r="37" spans="2:2" x14ac:dyDescent="0.2">
      <c r="B37" s="91"/>
    </row>
    <row r="38" spans="2:2" x14ac:dyDescent="0.2">
      <c r="B38" s="91"/>
    </row>
    <row r="39" spans="2:2" x14ac:dyDescent="0.2">
      <c r="B39" s="91"/>
    </row>
    <row r="40" spans="2:2" x14ac:dyDescent="0.2">
      <c r="B40" s="91"/>
    </row>
    <row r="41" spans="2:2" x14ac:dyDescent="0.2">
      <c r="B41" s="91"/>
    </row>
    <row r="42" spans="2:2" x14ac:dyDescent="0.2">
      <c r="B42" s="91"/>
    </row>
    <row r="43" spans="2:2" x14ac:dyDescent="0.2">
      <c r="B43" s="91"/>
    </row>
    <row r="44" spans="2:2" x14ac:dyDescent="0.2">
      <c r="B44" s="91"/>
    </row>
    <row r="45" spans="2:2" x14ac:dyDescent="0.2">
      <c r="B45" s="91"/>
    </row>
    <row r="46" spans="2:2" x14ac:dyDescent="0.2">
      <c r="B46" s="91"/>
    </row>
    <row r="47" spans="2:2" x14ac:dyDescent="0.2">
      <c r="B47" s="91"/>
    </row>
    <row r="48" spans="2:2" x14ac:dyDescent="0.2">
      <c r="B48" s="91"/>
    </row>
    <row r="49" spans="2:2" x14ac:dyDescent="0.2">
      <c r="B49" s="91"/>
    </row>
    <row r="50" spans="2:2" x14ac:dyDescent="0.2">
      <c r="B50" s="91"/>
    </row>
    <row r="51" spans="2:2" x14ac:dyDescent="0.2">
      <c r="B51" s="91"/>
    </row>
    <row r="52" spans="2:2" x14ac:dyDescent="0.2">
      <c r="B52" s="91"/>
    </row>
    <row r="53" spans="2:2" x14ac:dyDescent="0.2">
      <c r="B53" s="91"/>
    </row>
    <row r="54" spans="2:2" x14ac:dyDescent="0.2">
      <c r="B54" s="91"/>
    </row>
    <row r="55" spans="2:2" x14ac:dyDescent="0.2">
      <c r="B55" s="91"/>
    </row>
    <row r="56" spans="2:2" x14ac:dyDescent="0.2">
      <c r="B56" s="91"/>
    </row>
    <row r="57" spans="2:2" x14ac:dyDescent="0.2">
      <c r="B57" s="91"/>
    </row>
    <row r="58" spans="2:2" x14ac:dyDescent="0.2">
      <c r="B58" s="91"/>
    </row>
    <row r="59" spans="2:2" x14ac:dyDescent="0.2">
      <c r="B59" s="91"/>
    </row>
    <row r="60" spans="2:2" x14ac:dyDescent="0.2">
      <c r="B60" s="91"/>
    </row>
    <row r="61" spans="2:2" x14ac:dyDescent="0.2">
      <c r="B61" s="91"/>
    </row>
    <row r="62" spans="2:2" x14ac:dyDescent="0.2">
      <c r="B62" s="91"/>
    </row>
    <row r="63" spans="2:2" x14ac:dyDescent="0.2">
      <c r="B63" s="91"/>
    </row>
    <row r="64" spans="2:2" x14ac:dyDescent="0.2">
      <c r="B64" s="91"/>
    </row>
    <row r="65" spans="2:2" x14ac:dyDescent="0.2">
      <c r="B65" s="91"/>
    </row>
    <row r="66" spans="2:2" x14ac:dyDescent="0.2">
      <c r="B66" s="91"/>
    </row>
    <row r="67" spans="2:2" x14ac:dyDescent="0.2">
      <c r="B67" s="91"/>
    </row>
    <row r="68" spans="2:2" x14ac:dyDescent="0.2">
      <c r="B68" s="91"/>
    </row>
    <row r="69" spans="2:2" x14ac:dyDescent="0.2">
      <c r="B69" s="91"/>
    </row>
    <row r="70" spans="2:2" x14ac:dyDescent="0.2">
      <c r="B70" s="91"/>
    </row>
    <row r="71" spans="2:2" x14ac:dyDescent="0.2">
      <c r="B71" s="91"/>
    </row>
    <row r="72" spans="2:2" x14ac:dyDescent="0.2">
      <c r="B72" s="91"/>
    </row>
    <row r="73" spans="2:2" x14ac:dyDescent="0.2">
      <c r="B73" s="91"/>
    </row>
    <row r="74" spans="2:2" x14ac:dyDescent="0.2">
      <c r="B74" s="91"/>
    </row>
    <row r="75" spans="2:2" x14ac:dyDescent="0.2">
      <c r="B75" s="91"/>
    </row>
    <row r="76" spans="2:2" x14ac:dyDescent="0.2">
      <c r="B76" s="91"/>
    </row>
    <row r="77" spans="2:2" x14ac:dyDescent="0.2">
      <c r="B77" s="91"/>
    </row>
    <row r="78" spans="2:2" x14ac:dyDescent="0.2">
      <c r="B78" s="91"/>
    </row>
    <row r="79" spans="2:2" x14ac:dyDescent="0.2">
      <c r="B79" s="91"/>
    </row>
    <row r="80" spans="2:2" x14ac:dyDescent="0.2">
      <c r="B80" s="91"/>
    </row>
    <row r="81" spans="2:2" x14ac:dyDescent="0.2">
      <c r="B81" s="91"/>
    </row>
    <row r="82" spans="2:2" x14ac:dyDescent="0.2">
      <c r="B82" s="91"/>
    </row>
    <row r="83" spans="2:2" x14ac:dyDescent="0.2">
      <c r="B83" s="91"/>
    </row>
    <row r="84" spans="2:2" x14ac:dyDescent="0.2">
      <c r="B84" s="91"/>
    </row>
    <row r="85" spans="2:2" x14ac:dyDescent="0.2">
      <c r="B85" s="91"/>
    </row>
    <row r="86" spans="2:2" x14ac:dyDescent="0.2">
      <c r="B86" s="91"/>
    </row>
    <row r="87" spans="2:2" x14ac:dyDescent="0.2">
      <c r="B87" s="91"/>
    </row>
    <row r="88" spans="2:2" x14ac:dyDescent="0.2">
      <c r="B88" s="91"/>
    </row>
    <row r="89" spans="2:2" x14ac:dyDescent="0.2">
      <c r="B89" s="91"/>
    </row>
    <row r="90" spans="2:2" x14ac:dyDescent="0.2">
      <c r="B90" s="91"/>
    </row>
    <row r="91" spans="2:2" x14ac:dyDescent="0.2">
      <c r="B91" s="91"/>
    </row>
    <row r="92" spans="2:2" x14ac:dyDescent="0.2">
      <c r="B92" s="91"/>
    </row>
    <row r="93" spans="2:2" x14ac:dyDescent="0.2">
      <c r="B93" s="91"/>
    </row>
    <row r="94" spans="2:2" x14ac:dyDescent="0.2">
      <c r="B94" s="91"/>
    </row>
    <row r="95" spans="2:2" x14ac:dyDescent="0.2">
      <c r="B95" s="91"/>
    </row>
    <row r="96" spans="2:2" x14ac:dyDescent="0.2">
      <c r="B96" s="91"/>
    </row>
    <row r="97" spans="2:2" x14ac:dyDescent="0.2">
      <c r="B97" s="91"/>
    </row>
    <row r="98" spans="2:2" x14ac:dyDescent="0.2">
      <c r="B98" s="91"/>
    </row>
    <row r="99" spans="2:2" x14ac:dyDescent="0.2">
      <c r="B99" s="91"/>
    </row>
    <row r="100" spans="2:2" x14ac:dyDescent="0.2">
      <c r="B100" s="91"/>
    </row>
    <row r="101" spans="2:2" x14ac:dyDescent="0.2">
      <c r="B101" s="91"/>
    </row>
    <row r="102" spans="2:2" x14ac:dyDescent="0.2">
      <c r="B102" s="91"/>
    </row>
    <row r="103" spans="2:2" x14ac:dyDescent="0.2">
      <c r="B103" s="91"/>
    </row>
    <row r="104" spans="2:2" x14ac:dyDescent="0.2">
      <c r="B104" s="91"/>
    </row>
    <row r="105" spans="2:2" x14ac:dyDescent="0.2">
      <c r="B105" s="91"/>
    </row>
    <row r="106" spans="2:2" x14ac:dyDescent="0.2">
      <c r="B106" s="91"/>
    </row>
    <row r="107" spans="2:2" x14ac:dyDescent="0.2">
      <c r="B107" s="91"/>
    </row>
    <row r="108" spans="2:2" x14ac:dyDescent="0.2">
      <c r="B108" s="91"/>
    </row>
    <row r="109" spans="2:2" x14ac:dyDescent="0.2">
      <c r="B109" s="91"/>
    </row>
    <row r="110" spans="2:2" x14ac:dyDescent="0.2">
      <c r="B110" s="91"/>
    </row>
    <row r="111" spans="2:2" x14ac:dyDescent="0.2">
      <c r="B111" s="91"/>
    </row>
    <row r="112" spans="2:2" x14ac:dyDescent="0.2">
      <c r="B112" s="91"/>
    </row>
    <row r="113" spans="2:2" x14ac:dyDescent="0.2">
      <c r="B113" s="91"/>
    </row>
    <row r="114" spans="2:2" x14ac:dyDescent="0.2">
      <c r="B114" s="91"/>
    </row>
    <row r="115" spans="2:2" x14ac:dyDescent="0.2">
      <c r="B115" s="91"/>
    </row>
    <row r="116" spans="2:2" x14ac:dyDescent="0.2">
      <c r="B116" s="91"/>
    </row>
    <row r="117" spans="2:2" x14ac:dyDescent="0.2">
      <c r="B117" s="91"/>
    </row>
    <row r="118" spans="2:2" x14ac:dyDescent="0.2">
      <c r="B118" s="91"/>
    </row>
    <row r="119" spans="2:2" x14ac:dyDescent="0.2">
      <c r="B119" s="91"/>
    </row>
    <row r="120" spans="2:2" x14ac:dyDescent="0.2">
      <c r="B120" s="91"/>
    </row>
    <row r="121" spans="2:2" x14ac:dyDescent="0.2">
      <c r="B121" s="91"/>
    </row>
    <row r="122" spans="2:2" x14ac:dyDescent="0.2">
      <c r="B122" s="91"/>
    </row>
    <row r="123" spans="2:2" x14ac:dyDescent="0.2">
      <c r="B123" s="91"/>
    </row>
    <row r="124" spans="2:2" x14ac:dyDescent="0.2">
      <c r="B124" s="91"/>
    </row>
    <row r="125" spans="2:2" x14ac:dyDescent="0.2">
      <c r="B125" s="91"/>
    </row>
    <row r="126" spans="2:2" x14ac:dyDescent="0.2">
      <c r="B126" s="91"/>
    </row>
    <row r="127" spans="2:2" x14ac:dyDescent="0.2">
      <c r="B127" s="91"/>
    </row>
    <row r="128" spans="2:2" x14ac:dyDescent="0.2">
      <c r="B128" s="91"/>
    </row>
    <row r="129" spans="2:2" x14ac:dyDescent="0.2">
      <c r="B129" s="91"/>
    </row>
    <row r="130" spans="2:2" x14ac:dyDescent="0.2">
      <c r="B130" s="91"/>
    </row>
    <row r="131" spans="2:2" x14ac:dyDescent="0.2">
      <c r="B131" s="91"/>
    </row>
    <row r="132" spans="2:2" x14ac:dyDescent="0.2">
      <c r="B132" s="91"/>
    </row>
    <row r="133" spans="2:2" x14ac:dyDescent="0.2">
      <c r="B133" s="91"/>
    </row>
    <row r="134" spans="2:2" x14ac:dyDescent="0.2">
      <c r="B134" s="91"/>
    </row>
    <row r="135" spans="2:2" x14ac:dyDescent="0.2">
      <c r="B135" s="91"/>
    </row>
    <row r="136" spans="2:2" x14ac:dyDescent="0.2">
      <c r="B136" s="91"/>
    </row>
    <row r="137" spans="2:2" x14ac:dyDescent="0.2">
      <c r="B137" s="91"/>
    </row>
    <row r="138" spans="2:2" x14ac:dyDescent="0.2">
      <c r="B138" s="91"/>
    </row>
    <row r="139" spans="2:2" x14ac:dyDescent="0.2">
      <c r="B139" s="91"/>
    </row>
    <row r="140" spans="2:2" x14ac:dyDescent="0.2">
      <c r="B140" s="91"/>
    </row>
    <row r="141" spans="2:2" x14ac:dyDescent="0.2">
      <c r="B141" s="91"/>
    </row>
    <row r="142" spans="2:2" x14ac:dyDescent="0.2">
      <c r="B142" s="91"/>
    </row>
    <row r="143" spans="2:2" x14ac:dyDescent="0.2">
      <c r="B143" s="91"/>
    </row>
    <row r="144" spans="2:2" x14ac:dyDescent="0.2">
      <c r="B144" s="91"/>
    </row>
    <row r="145" spans="2:2" x14ac:dyDescent="0.2">
      <c r="B145" s="91"/>
    </row>
    <row r="146" spans="2:2" x14ac:dyDescent="0.2">
      <c r="B146" s="91"/>
    </row>
    <row r="147" spans="2:2" x14ac:dyDescent="0.2">
      <c r="B147" s="91"/>
    </row>
    <row r="148" spans="2:2" x14ac:dyDescent="0.2">
      <c r="B148" s="91"/>
    </row>
    <row r="149" spans="2:2" x14ac:dyDescent="0.2">
      <c r="B149" s="91"/>
    </row>
    <row r="150" spans="2:2" x14ac:dyDescent="0.2">
      <c r="B150" s="91"/>
    </row>
    <row r="151" spans="2:2" x14ac:dyDescent="0.2">
      <c r="B151" s="91"/>
    </row>
    <row r="152" spans="2:2" x14ac:dyDescent="0.2">
      <c r="B152" s="91"/>
    </row>
    <row r="153" spans="2:2" x14ac:dyDescent="0.2">
      <c r="B153" s="91"/>
    </row>
    <row r="154" spans="2:2" x14ac:dyDescent="0.2">
      <c r="B154" s="91"/>
    </row>
    <row r="155" spans="2:2" x14ac:dyDescent="0.2">
      <c r="B155" s="91"/>
    </row>
    <row r="156" spans="2:2" x14ac:dyDescent="0.2">
      <c r="B156" s="91"/>
    </row>
    <row r="157" spans="2:2" x14ac:dyDescent="0.2">
      <c r="B157" s="91"/>
    </row>
    <row r="158" spans="2:2" x14ac:dyDescent="0.2">
      <c r="B158" s="91"/>
    </row>
    <row r="159" spans="2:2" x14ac:dyDescent="0.2">
      <c r="B159" s="91"/>
    </row>
    <row r="160" spans="2:2" x14ac:dyDescent="0.2">
      <c r="B160" s="91"/>
    </row>
    <row r="161" spans="2:2" x14ac:dyDescent="0.2">
      <c r="B161" s="91"/>
    </row>
    <row r="162" spans="2:2" x14ac:dyDescent="0.2">
      <c r="B162" s="91"/>
    </row>
    <row r="163" spans="2:2" x14ac:dyDescent="0.2">
      <c r="B163" s="91"/>
    </row>
    <row r="164" spans="2:2" x14ac:dyDescent="0.2">
      <c r="B164" s="91"/>
    </row>
    <row r="165" spans="2:2" x14ac:dyDescent="0.2">
      <c r="B165" s="91"/>
    </row>
    <row r="166" spans="2:2" x14ac:dyDescent="0.2">
      <c r="B166" s="91"/>
    </row>
    <row r="167" spans="2:2" x14ac:dyDescent="0.2">
      <c r="B167" s="91"/>
    </row>
    <row r="168" spans="2:2" x14ac:dyDescent="0.2">
      <c r="B168" s="91"/>
    </row>
    <row r="169" spans="2:2" x14ac:dyDescent="0.2">
      <c r="B169" s="91"/>
    </row>
    <row r="170" spans="2:2" x14ac:dyDescent="0.2">
      <c r="B170" s="91"/>
    </row>
    <row r="171" spans="2:2" x14ac:dyDescent="0.2">
      <c r="B171" s="91"/>
    </row>
    <row r="172" spans="2:2" x14ac:dyDescent="0.2">
      <c r="B172" s="91"/>
    </row>
    <row r="173" spans="2:2" x14ac:dyDescent="0.2">
      <c r="B173" s="91"/>
    </row>
    <row r="174" spans="2:2" x14ac:dyDescent="0.2">
      <c r="B174" s="91"/>
    </row>
    <row r="175" spans="2:2" x14ac:dyDescent="0.2">
      <c r="B175" s="91"/>
    </row>
    <row r="176" spans="2:2" x14ac:dyDescent="0.2">
      <c r="B176" s="91"/>
    </row>
    <row r="177" spans="2:2" x14ac:dyDescent="0.2">
      <c r="B177" s="91"/>
    </row>
    <row r="178" spans="2:2" x14ac:dyDescent="0.2">
      <c r="B178" s="91"/>
    </row>
    <row r="179" spans="2:2" x14ac:dyDescent="0.2">
      <c r="B179" s="91"/>
    </row>
    <row r="180" spans="2:2" x14ac:dyDescent="0.2">
      <c r="B180" s="91"/>
    </row>
    <row r="181" spans="2:2" x14ac:dyDescent="0.2">
      <c r="B181" s="91"/>
    </row>
    <row r="182" spans="2:2" x14ac:dyDescent="0.2">
      <c r="B182" s="91"/>
    </row>
    <row r="183" spans="2:2" x14ac:dyDescent="0.2">
      <c r="B183" s="91"/>
    </row>
    <row r="184" spans="2:2" x14ac:dyDescent="0.2">
      <c r="B184" s="91"/>
    </row>
    <row r="185" spans="2:2" x14ac:dyDescent="0.2">
      <c r="B185" s="91"/>
    </row>
    <row r="186" spans="2:2" x14ac:dyDescent="0.2">
      <c r="B186" s="91"/>
    </row>
    <row r="187" spans="2:2" x14ac:dyDescent="0.2">
      <c r="B187" s="91"/>
    </row>
    <row r="188" spans="2:2" x14ac:dyDescent="0.2">
      <c r="B188" s="91"/>
    </row>
    <row r="189" spans="2:2" x14ac:dyDescent="0.2">
      <c r="B189" s="91"/>
    </row>
    <row r="190" spans="2:2" x14ac:dyDescent="0.2">
      <c r="B190" s="91"/>
    </row>
    <row r="191" spans="2:2" x14ac:dyDescent="0.2">
      <c r="B191" s="91"/>
    </row>
    <row r="192" spans="2:2" x14ac:dyDescent="0.2">
      <c r="B192" s="91"/>
    </row>
    <row r="193" spans="2:2" x14ac:dyDescent="0.2">
      <c r="B193" s="91"/>
    </row>
    <row r="194" spans="2:2" x14ac:dyDescent="0.2">
      <c r="B194" s="91"/>
    </row>
    <row r="195" spans="2:2" x14ac:dyDescent="0.2">
      <c r="B195" s="91"/>
    </row>
    <row r="196" spans="2:2" x14ac:dyDescent="0.2">
      <c r="B196" s="91"/>
    </row>
    <row r="197" spans="2:2" x14ac:dyDescent="0.2">
      <c r="B197" s="91"/>
    </row>
    <row r="198" spans="2:2" x14ac:dyDescent="0.2">
      <c r="B198" s="91"/>
    </row>
    <row r="199" spans="2:2" x14ac:dyDescent="0.2">
      <c r="B199" s="91"/>
    </row>
    <row r="200" spans="2:2" x14ac:dyDescent="0.2">
      <c r="B200" s="91"/>
    </row>
    <row r="201" spans="2:2" x14ac:dyDescent="0.2">
      <c r="B201" s="91"/>
    </row>
    <row r="202" spans="2:2" x14ac:dyDescent="0.2">
      <c r="B202" s="91"/>
    </row>
    <row r="203" spans="2:2" x14ac:dyDescent="0.2">
      <c r="B203" s="91"/>
    </row>
    <row r="204" spans="2:2" x14ac:dyDescent="0.2">
      <c r="B204" s="91"/>
    </row>
    <row r="205" spans="2:2" x14ac:dyDescent="0.2">
      <c r="B205" s="91"/>
    </row>
    <row r="206" spans="2:2" x14ac:dyDescent="0.2">
      <c r="B206" s="91"/>
    </row>
    <row r="207" spans="2:2" x14ac:dyDescent="0.2">
      <c r="B207" s="91"/>
    </row>
    <row r="208" spans="2:2" x14ac:dyDescent="0.2">
      <c r="B208" s="91"/>
    </row>
    <row r="209" spans="2:2" x14ac:dyDescent="0.2">
      <c r="B209" s="91"/>
    </row>
    <row r="210" spans="2:2" x14ac:dyDescent="0.2">
      <c r="B210" s="91"/>
    </row>
    <row r="211" spans="2:2" x14ac:dyDescent="0.2">
      <c r="B211" s="91"/>
    </row>
    <row r="212" spans="2:2" x14ac:dyDescent="0.2">
      <c r="B212" s="91"/>
    </row>
    <row r="213" spans="2:2" x14ac:dyDescent="0.2">
      <c r="B213" s="91"/>
    </row>
    <row r="214" spans="2:2" x14ac:dyDescent="0.2">
      <c r="B214" s="91"/>
    </row>
    <row r="215" spans="2:2" x14ac:dyDescent="0.2">
      <c r="B215" s="91"/>
    </row>
    <row r="216" spans="2:2" x14ac:dyDescent="0.2">
      <c r="B216" s="91"/>
    </row>
    <row r="217" spans="2:2" x14ac:dyDescent="0.2">
      <c r="B217" s="91"/>
    </row>
    <row r="218" spans="2:2" x14ac:dyDescent="0.2">
      <c r="B218" s="91"/>
    </row>
    <row r="219" spans="2:2" x14ac:dyDescent="0.2">
      <c r="B219" s="91"/>
    </row>
    <row r="220" spans="2:2" x14ac:dyDescent="0.2">
      <c r="B220" s="91"/>
    </row>
    <row r="221" spans="2:2" x14ac:dyDescent="0.2">
      <c r="B221" s="91"/>
    </row>
    <row r="222" spans="2:2" x14ac:dyDescent="0.2">
      <c r="B222" s="91"/>
    </row>
    <row r="223" spans="2:2" x14ac:dyDescent="0.2">
      <c r="B223" s="91"/>
    </row>
    <row r="224" spans="2:2" x14ac:dyDescent="0.2">
      <c r="B224" s="91"/>
    </row>
    <row r="225" spans="2:2" x14ac:dyDescent="0.2">
      <c r="B225" s="91"/>
    </row>
    <row r="226" spans="2:2" x14ac:dyDescent="0.2">
      <c r="B226" s="91"/>
    </row>
    <row r="227" spans="2:2" x14ac:dyDescent="0.2">
      <c r="B227" s="91"/>
    </row>
    <row r="228" spans="2:2" x14ac:dyDescent="0.2">
      <c r="B228" s="91"/>
    </row>
    <row r="229" spans="2:2" x14ac:dyDescent="0.2">
      <c r="B229" s="91"/>
    </row>
    <row r="230" spans="2:2" x14ac:dyDescent="0.2">
      <c r="B230" s="91"/>
    </row>
    <row r="231" spans="2:2" x14ac:dyDescent="0.2">
      <c r="B231" s="91"/>
    </row>
    <row r="232" spans="2:2" x14ac:dyDescent="0.2">
      <c r="B232" s="91"/>
    </row>
    <row r="233" spans="2:2" x14ac:dyDescent="0.2">
      <c r="B233" s="91"/>
    </row>
    <row r="234" spans="2:2" x14ac:dyDescent="0.2">
      <c r="B234" s="91"/>
    </row>
    <row r="235" spans="2:2" x14ac:dyDescent="0.2">
      <c r="B235" s="91"/>
    </row>
    <row r="236" spans="2:2" x14ac:dyDescent="0.2">
      <c r="B236" s="91"/>
    </row>
    <row r="237" spans="2:2" x14ac:dyDescent="0.2">
      <c r="B237" s="91"/>
    </row>
    <row r="238" spans="2:2" x14ac:dyDescent="0.2">
      <c r="B238" s="91"/>
    </row>
    <row r="239" spans="2:2" x14ac:dyDescent="0.2">
      <c r="B239" s="91"/>
    </row>
    <row r="240" spans="2:2" x14ac:dyDescent="0.2">
      <c r="B240" s="91"/>
    </row>
    <row r="241" spans="2:2" x14ac:dyDescent="0.2">
      <c r="B241" s="91"/>
    </row>
    <row r="242" spans="2:2" x14ac:dyDescent="0.2">
      <c r="B242" s="91"/>
    </row>
    <row r="243" spans="2:2" x14ac:dyDescent="0.2">
      <c r="B243" s="91"/>
    </row>
    <row r="244" spans="2:2" x14ac:dyDescent="0.2">
      <c r="B244" s="91"/>
    </row>
    <row r="245" spans="2:2" x14ac:dyDescent="0.2">
      <c r="B245" s="91"/>
    </row>
    <row r="246" spans="2:2" x14ac:dyDescent="0.2">
      <c r="B246" s="91"/>
    </row>
    <row r="247" spans="2:2" x14ac:dyDescent="0.2">
      <c r="B247" s="91"/>
    </row>
    <row r="248" spans="2:2" x14ac:dyDescent="0.2">
      <c r="B248" s="91"/>
    </row>
    <row r="249" spans="2:2" x14ac:dyDescent="0.2">
      <c r="B249" s="91"/>
    </row>
  </sheetData>
  <sheetProtection algorithmName="SHA-512" hashValue="ASauLlM0kFzh21GKn/1V6P0C50+Ub0ZY09chhvCjKhdu/KgY+Fgj6DKSPOsEvwNhHO4P0JNkLWbBREoAkNo8hA==" saltValue="CpbYAkqFIzn57Yo0YGgAVw==" spinCount="100000" sheet="1" objects="1" scenarios="1"/>
  <mergeCells count="9">
    <mergeCell ref="F1:G1"/>
    <mergeCell ref="A3:B3"/>
    <mergeCell ref="C3:D3"/>
    <mergeCell ref="A19:B19"/>
    <mergeCell ref="C19:D19"/>
    <mergeCell ref="C7:D7"/>
    <mergeCell ref="C11:C16"/>
    <mergeCell ref="D11:D16"/>
    <mergeCell ref="A1:D1"/>
  </mergeCells>
  <dataValidations count="4">
    <dataValidation type="list" allowBlank="1" showInputMessage="1" showErrorMessage="1" sqref="B12:B16 B6" xr:uid="{D680EE96-C74C-B04C-B556-F0C0579E0577}">
      <formula1>ТакНі</formula1>
    </dataValidation>
    <dataValidation type="list" allowBlank="1" showInputMessage="1" showErrorMessage="1" sqref="B5" xr:uid="{765BBAA3-59FD-DD43-BE33-8C3C9F399E13}">
      <formula1>ЗП</formula1>
    </dataValidation>
    <dataValidation type="list" allowBlank="1" showInputMessage="1" showErrorMessage="1" sqref="B8:B10" xr:uid="{98ECA8AA-25F0-544E-B105-A0779F40E5C7}">
      <formula1>Krouts</formula1>
    </dataValidation>
    <dataValidation type="list" allowBlank="1" showInputMessage="1" showErrorMessage="1" sqref="B17" xr:uid="{AA5EBFD9-A14F-F643-A536-092F8900E75E}">
      <formula1>Zvit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D48-9DF9-3745-AC36-66820693EA09}">
  <sheetPr>
    <tabColor theme="7" tint="-0.499984740745262"/>
  </sheetPr>
  <dimension ref="A1:F24"/>
  <sheetViews>
    <sheetView showGridLines="0" tabSelected="1" zoomScaleNormal="10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96" customWidth="1"/>
    <col min="2" max="2" width="11.6640625" style="96" bestFit="1" customWidth="1"/>
    <col min="3" max="3" width="9.33203125" style="96" bestFit="1" customWidth="1"/>
    <col min="4" max="4" width="7.33203125" style="96" bestFit="1" customWidth="1"/>
    <col min="5" max="5" width="11.33203125" style="96" customWidth="1"/>
    <col min="6" max="6" width="24.33203125" style="96" customWidth="1"/>
    <col min="7" max="16384" width="11.33203125" style="96"/>
  </cols>
  <sheetData>
    <row r="1" spans="1:6" ht="48.75" customHeight="1" x14ac:dyDescent="0.2">
      <c r="A1" s="201" t="s">
        <v>341</v>
      </c>
      <c r="B1" s="202"/>
      <c r="C1" s="202"/>
      <c r="D1" s="203"/>
      <c r="F1" s="128" t="s">
        <v>245</v>
      </c>
    </row>
    <row r="2" spans="1:6" x14ac:dyDescent="0.2">
      <c r="A2" s="97"/>
      <c r="B2" s="98"/>
      <c r="C2" s="98"/>
      <c r="D2" s="98"/>
    </row>
    <row r="3" spans="1:6" ht="16.5" customHeight="1" x14ac:dyDescent="0.2">
      <c r="A3" s="204" t="str">
        <f>TEXT( "Р = (2 х Квиїздів + 2 х Кос. кат x Кдій х Коск х Кприп) х Огод х Кос. час х Кзвіт = (2 x "&amp;$D$6&amp;" + 2 x "&amp;$D$10&amp;" x "&amp;$D$15&amp;" x "&amp;$D$19&amp;" x "&amp;$D$7&amp;") x "&amp;$D$20&amp;" x "&amp;$D$17&amp;" x "&amp;$D$21&amp;" =",0)</f>
        <v>Р = (2 х Квиїздів + 2 х Кос. кат x Кдій х Коск х Кприп) х Огод х Кос. час х Кзвіт = (2 x 0 + 2 x 1 x 0,25 x 1 x 1) x 166,4 x 1 x 1 =</v>
      </c>
      <c r="B3" s="196"/>
      <c r="C3" s="171">
        <f>(2*$D$6+2*$D$10*$D$15*$D$19*$D$7)*$D$20*$D$17*$D$21</f>
        <v>83.2</v>
      </c>
      <c r="D3" s="205"/>
    </row>
    <row r="4" spans="1:6" ht="15" customHeight="1" x14ac:dyDescent="0.2">
      <c r="A4" s="204"/>
      <c r="B4" s="196"/>
      <c r="C4" s="171"/>
      <c r="D4" s="205"/>
    </row>
    <row r="5" spans="1:6" x14ac:dyDescent="0.2">
      <c r="A5" s="99"/>
      <c r="B5" s="98"/>
      <c r="C5" s="98"/>
      <c r="D5" s="98"/>
    </row>
    <row r="6" spans="1:6" ht="37.5" customHeight="1" x14ac:dyDescent="0.2">
      <c r="A6" s="100" t="s">
        <v>184</v>
      </c>
      <c r="B6" s="101">
        <v>0</v>
      </c>
      <c r="C6" s="71" t="s">
        <v>328</v>
      </c>
      <c r="D6" s="71">
        <f>IF(B7="такні",1,B6)</f>
        <v>0</v>
      </c>
    </row>
    <row r="7" spans="1:6" ht="20.25" customHeight="1" x14ac:dyDescent="0.2">
      <c r="A7" s="103" t="s">
        <v>182</v>
      </c>
      <c r="B7" s="104" t="str">
        <f>B8&amp;B9</f>
        <v>ніні</v>
      </c>
      <c r="C7" s="198" t="s">
        <v>329</v>
      </c>
      <c r="D7" s="198">
        <f>VLOOKUP(B7,Кприп,2,0)</f>
        <v>1</v>
      </c>
    </row>
    <row r="8" spans="1:6" ht="66.75" customHeight="1" x14ac:dyDescent="0.2">
      <c r="A8" s="105" t="s">
        <v>156</v>
      </c>
      <c r="B8" s="15" t="s">
        <v>1</v>
      </c>
      <c r="C8" s="199"/>
      <c r="D8" s="199"/>
    </row>
    <row r="9" spans="1:6" ht="32.25" customHeight="1" x14ac:dyDescent="0.2">
      <c r="A9" s="106" t="s">
        <v>157</v>
      </c>
      <c r="B9" s="107" t="s">
        <v>1</v>
      </c>
      <c r="C9" s="200"/>
      <c r="D9" s="200"/>
    </row>
    <row r="10" spans="1:6" ht="21.75" customHeight="1" x14ac:dyDescent="0.2">
      <c r="A10" s="83" t="s">
        <v>173</v>
      </c>
      <c r="B10" s="104" t="str">
        <f>B11&amp;B12&amp;B13&amp;B14</f>
        <v>нінініні</v>
      </c>
      <c r="C10" s="197" t="s">
        <v>330</v>
      </c>
      <c r="D10" s="198">
        <f>IF(B7="такні",1,VLOOKUP(B10,Kspcat,2,0))</f>
        <v>1</v>
      </c>
    </row>
    <row r="11" spans="1:6" ht="18.75" customHeight="1" x14ac:dyDescent="0.2">
      <c r="A11" s="105" t="s">
        <v>151</v>
      </c>
      <c r="B11" s="15" t="s">
        <v>1</v>
      </c>
      <c r="C11" s="197"/>
      <c r="D11" s="199"/>
    </row>
    <row r="12" spans="1:6" ht="32.25" customHeight="1" x14ac:dyDescent="0.2">
      <c r="A12" s="105" t="s">
        <v>152</v>
      </c>
      <c r="B12" s="15" t="s">
        <v>1</v>
      </c>
      <c r="C12" s="197"/>
      <c r="D12" s="199"/>
    </row>
    <row r="13" spans="1:6" ht="18.75" customHeight="1" x14ac:dyDescent="0.2">
      <c r="A13" s="105" t="s">
        <v>153</v>
      </c>
      <c r="B13" s="15" t="s">
        <v>1</v>
      </c>
      <c r="C13" s="197"/>
      <c r="D13" s="199"/>
    </row>
    <row r="14" spans="1:6" ht="32.25" customHeight="1" x14ac:dyDescent="0.2">
      <c r="A14" s="108" t="s">
        <v>150</v>
      </c>
      <c r="B14" s="107" t="s">
        <v>1</v>
      </c>
      <c r="C14" s="197"/>
      <c r="D14" s="200"/>
    </row>
    <row r="15" spans="1:6" ht="50.25" customHeight="1" x14ac:dyDescent="0.2">
      <c r="A15" s="6" t="s">
        <v>185</v>
      </c>
      <c r="B15" s="109">
        <v>0</v>
      </c>
      <c r="C15" s="8" t="s">
        <v>331</v>
      </c>
      <c r="D15" s="8">
        <f>IF(B7="такні",1,VLOOKUP(B15,Kactsres,2,0))</f>
        <v>0.25</v>
      </c>
    </row>
    <row r="16" spans="1:6" ht="32.25" customHeight="1" x14ac:dyDescent="0.2">
      <c r="A16" s="111" t="s">
        <v>186</v>
      </c>
      <c r="B16" s="109" t="s">
        <v>1</v>
      </c>
      <c r="C16" s="71"/>
      <c r="D16" s="71"/>
    </row>
    <row r="17" spans="1:4" ht="41.25" customHeight="1" x14ac:dyDescent="0.2">
      <c r="A17" s="112" t="s">
        <v>174</v>
      </c>
      <c r="B17" s="113">
        <f>IF(AND(B15&gt;0,B18&lt;=B15),B18/B15,0)</f>
        <v>0</v>
      </c>
      <c r="C17" s="140" t="s">
        <v>332</v>
      </c>
      <c r="D17" s="143">
        <f>IF(B15=0,IF(B16="так",1.4,1),IF(B17&gt;=50%,1.4,IF(B17&gt;=30%,1.3,IF(B17&gt;=20%,1.2,IF(B17&gt;=10%,1.1,1)))))</f>
        <v>1</v>
      </c>
    </row>
    <row r="18" spans="1:4" ht="35.25" customHeight="1" x14ac:dyDescent="0.2">
      <c r="A18" s="114" t="s">
        <v>183</v>
      </c>
      <c r="B18" s="107">
        <v>1</v>
      </c>
      <c r="C18" s="141"/>
      <c r="D18" s="141"/>
    </row>
    <row r="19" spans="1:4" ht="30" x14ac:dyDescent="0.2">
      <c r="A19" s="115" t="s">
        <v>327</v>
      </c>
      <c r="B19" s="116" t="e">
        <f>IF(#REF!="так",MAX(#REF!,#REF!,#REF!),1)</f>
        <v>#REF!</v>
      </c>
      <c r="C19" s="142" t="s">
        <v>333</v>
      </c>
      <c r="D19" s="71">
        <v>1</v>
      </c>
    </row>
    <row r="20" spans="1:4" ht="33.75" customHeight="1" x14ac:dyDescent="0.2">
      <c r="A20" s="6" t="s">
        <v>335</v>
      </c>
      <c r="B20" s="124">
        <v>3328</v>
      </c>
      <c r="C20" s="8" t="s">
        <v>334</v>
      </c>
      <c r="D20" s="9">
        <f>ROUND(B20*0.05,3)</f>
        <v>166.4</v>
      </c>
    </row>
    <row r="21" spans="1:4" ht="33" customHeight="1" x14ac:dyDescent="0.2">
      <c r="A21" s="126" t="s">
        <v>336</v>
      </c>
      <c r="B21" s="26" t="s">
        <v>139</v>
      </c>
      <c r="C21" s="45" t="s">
        <v>235</v>
      </c>
      <c r="D21" s="71">
        <f>VLOOKUP(B21,Kzvit,2,0)</f>
        <v>1</v>
      </c>
    </row>
    <row r="22" spans="1:4" x14ac:dyDescent="0.2">
      <c r="D22" s="127"/>
    </row>
    <row r="23" spans="1:4" ht="15" customHeight="1" x14ac:dyDescent="0.2">
      <c r="A23" s="196" t="str">
        <f>TEXT( "Р = (2 х Квиїздів + 2 х Кос. кат x Кдій х Коск х Кприп) х Огод х Кос. час х Кзвіт = (2 x "&amp;$D$6&amp;" + 2 x "&amp;$D$10&amp;" x "&amp;$D$15&amp;" x "&amp;$D$19&amp;" x "&amp;$D$7&amp;") x "&amp;$D$20&amp;" x "&amp;$D$17&amp;" x "&amp;$D$21&amp;" =",0)</f>
        <v>Р = (2 х Квиїздів + 2 х Кос. кат x Кдій х Коск х Кприп) х Огод х Кос. час х Кзвіт = (2 x 0 + 2 x 1 x 0,25 x 1 x 1) x 166,4 x 1 x 1 =</v>
      </c>
      <c r="B23" s="196"/>
      <c r="C23" s="171">
        <f>(2*$D$6+2*$D$10*$D$15*$D$19*$D$7)*$D$20*$D$17*$D$21</f>
        <v>83.2</v>
      </c>
      <c r="D23" s="171"/>
    </row>
    <row r="24" spans="1:4" ht="15" customHeight="1" x14ac:dyDescent="0.2">
      <c r="A24" s="196"/>
      <c r="B24" s="196"/>
      <c r="C24" s="171"/>
      <c r="D24" s="171"/>
    </row>
  </sheetData>
  <sheetProtection algorithmName="SHA-512" hashValue="K2eIP28+69zIGCGjEt75n3bYtNlivRyz6XgtuMPT2R2GTOuX7l/JkNJCCuZwp5D2q7C95+a9nt09HaUR1ZW/6g==" saltValue="dmdSf/lfyZ3p6qinDCkzdA==" spinCount="100000" sheet="1" objects="1" scenarios="1"/>
  <mergeCells count="9">
    <mergeCell ref="A23:B24"/>
    <mergeCell ref="C23:D24"/>
    <mergeCell ref="C10:C14"/>
    <mergeCell ref="D10:D14"/>
    <mergeCell ref="A1:D1"/>
    <mergeCell ref="A3:B4"/>
    <mergeCell ref="C3:D4"/>
    <mergeCell ref="C7:C9"/>
    <mergeCell ref="D7:D9"/>
  </mergeCells>
  <dataValidations count="4">
    <dataValidation type="list" allowBlank="1" showInputMessage="1" showErrorMessage="1" sqref="B21" xr:uid="{9AA599FA-F340-334B-A986-C4B4CA872742}">
      <formula1>Zvit</formula1>
    </dataValidation>
    <dataValidation type="list" allowBlank="1" showInputMessage="1" showErrorMessage="1" sqref="B18 B15 B6" xr:uid="{D632BFEC-AA81-6A45-AFA3-D54E839B935E}">
      <formula1>Krouts</formula1>
    </dataValidation>
    <dataValidation type="list" allowBlank="1" showInputMessage="1" showErrorMessage="1" sqref="B16 B11:B14 B8:B9" xr:uid="{4EE11F67-DCD4-CF4A-932D-ADAF7575174C}">
      <formula1>ТакНі</formula1>
    </dataValidation>
    <dataValidation type="list" allowBlank="1" showInputMessage="1" showErrorMessage="1" sqref="B20" xr:uid="{FA11DD0C-D1C1-BC4D-9C6B-20A929735E45}">
      <formula1>ЗП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DFFEE-7EE3-D248-BB14-DDCECA5EE247}">
  <sheetPr>
    <tabColor theme="7" tint="-0.499984740745262"/>
  </sheetPr>
  <dimension ref="A1:F33"/>
  <sheetViews>
    <sheetView showGridLines="0" zoomScaleNormal="100" workbookViewId="0">
      <pane ySplit="1" topLeftCell="A2" activePane="bottomLeft" state="frozen"/>
      <selection activeCell="B21" sqref="B21:B22"/>
      <selection pane="bottomLeft" sqref="A1:D1"/>
    </sheetView>
  </sheetViews>
  <sheetFormatPr baseColWidth="10" defaultColWidth="11.33203125" defaultRowHeight="15" x14ac:dyDescent="0.2"/>
  <cols>
    <col min="1" max="1" width="85.33203125" style="96" customWidth="1"/>
    <col min="2" max="2" width="11.6640625" style="96" bestFit="1" customWidth="1"/>
    <col min="3" max="4" width="9.33203125" style="96" bestFit="1" customWidth="1"/>
    <col min="5" max="5" width="11.33203125" style="96" customWidth="1"/>
    <col min="6" max="6" width="24.33203125" style="96" customWidth="1"/>
    <col min="7" max="16384" width="11.33203125" style="96"/>
  </cols>
  <sheetData>
    <row r="1" spans="1:6" ht="53.25" customHeight="1" x14ac:dyDescent="0.2">
      <c r="A1" s="201" t="s">
        <v>337</v>
      </c>
      <c r="B1" s="202"/>
      <c r="C1" s="202"/>
      <c r="D1" s="203"/>
      <c r="F1" s="128" t="s">
        <v>245</v>
      </c>
    </row>
    <row r="2" spans="1:6" x14ac:dyDescent="0.2">
      <c r="A2" s="97"/>
      <c r="B2" s="98"/>
      <c r="C2" s="98"/>
      <c r="D2" s="98"/>
    </row>
    <row r="3" spans="1:6" ht="16.5" customHeight="1" x14ac:dyDescent="0.2">
      <c r="A3" s="204" t="str">
        <f>TEXT( "Р = (2 х Квиїздів + 2 х Кос. кат x Кдій х Коск х Кприп) х Огод х Кос. час х Кзвіт = (2 x "&amp;$D$6&amp;" + 2 x "&amp;$D$10&amp;" x "&amp;$D$15&amp;" x "&amp;$D$19&amp;" x "&amp;$D$7&amp;") x "&amp;$D$29&amp;" x "&amp;$D$17&amp;" x "&amp;$D$30&amp;" =",0)</f>
        <v>Р = (2 х Квиїздів + 2 х Кос. кат x Кдій х Коск х Кприп) х Огод х Кос. час х Кзвіт = (2 x 1 + 2 x 1 x 1 x 1 x 1) x 166,4 x 1 x 1 =</v>
      </c>
      <c r="B3" s="196"/>
      <c r="C3" s="171">
        <f>(2*$D$6+2*$D$10*$D$15*$D$19*$D$7)*$D$29*$D$17*$D$30</f>
        <v>665.6</v>
      </c>
      <c r="D3" s="205"/>
    </row>
    <row r="4" spans="1:6" ht="15" customHeight="1" x14ac:dyDescent="0.2">
      <c r="A4" s="204"/>
      <c r="B4" s="196"/>
      <c r="C4" s="171"/>
      <c r="D4" s="205"/>
    </row>
    <row r="5" spans="1:6" x14ac:dyDescent="0.2">
      <c r="A5" s="99"/>
      <c r="B5" s="98"/>
      <c r="C5" s="98"/>
      <c r="D5" s="98"/>
    </row>
    <row r="6" spans="1:6" ht="37.5" customHeight="1" x14ac:dyDescent="0.2">
      <c r="A6" s="100" t="s">
        <v>184</v>
      </c>
      <c r="B6" s="101">
        <v>1</v>
      </c>
      <c r="C6" s="71" t="s">
        <v>328</v>
      </c>
      <c r="D6" s="71">
        <f>IF(B7="такні",1,B6)</f>
        <v>1</v>
      </c>
    </row>
    <row r="7" spans="1:6" ht="20.25" customHeight="1" x14ac:dyDescent="0.2">
      <c r="A7" s="103" t="s">
        <v>182</v>
      </c>
      <c r="B7" s="104" t="str">
        <f>B8&amp;B9</f>
        <v>ніні</v>
      </c>
      <c r="C7" s="198" t="s">
        <v>329</v>
      </c>
      <c r="D7" s="198">
        <f>VLOOKUP(B7,Кприп,2,0)</f>
        <v>1</v>
      </c>
    </row>
    <row r="8" spans="1:6" ht="66.75" customHeight="1" x14ac:dyDescent="0.2">
      <c r="A8" s="105" t="s">
        <v>156</v>
      </c>
      <c r="B8" s="15" t="s">
        <v>1</v>
      </c>
      <c r="C8" s="199"/>
      <c r="D8" s="199"/>
    </row>
    <row r="9" spans="1:6" ht="32.25" customHeight="1" x14ac:dyDescent="0.2">
      <c r="A9" s="106" t="s">
        <v>157</v>
      </c>
      <c r="B9" s="107" t="s">
        <v>1</v>
      </c>
      <c r="C9" s="200"/>
      <c r="D9" s="200"/>
    </row>
    <row r="10" spans="1:6" ht="21.75" customHeight="1" x14ac:dyDescent="0.2">
      <c r="A10" s="83" t="s">
        <v>173</v>
      </c>
      <c r="B10" s="104" t="str">
        <f>B11&amp;B12&amp;B13&amp;B14</f>
        <v>нінініні</v>
      </c>
      <c r="C10" s="197" t="s">
        <v>330</v>
      </c>
      <c r="D10" s="198">
        <f>IF(B7="такні",1,VLOOKUP(B10,Kspcat,2,0))</f>
        <v>1</v>
      </c>
    </row>
    <row r="11" spans="1:6" ht="18.75" customHeight="1" x14ac:dyDescent="0.2">
      <c r="A11" s="105" t="s">
        <v>151</v>
      </c>
      <c r="B11" s="15" t="s">
        <v>1</v>
      </c>
      <c r="C11" s="197"/>
      <c r="D11" s="199"/>
    </row>
    <row r="12" spans="1:6" ht="32.25" customHeight="1" x14ac:dyDescent="0.2">
      <c r="A12" s="105" t="s">
        <v>152</v>
      </c>
      <c r="B12" s="15" t="s">
        <v>1</v>
      </c>
      <c r="C12" s="197"/>
      <c r="D12" s="199"/>
    </row>
    <row r="13" spans="1:6" ht="18.75" customHeight="1" x14ac:dyDescent="0.2">
      <c r="A13" s="105" t="s">
        <v>153</v>
      </c>
      <c r="B13" s="15" t="s">
        <v>1</v>
      </c>
      <c r="C13" s="197"/>
      <c r="D13" s="199"/>
    </row>
    <row r="14" spans="1:6" ht="32.25" customHeight="1" x14ac:dyDescent="0.2">
      <c r="A14" s="108" t="s">
        <v>150</v>
      </c>
      <c r="B14" s="107" t="s">
        <v>1</v>
      </c>
      <c r="C14" s="197"/>
      <c r="D14" s="200"/>
    </row>
    <row r="15" spans="1:6" ht="50.25" customHeight="1" x14ac:dyDescent="0.2">
      <c r="A15" s="6" t="s">
        <v>185</v>
      </c>
      <c r="B15" s="109">
        <v>1</v>
      </c>
      <c r="C15" s="8" t="s">
        <v>331</v>
      </c>
      <c r="D15" s="8">
        <f>IF(B7="такні",1,VLOOKUP(B15,Kactsres,2,0))</f>
        <v>1</v>
      </c>
    </row>
    <row r="16" spans="1:6" ht="32.25" customHeight="1" x14ac:dyDescent="0.2">
      <c r="A16" s="111" t="s">
        <v>186</v>
      </c>
      <c r="B16" s="109" t="s">
        <v>1</v>
      </c>
      <c r="C16" s="71"/>
      <c r="D16" s="71"/>
    </row>
    <row r="17" spans="1:4" ht="41.25" customHeight="1" x14ac:dyDescent="0.2">
      <c r="A17" s="112" t="s">
        <v>174</v>
      </c>
      <c r="B17" s="113">
        <f>IF(AND(B15&gt;0,B18&lt;=B15),B18/B15,0)</f>
        <v>0</v>
      </c>
      <c r="C17" s="140" t="s">
        <v>332</v>
      </c>
      <c r="D17" s="143">
        <f>IF(B15=0,IF(B16="так",1.4,1),IF(B17&gt;=50%,1.4,IF(B17&gt;=30%,1.3,IF(B17&gt;=20%,1.2,IF(B17&gt;=10%,1.1,1)))))</f>
        <v>1</v>
      </c>
    </row>
    <row r="18" spans="1:4" ht="35.25" customHeight="1" x14ac:dyDescent="0.2">
      <c r="A18" s="114" t="s">
        <v>183</v>
      </c>
      <c r="B18" s="107">
        <v>0</v>
      </c>
      <c r="C18" s="141"/>
      <c r="D18" s="141"/>
    </row>
    <row r="19" spans="1:4" x14ac:dyDescent="0.2">
      <c r="A19" s="115" t="s">
        <v>175</v>
      </c>
      <c r="B19" s="116">
        <f>IF(B20="ні",1,IF(AND(B23="так",B26="ні"),B24,IF(AND(B26="так",B23="ні"),B27,IF(B20&amp;B23&amp;B26="тактактак",TEXT("ERROR",1),B21))))</f>
        <v>1</v>
      </c>
      <c r="C19" s="206" t="s">
        <v>333</v>
      </c>
      <c r="D19" s="184">
        <f>IF(B7="такні",1,B19)</f>
        <v>1</v>
      </c>
    </row>
    <row r="20" spans="1:4" ht="36" customHeight="1" x14ac:dyDescent="0.2">
      <c r="A20" s="145" t="s">
        <v>342</v>
      </c>
      <c r="B20" s="109" t="s">
        <v>1</v>
      </c>
      <c r="C20" s="207"/>
      <c r="D20" s="184"/>
    </row>
    <row r="21" spans="1:4" x14ac:dyDescent="0.2">
      <c r="A21" s="117" t="s">
        <v>163</v>
      </c>
      <c r="B21" s="208">
        <f>IF(B20="так",VLOOKUP(A22,Коск1_1,2,0),1)</f>
        <v>1</v>
      </c>
      <c r="C21" s="207"/>
      <c r="D21" s="184"/>
    </row>
    <row r="22" spans="1:4" ht="22.5" customHeight="1" x14ac:dyDescent="0.2">
      <c r="A22" s="118" t="s">
        <v>169</v>
      </c>
      <c r="B22" s="209"/>
      <c r="C22" s="207"/>
      <c r="D22" s="184"/>
    </row>
    <row r="23" spans="1:4" ht="39.75" customHeight="1" x14ac:dyDescent="0.2">
      <c r="A23" s="145" t="s">
        <v>343</v>
      </c>
      <c r="B23" s="109" t="s">
        <v>1</v>
      </c>
      <c r="C23" s="207"/>
      <c r="D23" s="184"/>
    </row>
    <row r="24" spans="1:4" ht="16.5" customHeight="1" x14ac:dyDescent="0.2">
      <c r="A24" s="119" t="s">
        <v>164</v>
      </c>
      <c r="B24" s="208">
        <f>IF(B20="ні",1,IF(AND(B23="так",B21=1),VLOOKUP(A25,Коск2_1,2,0),1))</f>
        <v>1</v>
      </c>
      <c r="C24" s="207"/>
      <c r="D24" s="184"/>
    </row>
    <row r="25" spans="1:4" ht="19.5" customHeight="1" x14ac:dyDescent="0.2">
      <c r="A25" s="118" t="s">
        <v>170</v>
      </c>
      <c r="B25" s="209"/>
      <c r="C25" s="207"/>
      <c r="D25" s="184"/>
    </row>
    <row r="26" spans="1:4" ht="54" customHeight="1" x14ac:dyDescent="0.2">
      <c r="A26" s="145" t="s">
        <v>344</v>
      </c>
      <c r="B26" s="109" t="s">
        <v>1</v>
      </c>
      <c r="C26" s="207"/>
      <c r="D26" s="184"/>
    </row>
    <row r="27" spans="1:4" ht="16.5" customHeight="1" x14ac:dyDescent="0.2">
      <c r="A27" s="119" t="s">
        <v>164</v>
      </c>
      <c r="B27" s="208">
        <f>IF(B23="так",1,IF(AND(B26="так",B21=3),VLOOKUP(A28,Коск3_1,2,0),1))</f>
        <v>1</v>
      </c>
      <c r="C27" s="207"/>
      <c r="D27" s="184"/>
    </row>
    <row r="28" spans="1:4" ht="18.75" customHeight="1" x14ac:dyDescent="0.2">
      <c r="A28" s="118" t="s">
        <v>172</v>
      </c>
      <c r="B28" s="209"/>
      <c r="C28" s="207"/>
      <c r="D28" s="184"/>
    </row>
    <row r="29" spans="1:4" ht="33.75" customHeight="1" x14ac:dyDescent="0.2">
      <c r="A29" s="6" t="s">
        <v>335</v>
      </c>
      <c r="B29" s="124">
        <v>3328</v>
      </c>
      <c r="C29" s="8" t="s">
        <v>334</v>
      </c>
      <c r="D29" s="9">
        <f>ROUND(B29*0.05,3)</f>
        <v>166.4</v>
      </c>
    </row>
    <row r="30" spans="1:4" ht="33" customHeight="1" x14ac:dyDescent="0.2">
      <c r="A30" s="126" t="s">
        <v>336</v>
      </c>
      <c r="B30" s="26" t="s">
        <v>139</v>
      </c>
      <c r="C30" s="45" t="s">
        <v>235</v>
      </c>
      <c r="D30" s="71">
        <f>VLOOKUP(B30,Kzvit,2,0)</f>
        <v>1</v>
      </c>
    </row>
    <row r="31" spans="1:4" x14ac:dyDescent="0.2">
      <c r="D31" s="127"/>
    </row>
    <row r="32" spans="1:4" ht="15" customHeight="1" x14ac:dyDescent="0.2">
      <c r="A32" s="196" t="str">
        <f>TEXT( "Р = (2 х Квиїздів + 2 х Кос. кат x Кдій х Коск х Кприп) х Огод х Кос. час х Кзвіт = (2 x "&amp;$D$6&amp;" + 2 x "&amp;$D$10&amp;" x "&amp;$D$15&amp;" x "&amp;$D$19&amp;" x "&amp;$D$7&amp;") x "&amp;$D$29&amp;" x "&amp;$D$17&amp;" x "&amp;$D$30&amp;" =",0)</f>
        <v>Р = (2 х Квиїздів + 2 х Кос. кат x Кдій х Коск х Кприп) х Огод х Кос. час х Кзвіт = (2 x 1 + 2 x 1 x 1 x 1 x 1) x 166,4 x 1 x 1 =</v>
      </c>
      <c r="B32" s="196"/>
      <c r="C32" s="171">
        <f>(2*$D$6+2*$D$10*$D$15*$D$19*$D$7)*$D$29*$D$17*$D$30</f>
        <v>665.6</v>
      </c>
      <c r="D32" s="171"/>
    </row>
    <row r="33" spans="1:4" ht="15" customHeight="1" x14ac:dyDescent="0.2">
      <c r="A33" s="196"/>
      <c r="B33" s="196"/>
      <c r="C33" s="171"/>
      <c r="D33" s="171"/>
    </row>
  </sheetData>
  <sheetProtection algorithmName="SHA-512" hashValue="cF20uzCv6aDgV8gqqWzABUnDbhvtPwkDk6pDq6Q/2pfPm3dfXny9BXMNfi5uCQ6TxkoiQCzQ8bKWj7JbmRPhMg==" saltValue="4N2i03pvtkgF67hjimZDLw==" spinCount="100000" sheet="1" objects="1" scenarios="1"/>
  <mergeCells count="14">
    <mergeCell ref="A32:B33"/>
    <mergeCell ref="C32:D33"/>
    <mergeCell ref="C10:C14"/>
    <mergeCell ref="D10:D14"/>
    <mergeCell ref="C19:C28"/>
    <mergeCell ref="D19:D28"/>
    <mergeCell ref="B21:B22"/>
    <mergeCell ref="B24:B25"/>
    <mergeCell ref="B27:B28"/>
    <mergeCell ref="A1:D1"/>
    <mergeCell ref="A3:B4"/>
    <mergeCell ref="C3:D4"/>
    <mergeCell ref="C7:C9"/>
    <mergeCell ref="D7:D9"/>
  </mergeCells>
  <dataValidations count="7">
    <dataValidation type="list" allowBlank="1" showInputMessage="1" showErrorMessage="1" sqref="A28" xr:uid="{06C7372C-626E-0249-9E14-BEFCC04FE3C5}">
      <formula1>Коск3</formula1>
    </dataValidation>
    <dataValidation type="list" allowBlank="1" showInputMessage="1" showErrorMessage="1" sqref="A25" xr:uid="{B11EEDCD-B139-FE40-8D55-0287B8732F2D}">
      <formula1>Коск2</formula1>
    </dataValidation>
    <dataValidation type="list" allowBlank="1" showInputMessage="1" showErrorMessage="1" sqref="A22" xr:uid="{ED8F34D2-4A20-AD49-A1D5-876A3B1E5C95}">
      <formula1>Коск1</formula1>
    </dataValidation>
    <dataValidation type="list" allowBlank="1" showInputMessage="1" showErrorMessage="1" sqref="B30" xr:uid="{D656E871-EA6E-6F4B-87AB-AB3D5D2714A9}">
      <formula1>Zvit</formula1>
    </dataValidation>
    <dataValidation type="list" allowBlank="1" showInputMessage="1" showErrorMessage="1" sqref="B18 B15 B6" xr:uid="{BB18F915-03D1-5544-A745-42F5F19D3595}">
      <formula1>Krouts</formula1>
    </dataValidation>
    <dataValidation type="list" allowBlank="1" showInputMessage="1" showErrorMessage="1" sqref="B16 B11:B14 B8:B9 B23 B26 B20" xr:uid="{1B59A0AF-497D-5F48-A960-FC0632B1BAFF}">
      <formula1>ТакНі</formula1>
    </dataValidation>
    <dataValidation type="list" allowBlank="1" showInputMessage="1" showErrorMessage="1" sqref="B29" xr:uid="{2903C45C-BF7B-3343-A2D4-BACE93307DC5}">
      <formula1>ЗП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36D9-37FA-4043-9D3B-418E908882E3}">
  <sheetPr>
    <tabColor theme="7" tint="-0.499984740745262"/>
  </sheetPr>
  <dimension ref="A1:F26"/>
  <sheetViews>
    <sheetView showGridLines="0" zoomScaleNormal="100" workbookViewId="0">
      <pane ySplit="1" topLeftCell="A3" activePane="bottomLeft" state="frozen"/>
      <selection activeCell="B21" sqref="B21:B22"/>
      <selection pane="bottomLeft" sqref="A1:D1"/>
    </sheetView>
  </sheetViews>
  <sheetFormatPr baseColWidth="10" defaultColWidth="11.33203125" defaultRowHeight="15" x14ac:dyDescent="0.2"/>
  <cols>
    <col min="1" max="1" width="85.33203125" style="96" customWidth="1"/>
    <col min="2" max="2" width="11.6640625" style="96" bestFit="1" customWidth="1"/>
    <col min="3" max="3" width="9.33203125" style="96" bestFit="1" customWidth="1"/>
    <col min="4" max="4" width="7.33203125" style="96" bestFit="1" customWidth="1"/>
    <col min="5" max="5" width="11.33203125" style="96" customWidth="1"/>
    <col min="6" max="6" width="24.33203125" style="96" customWidth="1"/>
    <col min="7" max="16384" width="11.33203125" style="96"/>
  </cols>
  <sheetData>
    <row r="1" spans="1:6" ht="34.5" customHeight="1" x14ac:dyDescent="0.2">
      <c r="A1" s="201" t="s">
        <v>339</v>
      </c>
      <c r="B1" s="202"/>
      <c r="C1" s="202"/>
      <c r="D1" s="203"/>
      <c r="F1" s="128" t="s">
        <v>245</v>
      </c>
    </row>
    <row r="2" spans="1:6" x14ac:dyDescent="0.2">
      <c r="A2" s="97"/>
      <c r="B2" s="98"/>
      <c r="C2" s="98"/>
      <c r="D2" s="98"/>
    </row>
    <row r="3" spans="1:6" ht="16.5" customHeight="1" x14ac:dyDescent="0.2">
      <c r="A3" s="204" t="str">
        <f>TEXT( "Р = (2 х Квиїздів + 2 х Кос. кат x Кдій х Коск х Кприп) х Огод х Кос. час х Кзвіт = (2 x "&amp;$D$6&amp;" + 2 x "&amp;$D$10&amp;" x "&amp;$D$15&amp;" x "&amp;D19&amp;" x "&amp;$D$7&amp;") x "&amp;$D$22&amp;" x "&amp;$D$17&amp;" x "&amp;$D$23&amp;" =",0)</f>
        <v>Р = (2 х Квиїздів + 2 х Кос. кат x Кдій х Коск х Кприп) х Огод х Кос. час х Кзвіт = (2 x 1 + 2 x 1 x 1 x 1 x 1) x 166,4 x 1 x 1 =</v>
      </c>
      <c r="B3" s="196"/>
      <c r="C3" s="171">
        <f>(2*$D$6+2*$D$10*$D$15*D19*$D$7)*$D$22*$D$17*$D$23</f>
        <v>665.6</v>
      </c>
      <c r="D3" s="205"/>
    </row>
    <row r="4" spans="1:6" ht="15" customHeight="1" x14ac:dyDescent="0.2">
      <c r="A4" s="204"/>
      <c r="B4" s="196"/>
      <c r="C4" s="171"/>
      <c r="D4" s="205"/>
    </row>
    <row r="5" spans="1:6" x14ac:dyDescent="0.2">
      <c r="A5" s="99"/>
      <c r="B5" s="98"/>
      <c r="C5" s="98"/>
      <c r="D5" s="98"/>
    </row>
    <row r="6" spans="1:6" ht="37.5" customHeight="1" x14ac:dyDescent="0.2">
      <c r="A6" s="100" t="s">
        <v>184</v>
      </c>
      <c r="B6" s="101">
        <v>1</v>
      </c>
      <c r="C6" s="71" t="s">
        <v>328</v>
      </c>
      <c r="D6" s="71">
        <f>IF(B7="такні",1,B6)</f>
        <v>1</v>
      </c>
    </row>
    <row r="7" spans="1:6" ht="20.25" customHeight="1" x14ac:dyDescent="0.2">
      <c r="A7" s="103" t="s">
        <v>182</v>
      </c>
      <c r="B7" s="104" t="str">
        <f>B8&amp;B9</f>
        <v>ніні</v>
      </c>
      <c r="C7" s="198" t="s">
        <v>329</v>
      </c>
      <c r="D7" s="198">
        <f>VLOOKUP(B7,Кприп,2,0)</f>
        <v>1</v>
      </c>
    </row>
    <row r="8" spans="1:6" ht="66.75" customHeight="1" x14ac:dyDescent="0.2">
      <c r="A8" s="105" t="s">
        <v>156</v>
      </c>
      <c r="B8" s="15" t="s">
        <v>1</v>
      </c>
      <c r="C8" s="199"/>
      <c r="D8" s="199"/>
    </row>
    <row r="9" spans="1:6" ht="32.25" customHeight="1" x14ac:dyDescent="0.2">
      <c r="A9" s="106" t="s">
        <v>157</v>
      </c>
      <c r="B9" s="107" t="s">
        <v>1</v>
      </c>
      <c r="C9" s="200"/>
      <c r="D9" s="200"/>
    </row>
    <row r="10" spans="1:6" ht="21.75" customHeight="1" x14ac:dyDescent="0.2">
      <c r="A10" s="83" t="s">
        <v>173</v>
      </c>
      <c r="B10" s="104" t="str">
        <f>B11&amp;B12&amp;B13&amp;B14</f>
        <v>нінініні</v>
      </c>
      <c r="C10" s="197" t="s">
        <v>330</v>
      </c>
      <c r="D10" s="198">
        <f>IF(B7="такні",1,VLOOKUP(B10,Kspcat,2,0))</f>
        <v>1</v>
      </c>
    </row>
    <row r="11" spans="1:6" ht="18.75" customHeight="1" x14ac:dyDescent="0.2">
      <c r="A11" s="105" t="s">
        <v>151</v>
      </c>
      <c r="B11" s="15" t="s">
        <v>1</v>
      </c>
      <c r="C11" s="197"/>
      <c r="D11" s="199"/>
    </row>
    <row r="12" spans="1:6" ht="32.25" customHeight="1" x14ac:dyDescent="0.2">
      <c r="A12" s="105" t="s">
        <v>152</v>
      </c>
      <c r="B12" s="15" t="s">
        <v>1</v>
      </c>
      <c r="C12" s="197"/>
      <c r="D12" s="199"/>
    </row>
    <row r="13" spans="1:6" ht="18.75" customHeight="1" x14ac:dyDescent="0.2">
      <c r="A13" s="105" t="s">
        <v>153</v>
      </c>
      <c r="B13" s="15" t="s">
        <v>1</v>
      </c>
      <c r="C13" s="197"/>
      <c r="D13" s="199"/>
    </row>
    <row r="14" spans="1:6" ht="32.25" customHeight="1" x14ac:dyDescent="0.2">
      <c r="A14" s="108" t="s">
        <v>150</v>
      </c>
      <c r="B14" s="107" t="s">
        <v>1</v>
      </c>
      <c r="C14" s="197"/>
      <c r="D14" s="200"/>
    </row>
    <row r="15" spans="1:6" ht="50.25" customHeight="1" x14ac:dyDescent="0.2">
      <c r="A15" s="6" t="s">
        <v>185</v>
      </c>
      <c r="B15" s="109">
        <v>1</v>
      </c>
      <c r="C15" s="8" t="s">
        <v>331</v>
      </c>
      <c r="D15" s="8">
        <f>IF(B7="такні",1,VLOOKUP(B15,Kactsres,2,0))</f>
        <v>1</v>
      </c>
    </row>
    <row r="16" spans="1:6" ht="32.25" customHeight="1" x14ac:dyDescent="0.2">
      <c r="A16" s="111" t="s">
        <v>186</v>
      </c>
      <c r="B16" s="109" t="s">
        <v>1</v>
      </c>
      <c r="C16" s="71"/>
      <c r="D16" s="71"/>
    </row>
    <row r="17" spans="1:5" ht="41.25" customHeight="1" x14ac:dyDescent="0.2">
      <c r="A17" s="112" t="s">
        <v>174</v>
      </c>
      <c r="B17" s="113">
        <f>IF(AND(B15&gt;0,B18&lt;=B15),B18/B15,0)</f>
        <v>0</v>
      </c>
      <c r="C17" s="140" t="s">
        <v>332</v>
      </c>
      <c r="D17" s="143">
        <f>IF(B15=0,IF(B16="так",1.4,1),IF(B17&gt;=50%,1.4,IF(B17&gt;=30%,1.3,IF(B17&gt;=20%,1.2,IF(B17&gt;=10%,1.1,1)))))</f>
        <v>1</v>
      </c>
    </row>
    <row r="18" spans="1:5" ht="35.25" customHeight="1" x14ac:dyDescent="0.2">
      <c r="A18" s="114" t="s">
        <v>183</v>
      </c>
      <c r="B18" s="107">
        <v>0</v>
      </c>
      <c r="C18" s="141"/>
      <c r="D18" s="141"/>
    </row>
    <row r="19" spans="1:5" ht="39" customHeight="1" x14ac:dyDescent="0.2">
      <c r="A19" s="120" t="s">
        <v>340</v>
      </c>
      <c r="B19" s="144"/>
      <c r="C19" s="207" t="s">
        <v>338</v>
      </c>
      <c r="D19" s="198">
        <f>IF(B7="такні",1,IF(MAX(E20:E21)&gt;1,MAX(E20:E21),1))</f>
        <v>1</v>
      </c>
    </row>
    <row r="20" spans="1:5" ht="18.75" customHeight="1" x14ac:dyDescent="0.2">
      <c r="A20" s="121" t="s">
        <v>176</v>
      </c>
      <c r="B20" s="15" t="s">
        <v>1</v>
      </c>
      <c r="C20" s="207"/>
      <c r="D20" s="199"/>
      <c r="E20" s="122">
        <f>IF(B20="так",1.25,1)</f>
        <v>1</v>
      </c>
    </row>
    <row r="21" spans="1:5" ht="18.75" customHeight="1" x14ac:dyDescent="0.2">
      <c r="A21" s="123" t="s">
        <v>177</v>
      </c>
      <c r="B21" s="107" t="s">
        <v>1</v>
      </c>
      <c r="C21" s="210"/>
      <c r="D21" s="200"/>
      <c r="E21" s="122">
        <f>IF(B21="так",1.5,1)</f>
        <v>1</v>
      </c>
    </row>
    <row r="22" spans="1:5" ht="33.75" customHeight="1" x14ac:dyDescent="0.2">
      <c r="A22" s="6" t="s">
        <v>335</v>
      </c>
      <c r="B22" s="124">
        <v>3328</v>
      </c>
      <c r="C22" s="8" t="s">
        <v>334</v>
      </c>
      <c r="D22" s="9">
        <f>ROUND(B22*0.05,3)</f>
        <v>166.4</v>
      </c>
    </row>
    <row r="23" spans="1:5" ht="33" customHeight="1" x14ac:dyDescent="0.2">
      <c r="A23" s="126" t="s">
        <v>336</v>
      </c>
      <c r="B23" s="26" t="s">
        <v>139</v>
      </c>
      <c r="C23" s="45" t="s">
        <v>235</v>
      </c>
      <c r="D23" s="71">
        <f>VLOOKUP(B23,Kzvit,2,0)</f>
        <v>1</v>
      </c>
    </row>
    <row r="24" spans="1:5" x14ac:dyDescent="0.2">
      <c r="D24" s="127"/>
    </row>
    <row r="25" spans="1:5" ht="15" customHeight="1" x14ac:dyDescent="0.2">
      <c r="A25" s="196" t="str">
        <f>A3</f>
        <v>Р = (2 х Квиїздів + 2 х Кос. кат x Кдій х Коск х Кприп) х Огод х Кос. час х Кзвіт = (2 x 1 + 2 x 1 x 1 x 1 x 1) x 166,4 x 1 x 1 =</v>
      </c>
      <c r="B25" s="196"/>
      <c r="C25" s="171">
        <f>C3</f>
        <v>665.6</v>
      </c>
      <c r="D25" s="171"/>
    </row>
    <row r="26" spans="1:5" ht="15" customHeight="1" x14ac:dyDescent="0.2">
      <c r="A26" s="196"/>
      <c r="B26" s="196"/>
      <c r="C26" s="171"/>
      <c r="D26" s="171"/>
    </row>
  </sheetData>
  <sheetProtection algorithmName="SHA-512" hashValue="bcG3G/NVOlk0zmcHlmaSWnTXXTUs2EKm96GeRHB/QwphBRZUf7YuP+0pvKKPs0hggIWgKEVW4XHN+45AHERLdg==" saltValue="DLu1nipJII6OgwjIyX44LA==" spinCount="100000" sheet="1" objects="1" scenarios="1"/>
  <mergeCells count="11">
    <mergeCell ref="A25:B26"/>
    <mergeCell ref="C25:D26"/>
    <mergeCell ref="C10:C14"/>
    <mergeCell ref="D10:D14"/>
    <mergeCell ref="C19:C21"/>
    <mergeCell ref="D19:D21"/>
    <mergeCell ref="A1:D1"/>
    <mergeCell ref="A3:B4"/>
    <mergeCell ref="C3:D4"/>
    <mergeCell ref="C7:C9"/>
    <mergeCell ref="D7:D9"/>
  </mergeCells>
  <dataValidations count="4">
    <dataValidation type="list" allowBlank="1" showInputMessage="1" showErrorMessage="1" sqref="B23" xr:uid="{EA0D663B-B901-3B41-98BA-6903FE450504}">
      <formula1>Zvit</formula1>
    </dataValidation>
    <dataValidation type="list" allowBlank="1" showInputMessage="1" showErrorMessage="1" sqref="B18 B15 B6" xr:uid="{5D4C1608-1D1B-9B47-B4A4-26E216A16D7F}">
      <formula1>Krouts</formula1>
    </dataValidation>
    <dataValidation type="list" allowBlank="1" showInputMessage="1" showErrorMessage="1" sqref="B16 B11:B14 B8:B9 B20:B21" xr:uid="{FBD1CFF1-5973-1B45-A446-04D576ED3BD0}">
      <formula1>ТакНі</formula1>
    </dataValidation>
    <dataValidation type="list" allowBlank="1" showInputMessage="1" showErrorMessage="1" sqref="B22" xr:uid="{B6F13F2D-38D4-364B-8959-7972EEF124C7}">
      <formula1>ЗП</formula1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E2DB-4F91-FE45-B1C2-2BA6F4F0C701}">
  <sheetPr>
    <tabColor theme="5" tint="-0.249977111117893"/>
  </sheetPr>
  <dimension ref="A1:F24"/>
  <sheetViews>
    <sheetView showGridLines="0" zoomScaleNormal="10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96" customWidth="1"/>
    <col min="2" max="2" width="11.6640625" style="96" bestFit="1" customWidth="1"/>
    <col min="3" max="3" width="9.1640625" style="96" bestFit="1" customWidth="1"/>
    <col min="4" max="4" width="7.33203125" style="96" bestFit="1" customWidth="1"/>
    <col min="5" max="5" width="11.33203125" style="96" customWidth="1"/>
    <col min="6" max="6" width="23.83203125" style="96" customWidth="1"/>
    <col min="7" max="16384" width="11.33203125" style="96"/>
  </cols>
  <sheetData>
    <row r="1" spans="1:6" ht="45.75" customHeight="1" x14ac:dyDescent="0.2">
      <c r="A1" s="201" t="s">
        <v>198</v>
      </c>
      <c r="B1" s="202"/>
      <c r="C1" s="202"/>
      <c r="D1" s="203"/>
      <c r="F1" s="128" t="s">
        <v>245</v>
      </c>
    </row>
    <row r="2" spans="1:6" x14ac:dyDescent="0.2">
      <c r="A2" s="97"/>
      <c r="B2" s="98"/>
      <c r="C2" s="98"/>
      <c r="D2" s="98"/>
      <c r="F2" s="3"/>
    </row>
    <row r="3" spans="1:6" ht="16.5" customHeight="1" x14ac:dyDescent="0.2">
      <c r="A3" s="204" t="str">
        <f>TEXT( "Р = 2,5 х Кзас x Кос. кат х Кприп х Огод х Крез х Кзвіт = 2,5 x "&amp;$D$6&amp;" x "&amp;$D$10&amp;" x "&amp;$D$7&amp;" x "&amp;$D$20&amp;" x "&amp;$D$15&amp;" x "&amp;$D$21&amp;" =",0)</f>
        <v>Р = 2,5 х Кзас x Кос. кат х Кприп х Огод х Крез х Кзвіт = 2,5 x 1 x 1 x 1 x 166,4 x 10 x 1 =</v>
      </c>
      <c r="B3" s="196"/>
      <c r="C3" s="171">
        <f>(2.5*$D$6*$D$10*$D$7)*$D$20*$D$15*$D$21</f>
        <v>4160</v>
      </c>
      <c r="D3" s="205"/>
    </row>
    <row r="4" spans="1:6" ht="15" customHeight="1" x14ac:dyDescent="0.2">
      <c r="A4" s="204"/>
      <c r="B4" s="196"/>
      <c r="C4" s="171"/>
      <c r="D4" s="205"/>
    </row>
    <row r="5" spans="1:6" x14ac:dyDescent="0.2">
      <c r="A5" s="99"/>
      <c r="B5" s="98"/>
      <c r="C5" s="98"/>
      <c r="D5" s="98"/>
    </row>
    <row r="6" spans="1:6" ht="32.25" customHeight="1" x14ac:dyDescent="0.2">
      <c r="A6" s="100" t="s">
        <v>187</v>
      </c>
      <c r="B6" s="101">
        <v>1</v>
      </c>
      <c r="C6" s="102" t="s">
        <v>188</v>
      </c>
      <c r="D6" s="102">
        <f>IF(B7="такні",1,B6)</f>
        <v>1</v>
      </c>
    </row>
    <row r="7" spans="1:6" ht="20.25" customHeight="1" x14ac:dyDescent="0.2">
      <c r="A7" s="103" t="s">
        <v>182</v>
      </c>
      <c r="B7" s="104" t="str">
        <f>B8&amp;B9</f>
        <v>ніні</v>
      </c>
      <c r="C7" s="211" t="s">
        <v>178</v>
      </c>
      <c r="D7" s="211">
        <f>VLOOKUP(B7,Кприп,2,0)</f>
        <v>1</v>
      </c>
    </row>
    <row r="8" spans="1:6" ht="66.75" customHeight="1" x14ac:dyDescent="0.2">
      <c r="A8" s="105" t="s">
        <v>156</v>
      </c>
      <c r="B8" s="15" t="s">
        <v>1</v>
      </c>
      <c r="C8" s="212"/>
      <c r="D8" s="212"/>
    </row>
    <row r="9" spans="1:6" ht="32.25" customHeight="1" x14ac:dyDescent="0.2">
      <c r="A9" s="106" t="s">
        <v>157</v>
      </c>
      <c r="B9" s="107" t="s">
        <v>1</v>
      </c>
      <c r="C9" s="213"/>
      <c r="D9" s="213"/>
    </row>
    <row r="10" spans="1:6" ht="21.75" customHeight="1" x14ac:dyDescent="0.2">
      <c r="A10" s="83" t="s">
        <v>173</v>
      </c>
      <c r="B10" s="104" t="str">
        <f>B11&amp;B12&amp;B13&amp;B14</f>
        <v>нінініні</v>
      </c>
      <c r="C10" s="189" t="s">
        <v>179</v>
      </c>
      <c r="D10" s="211">
        <f>IF(B7="такні",1,VLOOKUP(B10,Kspcat,2,0))</f>
        <v>1</v>
      </c>
    </row>
    <row r="11" spans="1:6" ht="18.75" customHeight="1" x14ac:dyDescent="0.2">
      <c r="A11" s="105" t="s">
        <v>151</v>
      </c>
      <c r="B11" s="15" t="s">
        <v>1</v>
      </c>
      <c r="C11" s="189"/>
      <c r="D11" s="212"/>
    </row>
    <row r="12" spans="1:6" ht="32.25" customHeight="1" x14ac:dyDescent="0.2">
      <c r="A12" s="105" t="s">
        <v>152</v>
      </c>
      <c r="B12" s="15" t="s">
        <v>1</v>
      </c>
      <c r="C12" s="189"/>
      <c r="D12" s="212"/>
    </row>
    <row r="13" spans="1:6" ht="18.75" customHeight="1" x14ac:dyDescent="0.2">
      <c r="A13" s="105" t="s">
        <v>153</v>
      </c>
      <c r="B13" s="15" t="s">
        <v>1</v>
      </c>
      <c r="C13" s="189"/>
      <c r="D13" s="212"/>
    </row>
    <row r="14" spans="1:6" ht="32.25" customHeight="1" x14ac:dyDescent="0.2">
      <c r="A14" s="108" t="s">
        <v>150</v>
      </c>
      <c r="B14" s="107" t="s">
        <v>1</v>
      </c>
      <c r="C14" s="189"/>
      <c r="D14" s="213"/>
    </row>
    <row r="15" spans="1:6" x14ac:dyDescent="0.2">
      <c r="A15" s="115" t="s">
        <v>394</v>
      </c>
      <c r="B15" s="104" t="str">
        <f>B16&amp;B18</f>
        <v>вд</v>
      </c>
      <c r="C15" s="214" t="s">
        <v>192</v>
      </c>
      <c r="D15" s="216">
        <f>VLOOKUP(B15,MedRes,2,0)</f>
        <v>10</v>
      </c>
    </row>
    <row r="16" spans="1:6" ht="23.25" customHeight="1" x14ac:dyDescent="0.2">
      <c r="A16" s="129" t="s">
        <v>191</v>
      </c>
      <c r="B16" s="130" t="str">
        <f>VLOOKUP(A17,ZMH1_res,2,0)</f>
        <v>в</v>
      </c>
      <c r="C16" s="215"/>
      <c r="D16" s="216"/>
    </row>
    <row r="17" spans="1:4" ht="22.5" customHeight="1" x14ac:dyDescent="0.2">
      <c r="A17" s="131" t="s">
        <v>47</v>
      </c>
      <c r="B17" s="62"/>
      <c r="C17" s="215"/>
      <c r="D17" s="216"/>
    </row>
    <row r="18" spans="1:4" ht="26.25" customHeight="1" x14ac:dyDescent="0.2">
      <c r="A18" s="132" t="s">
        <v>190</v>
      </c>
      <c r="B18" s="130" t="str">
        <f>VLOOKUP(A19,ZMHres,2,0)</f>
        <v>д</v>
      </c>
      <c r="C18" s="215"/>
      <c r="D18" s="216"/>
    </row>
    <row r="19" spans="1:4" ht="19.5" customHeight="1" x14ac:dyDescent="0.2">
      <c r="A19" s="131" t="s">
        <v>49</v>
      </c>
      <c r="B19" s="64"/>
      <c r="C19" s="215"/>
      <c r="D19" s="216"/>
    </row>
    <row r="20" spans="1:4" ht="33.75" customHeight="1" x14ac:dyDescent="0.2">
      <c r="A20" s="6" t="s">
        <v>395</v>
      </c>
      <c r="B20" s="124">
        <v>3328</v>
      </c>
      <c r="C20" s="110" t="s">
        <v>180</v>
      </c>
      <c r="D20" s="125">
        <f>ROUND(B20*0.05,3)</f>
        <v>166.4</v>
      </c>
    </row>
    <row r="21" spans="1:4" ht="33" customHeight="1" x14ac:dyDescent="0.2">
      <c r="A21" s="126" t="s">
        <v>307</v>
      </c>
      <c r="B21" s="26" t="s">
        <v>139</v>
      </c>
      <c r="C21" s="18" t="s">
        <v>181</v>
      </c>
      <c r="D21" s="102">
        <f>VLOOKUP(B21,Kzvit,2,0)</f>
        <v>1</v>
      </c>
    </row>
    <row r="22" spans="1:4" x14ac:dyDescent="0.2">
      <c r="D22" s="127"/>
    </row>
    <row r="23" spans="1:4" ht="15" customHeight="1" x14ac:dyDescent="0.2">
      <c r="A23" s="196" t="str">
        <f>A3</f>
        <v>Р = 2,5 х Кзас x Кос. кат х Кприп х Огод х Крез х Кзвіт = 2,5 x 1 x 1 x 1 x 166,4 x 10 x 1 =</v>
      </c>
      <c r="B23" s="196"/>
      <c r="C23" s="171">
        <f>C3</f>
        <v>4160</v>
      </c>
      <c r="D23" s="171"/>
    </row>
    <row r="24" spans="1:4" ht="15" customHeight="1" x14ac:dyDescent="0.2">
      <c r="A24" s="196"/>
      <c r="B24" s="196"/>
      <c r="C24" s="171"/>
      <c r="D24" s="171"/>
    </row>
  </sheetData>
  <sheetProtection algorithmName="SHA-512" hashValue="691Uuj7LmAW2pPCCXR+fUctLXTr/RtMdrqoyIdU5npjeLqs1ztevgl4vKuxmX1IKZt6XNilViobtGOuFWdztdg==" saltValue="wHYrxM6oYREFrKlu/OJXQg==" spinCount="100000" sheet="1" objects="1" scenarios="1"/>
  <mergeCells count="11">
    <mergeCell ref="A1:D1"/>
    <mergeCell ref="A3:B4"/>
    <mergeCell ref="C3:D4"/>
    <mergeCell ref="C7:C9"/>
    <mergeCell ref="D7:D9"/>
    <mergeCell ref="A23:B24"/>
    <mergeCell ref="C23:D24"/>
    <mergeCell ref="C10:C14"/>
    <mergeCell ref="D10:D14"/>
    <mergeCell ref="C15:C19"/>
    <mergeCell ref="D15:D19"/>
  </mergeCells>
  <dataValidations disablePrompts="1" count="6">
    <dataValidation type="list" allowBlank="1" showInputMessage="1" showErrorMessage="1" sqref="A19" xr:uid="{321AC219-EF90-4C45-8991-DB7283D1526F}">
      <formula1>ZMH</formula1>
    </dataValidation>
    <dataValidation type="list" allowBlank="1" showInputMessage="1" showErrorMessage="1" sqref="B21" xr:uid="{43DD6697-F5EA-6940-B12E-0B72D81BE62F}">
      <formula1>Zvit</formula1>
    </dataValidation>
    <dataValidation type="list" allowBlank="1" showInputMessage="1" showErrorMessage="1" sqref="B6" xr:uid="{80C8EDBF-9306-F64C-872A-3D31425B7E02}">
      <formula1>Krouts</formula1>
    </dataValidation>
    <dataValidation type="list" allowBlank="1" showInputMessage="1" showErrorMessage="1" sqref="B11:B14 B8:B9" xr:uid="{4A2D91E8-7A35-1E42-ADF7-AEB98680B2F6}">
      <formula1>ТакНі</formula1>
    </dataValidation>
    <dataValidation type="list" allowBlank="1" showInputMessage="1" showErrorMessage="1" sqref="B20" xr:uid="{B5582621-39BA-1144-9006-22DD43334F3B}">
      <formula1>ЗП</formula1>
    </dataValidation>
    <dataValidation type="list" allowBlank="1" showInputMessage="1" showErrorMessage="1" sqref="A17" xr:uid="{9BE8731F-01DE-C042-8209-C5E3C4686D69}">
      <formula1>ZMH1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32DC-2947-B148-8AD5-0431B203BAD8}">
  <sheetPr>
    <tabColor theme="8" tint="-0.499984740745262"/>
  </sheetPr>
  <dimension ref="A1:T293"/>
  <sheetViews>
    <sheetView showGridLines="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3" customWidth="1"/>
    <col min="2" max="2" width="11.33203125" style="3" customWidth="1"/>
    <col min="3" max="3" width="16.33203125" style="3" customWidth="1"/>
    <col min="4" max="4" width="7.1640625" style="4" customWidth="1"/>
    <col min="5" max="6" width="11.33203125" style="2" customWidth="1"/>
    <col min="7" max="7" width="13" style="2" customWidth="1"/>
    <col min="8" max="9" width="12.33203125" style="2" customWidth="1"/>
    <col min="10" max="16384" width="11.33203125" style="2"/>
  </cols>
  <sheetData>
    <row r="1" spans="1:10" ht="36" customHeight="1" x14ac:dyDescent="0.2">
      <c r="A1" s="173" t="s">
        <v>193</v>
      </c>
      <c r="B1" s="173"/>
      <c r="C1" s="173"/>
      <c r="D1" s="217"/>
      <c r="E1" s="1"/>
      <c r="F1" s="218" t="s">
        <v>245</v>
      </c>
      <c r="G1" s="218"/>
      <c r="H1" s="219" t="s">
        <v>252</v>
      </c>
      <c r="I1" s="219"/>
      <c r="J1" s="1"/>
    </row>
    <row r="2" spans="1:10" x14ac:dyDescent="0.2">
      <c r="E2" s="1"/>
      <c r="F2" s="1"/>
      <c r="G2" s="1"/>
      <c r="H2" s="1"/>
      <c r="I2" s="1"/>
      <c r="J2" s="1"/>
    </row>
    <row r="3" spans="1:10" ht="31.5" customHeight="1" x14ac:dyDescent="0.2">
      <c r="A3" s="220" t="str">
        <f>TEXT( "Рк = 20 х Огод х Ксп х Кскл х Кос х Крез х Кзвіт = 20 x "&amp;D5&amp;" x "&amp;D6&amp;" x "&amp;D17&amp;" x "&amp;D37&amp;" x "&amp;D39&amp;" х "&amp;D59&amp;" = ",0)</f>
        <v xml:space="preserve">Рк = 20 х Огод х Ксп х Кскл х Кос х Крез х Кзвіт = 20 x 166,4 x 0,33 x 1 x 1 x 1 х 1 = </v>
      </c>
      <c r="B3" s="221"/>
      <c r="C3" s="171">
        <f>20*D5*D6*D17*D37*D39*D59</f>
        <v>1098.24</v>
      </c>
      <c r="D3" s="171"/>
      <c r="E3" s="1"/>
      <c r="F3" s="1"/>
      <c r="G3" s="1"/>
      <c r="H3" s="1"/>
      <c r="I3" s="1"/>
      <c r="J3" s="1"/>
    </row>
    <row r="4" spans="1:10" ht="12.75" customHeight="1" x14ac:dyDescent="0.2">
      <c r="D4" s="5"/>
      <c r="E4" s="1"/>
      <c r="F4" s="1"/>
      <c r="G4" s="1"/>
      <c r="H4" s="1"/>
      <c r="I4" s="1"/>
      <c r="J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9">
        <f>ROUND(B5*0.05,3)</f>
        <v>166.4</v>
      </c>
      <c r="E5" s="1"/>
      <c r="F5" s="1"/>
      <c r="G5" s="1"/>
      <c r="H5" s="1"/>
      <c r="I5" s="1"/>
      <c r="J5" s="1"/>
    </row>
    <row r="6" spans="1:10" ht="24" customHeight="1" x14ac:dyDescent="0.2">
      <c r="A6" s="10" t="s">
        <v>195</v>
      </c>
      <c r="B6" s="11"/>
      <c r="C6" s="12" t="s">
        <v>201</v>
      </c>
      <c r="D6" s="13">
        <f>IF(B7="так",0.2,D8+D11)</f>
        <v>0.33</v>
      </c>
      <c r="E6" s="1"/>
      <c r="F6" s="1"/>
      <c r="G6" s="1"/>
      <c r="H6" s="1"/>
      <c r="I6" s="1"/>
      <c r="J6" s="1"/>
    </row>
    <row r="7" spans="1:10" ht="47.25" customHeight="1" x14ac:dyDescent="0.2">
      <c r="A7" s="14" t="s">
        <v>279</v>
      </c>
      <c r="B7" s="15" t="s">
        <v>1</v>
      </c>
      <c r="C7" s="12"/>
      <c r="D7" s="13"/>
      <c r="E7" s="1"/>
      <c r="F7" s="1"/>
      <c r="G7" s="1"/>
      <c r="H7" s="1"/>
      <c r="I7" s="1"/>
      <c r="J7" s="1"/>
    </row>
    <row r="8" spans="1:10" ht="20.25" customHeight="1" x14ac:dyDescent="0.2">
      <c r="A8" s="16" t="s">
        <v>196</v>
      </c>
      <c r="B8" s="17"/>
      <c r="C8" s="18" t="s">
        <v>202</v>
      </c>
      <c r="D8" s="18">
        <f>VLOOKUP(B9&amp;B10,KStPrPreTrial_res,2,0)</f>
        <v>0.33</v>
      </c>
      <c r="E8" s="1"/>
      <c r="F8" s="1"/>
      <c r="G8" s="1"/>
      <c r="H8" s="1"/>
      <c r="I8" s="1"/>
      <c r="J8" s="1"/>
    </row>
    <row r="9" spans="1:10" x14ac:dyDescent="0.2">
      <c r="A9" s="19" t="s">
        <v>80</v>
      </c>
      <c r="B9" s="15" t="s">
        <v>1</v>
      </c>
      <c r="C9" s="20"/>
      <c r="D9" s="21"/>
      <c r="E9" s="1"/>
      <c r="F9" s="1"/>
      <c r="G9" s="1"/>
      <c r="H9" s="1"/>
      <c r="I9" s="1"/>
      <c r="J9" s="1"/>
    </row>
    <row r="10" spans="1:10" x14ac:dyDescent="0.2">
      <c r="A10" s="19" t="s">
        <v>236</v>
      </c>
      <c r="B10" s="15" t="s">
        <v>1</v>
      </c>
      <c r="C10" s="20"/>
      <c r="D10" s="21"/>
      <c r="E10" s="1"/>
      <c r="F10" s="1"/>
      <c r="G10" s="1"/>
      <c r="H10" s="1"/>
      <c r="I10" s="1"/>
      <c r="J10" s="1"/>
    </row>
    <row r="11" spans="1:10" ht="20.25" customHeight="1" x14ac:dyDescent="0.2">
      <c r="A11" s="16" t="s">
        <v>197</v>
      </c>
      <c r="B11" s="17"/>
      <c r="C11" s="18" t="s">
        <v>203</v>
      </c>
      <c r="D11" s="18">
        <f>IF(B12="не застосовувалось",0,B13*0.05+B14*0.125+B15*0.175+B16*0.25)</f>
        <v>0</v>
      </c>
      <c r="E11" s="1"/>
      <c r="F11" s="1"/>
      <c r="G11" s="1"/>
      <c r="H11" s="1"/>
      <c r="I11" s="1"/>
      <c r="J11" s="1"/>
    </row>
    <row r="12" spans="1:10" ht="33" customHeight="1" x14ac:dyDescent="0.2">
      <c r="A12" s="47" t="s">
        <v>393</v>
      </c>
      <c r="B12" s="222" t="s">
        <v>87</v>
      </c>
      <c r="C12" s="222"/>
      <c r="D12" s="222"/>
      <c r="E12" s="1"/>
      <c r="F12" s="1"/>
      <c r="G12" s="1"/>
      <c r="H12" s="1"/>
      <c r="I12" s="1"/>
      <c r="J12" s="1"/>
    </row>
    <row r="13" spans="1:10" ht="15" customHeight="1" x14ac:dyDescent="0.2">
      <c r="A13" s="133" t="s">
        <v>389</v>
      </c>
      <c r="B13" s="43">
        <v>0</v>
      </c>
      <c r="C13" s="134"/>
      <c r="D13" s="21"/>
      <c r="E13" s="1"/>
      <c r="F13" s="1"/>
      <c r="G13" s="1"/>
      <c r="H13" s="1"/>
      <c r="I13" s="1"/>
      <c r="J13" s="1"/>
    </row>
    <row r="14" spans="1:10" x14ac:dyDescent="0.2">
      <c r="A14" s="133" t="s">
        <v>390</v>
      </c>
      <c r="B14" s="43">
        <v>0</v>
      </c>
      <c r="C14" s="134"/>
      <c r="D14" s="21"/>
      <c r="E14" s="1"/>
      <c r="F14" s="1"/>
      <c r="G14" s="1"/>
      <c r="H14" s="1"/>
      <c r="I14" s="1"/>
      <c r="J14" s="1"/>
    </row>
    <row r="15" spans="1:10" x14ac:dyDescent="0.2">
      <c r="A15" s="133" t="s">
        <v>391</v>
      </c>
      <c r="B15" s="43">
        <v>0</v>
      </c>
      <c r="C15" s="134"/>
      <c r="D15" s="21"/>
      <c r="E15" s="1"/>
      <c r="F15" s="1"/>
      <c r="G15" s="1"/>
      <c r="H15" s="1"/>
      <c r="I15" s="1"/>
      <c r="J15" s="1"/>
    </row>
    <row r="16" spans="1:10" x14ac:dyDescent="0.2">
      <c r="A16" s="133" t="s">
        <v>392</v>
      </c>
      <c r="B16" s="43">
        <v>0</v>
      </c>
      <c r="C16" s="134"/>
      <c r="D16" s="21"/>
      <c r="E16" s="1"/>
      <c r="F16" s="1"/>
      <c r="G16" s="1"/>
      <c r="H16" s="1"/>
      <c r="I16" s="1"/>
      <c r="J16" s="1"/>
    </row>
    <row r="17" spans="1:20" ht="24.75" customHeight="1" x14ac:dyDescent="0.2">
      <c r="A17" s="11" t="s">
        <v>207</v>
      </c>
      <c r="B17" s="28"/>
      <c r="C17" s="13" t="s">
        <v>206</v>
      </c>
      <c r="D17" s="29">
        <f>IF(B7="так",1,D18*D27*D29*D31)</f>
        <v>1</v>
      </c>
      <c r="E17" s="1"/>
      <c r="F17" s="1"/>
      <c r="G17" s="1"/>
      <c r="H17" s="1"/>
      <c r="I17" s="1"/>
      <c r="J17" s="1"/>
    </row>
    <row r="18" spans="1:20" ht="37.5" customHeight="1" x14ac:dyDescent="0.2">
      <c r="A18" s="25" t="s">
        <v>362</v>
      </c>
      <c r="B18" s="25"/>
      <c r="C18" s="18" t="s">
        <v>204</v>
      </c>
      <c r="D18" s="31">
        <f>D19+D21</f>
        <v>1</v>
      </c>
      <c r="E18" s="1"/>
      <c r="F18" s="1"/>
      <c r="G18" s="1"/>
      <c r="H18" s="1"/>
      <c r="I18" s="1"/>
      <c r="J18" s="1"/>
    </row>
    <row r="19" spans="1:20" ht="35.25" customHeight="1" x14ac:dyDescent="0.2">
      <c r="A19" s="25" t="s">
        <v>363</v>
      </c>
      <c r="B19" s="25"/>
      <c r="C19" s="32" t="s">
        <v>208</v>
      </c>
      <c r="D19" s="32">
        <f>VLOOKUP(B20,PreTrialGravity_res,2,0)</f>
        <v>1</v>
      </c>
      <c r="E19" s="1"/>
      <c r="F19" s="1"/>
      <c r="G19" s="1"/>
      <c r="H19" s="1"/>
      <c r="I19" s="1"/>
      <c r="J19" s="1"/>
    </row>
    <row r="20" spans="1:20" x14ac:dyDescent="0.2">
      <c r="A20" s="19" t="s">
        <v>205</v>
      </c>
      <c r="B20" s="222" t="s">
        <v>364</v>
      </c>
      <c r="C20" s="222"/>
      <c r="D20" s="222"/>
      <c r="E20" s="1"/>
      <c r="F20" s="1"/>
      <c r="G20" s="1"/>
      <c r="H20" s="1"/>
      <c r="I20" s="30"/>
      <c r="J20" s="1"/>
    </row>
    <row r="21" spans="1:20" ht="48" customHeight="1" x14ac:dyDescent="0.2">
      <c r="A21" s="16" t="s">
        <v>361</v>
      </c>
      <c r="B21" s="17"/>
      <c r="C21" s="33" t="s">
        <v>209</v>
      </c>
      <c r="D21" s="34">
        <f>SUM(H22:H26)</f>
        <v>0</v>
      </c>
      <c r="E21" s="1"/>
      <c r="F21" s="1"/>
      <c r="G21" s="1"/>
      <c r="H21" s="1"/>
      <c r="I21" s="1"/>
      <c r="J21" s="1"/>
    </row>
    <row r="22" spans="1:20" x14ac:dyDescent="0.2">
      <c r="A22" s="135" t="s">
        <v>364</v>
      </c>
      <c r="B22" s="43">
        <v>0</v>
      </c>
      <c r="C22" s="136"/>
      <c r="D22" s="137"/>
      <c r="E22" s="1">
        <f>VLOOKUP(SUM(B22:B26),NumEpisodesCrim_res,2,0)</f>
        <v>0</v>
      </c>
      <c r="F22" s="1">
        <f>E22-E23</f>
        <v>0</v>
      </c>
      <c r="G22" s="1">
        <v>1</v>
      </c>
      <c r="H22" s="1">
        <f>G22*F22</f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x14ac:dyDescent="0.2">
      <c r="A23" s="135" t="s">
        <v>365</v>
      </c>
      <c r="B23" s="43">
        <v>0</v>
      </c>
      <c r="C23" s="136"/>
      <c r="D23" s="137"/>
      <c r="E23" s="1">
        <f>VLOOKUP(SUM(B23:B26),NumEpisodesCrim_res,2,0)</f>
        <v>0</v>
      </c>
      <c r="F23" s="1">
        <f>E23-E24</f>
        <v>0</v>
      </c>
      <c r="G23" s="1">
        <v>1.5</v>
      </c>
      <c r="H23" s="1">
        <f>G23*F23</f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x14ac:dyDescent="0.2">
      <c r="A24" s="135" t="s">
        <v>366</v>
      </c>
      <c r="B24" s="43">
        <v>0</v>
      </c>
      <c r="C24" s="136"/>
      <c r="D24" s="137"/>
      <c r="E24" s="1">
        <f>VLOOKUP(SUM(B24:B26),NumEpisodesCrim_res,2,0)</f>
        <v>0</v>
      </c>
      <c r="F24" s="1">
        <f>E24-E25</f>
        <v>0</v>
      </c>
      <c r="G24" s="1">
        <v>2</v>
      </c>
      <c r="H24" s="1">
        <f>G24*F24</f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x14ac:dyDescent="0.2">
      <c r="A25" s="135" t="s">
        <v>367</v>
      </c>
      <c r="B25" s="43">
        <v>0</v>
      </c>
      <c r="C25" s="136"/>
      <c r="D25" s="137"/>
      <c r="E25" s="1">
        <f>VLOOKUP(SUM(B25:B26),NumEpisodesCrim_res,2,0)</f>
        <v>0</v>
      </c>
      <c r="F25" s="1">
        <f>E25-E26</f>
        <v>0</v>
      </c>
      <c r="G25" s="1">
        <v>3</v>
      </c>
      <c r="H25" s="1">
        <f>G25*F25</f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x14ac:dyDescent="0.2">
      <c r="A26" s="135" t="s">
        <v>368</v>
      </c>
      <c r="B26" s="43">
        <v>0</v>
      </c>
      <c r="C26" s="136"/>
      <c r="D26" s="137"/>
      <c r="E26" s="1">
        <f>VLOOKUP(B26,NumEpisodesCrim_res,2,0)</f>
        <v>0</v>
      </c>
      <c r="F26" s="1">
        <f>E26</f>
        <v>0</v>
      </c>
      <c r="G26" s="1">
        <v>5</v>
      </c>
      <c r="H26" s="1">
        <f>G26*F26</f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ht="36" customHeight="1" x14ac:dyDescent="0.2">
      <c r="A27" s="16" t="s">
        <v>211</v>
      </c>
      <c r="B27" s="16"/>
      <c r="C27" s="41" t="s">
        <v>210</v>
      </c>
      <c r="D27" s="41">
        <f>VLOOKUP(B28,NumPartnersCrim_res,2,0)</f>
        <v>1</v>
      </c>
      <c r="E27" s="1"/>
      <c r="F27" s="1"/>
      <c r="G27" s="1"/>
      <c r="H27" s="1"/>
      <c r="I27" s="1"/>
      <c r="J27" s="1"/>
    </row>
    <row r="28" spans="1:20" x14ac:dyDescent="0.2">
      <c r="A28" s="19" t="s">
        <v>212</v>
      </c>
      <c r="B28" s="225">
        <v>1</v>
      </c>
      <c r="C28" s="226"/>
      <c r="D28" s="227"/>
      <c r="E28" s="1"/>
      <c r="F28" s="1"/>
      <c r="G28" s="1"/>
      <c r="H28" s="1"/>
      <c r="I28" s="1"/>
      <c r="J28" s="1"/>
    </row>
    <row r="29" spans="1:20" x14ac:dyDescent="0.2">
      <c r="A29" s="16" t="s">
        <v>213</v>
      </c>
      <c r="B29" s="25"/>
      <c r="C29" s="18" t="s">
        <v>214</v>
      </c>
      <c r="D29" s="18">
        <f>VLOOKUP(B30,PrevMeasure_res,2,0)</f>
        <v>1</v>
      </c>
      <c r="E29" s="1"/>
      <c r="F29" s="1"/>
      <c r="G29" s="1"/>
      <c r="H29" s="1"/>
      <c r="I29" s="1"/>
      <c r="J29" s="1"/>
    </row>
    <row r="30" spans="1:20" x14ac:dyDescent="0.2">
      <c r="A30" s="19" t="s">
        <v>237</v>
      </c>
      <c r="B30" s="225" t="s">
        <v>1</v>
      </c>
      <c r="C30" s="226"/>
      <c r="D30" s="227"/>
      <c r="E30" s="1"/>
      <c r="F30" s="1"/>
      <c r="G30" s="1"/>
      <c r="H30" s="1"/>
      <c r="I30" s="1"/>
      <c r="J30" s="1"/>
    </row>
    <row r="31" spans="1:20" ht="33.75" customHeight="1" x14ac:dyDescent="0.2">
      <c r="A31" s="16" t="s">
        <v>238</v>
      </c>
      <c r="B31" s="16"/>
      <c r="C31" s="228" t="s">
        <v>216</v>
      </c>
      <c r="D31" s="228">
        <f>IF(SUM(E32:E36)=1,1.1,IF(SUM(E32:E36)&gt;=2,1.2,1))</f>
        <v>1</v>
      </c>
      <c r="E31" s="1"/>
      <c r="F31" s="1"/>
      <c r="G31" s="1"/>
      <c r="H31" s="1"/>
      <c r="I31" s="1"/>
      <c r="J31" s="1"/>
    </row>
    <row r="32" spans="1:20" x14ac:dyDescent="0.2">
      <c r="A32" s="42" t="s">
        <v>217</v>
      </c>
      <c r="B32" s="43" t="s">
        <v>1</v>
      </c>
      <c r="C32" s="229"/>
      <c r="D32" s="229"/>
      <c r="E32" s="1">
        <f>IF(B32="так",1,0)</f>
        <v>0</v>
      </c>
      <c r="F32" s="1"/>
      <c r="G32" s="1"/>
      <c r="H32" s="1"/>
      <c r="I32" s="1"/>
      <c r="J32" s="1"/>
    </row>
    <row r="33" spans="1:10" ht="30" x14ac:dyDescent="0.2">
      <c r="A33" s="42" t="s">
        <v>38</v>
      </c>
      <c r="B33" s="43" t="s">
        <v>1</v>
      </c>
      <c r="C33" s="229"/>
      <c r="D33" s="229"/>
      <c r="E33" s="1">
        <f>IF(B33="так",1,0)</f>
        <v>0</v>
      </c>
      <c r="F33" s="1"/>
      <c r="G33" s="1"/>
      <c r="H33" s="1"/>
      <c r="I33" s="1"/>
      <c r="J33" s="1"/>
    </row>
    <row r="34" spans="1:10" x14ac:dyDescent="0.2">
      <c r="A34" s="42" t="s">
        <v>218</v>
      </c>
      <c r="B34" s="43" t="s">
        <v>1</v>
      </c>
      <c r="C34" s="229"/>
      <c r="D34" s="229"/>
      <c r="E34" s="1">
        <f>IF(B34="так",1,0)</f>
        <v>0</v>
      </c>
      <c r="F34" s="1"/>
      <c r="G34" s="1"/>
      <c r="H34" s="1"/>
      <c r="I34" s="1"/>
      <c r="J34" s="1"/>
    </row>
    <row r="35" spans="1:10" x14ac:dyDescent="0.2">
      <c r="A35" s="42" t="s">
        <v>39</v>
      </c>
      <c r="B35" s="43" t="s">
        <v>1</v>
      </c>
      <c r="C35" s="229"/>
      <c r="D35" s="229"/>
      <c r="E35" s="1">
        <f>IF(B35="так",1,0)</f>
        <v>0</v>
      </c>
      <c r="F35" s="1"/>
      <c r="G35" s="1"/>
      <c r="H35" s="1"/>
      <c r="I35" s="1"/>
      <c r="J35" s="1"/>
    </row>
    <row r="36" spans="1:10" ht="30" x14ac:dyDescent="0.2">
      <c r="A36" s="42" t="s">
        <v>422</v>
      </c>
      <c r="B36" s="43" t="s">
        <v>1</v>
      </c>
      <c r="C36" s="229"/>
      <c r="D36" s="229"/>
      <c r="E36" s="1">
        <f>IF(B36="так",1,0)</f>
        <v>0</v>
      </c>
      <c r="F36" s="1"/>
      <c r="G36" s="1"/>
      <c r="H36" s="1"/>
      <c r="I36" s="1"/>
      <c r="J36" s="1"/>
    </row>
    <row r="37" spans="1:10" ht="24.75" customHeight="1" x14ac:dyDescent="0.2">
      <c r="A37" s="44" t="s">
        <v>239</v>
      </c>
      <c r="B37" s="44"/>
      <c r="C37" s="45" t="s">
        <v>240</v>
      </c>
      <c r="D37" s="46">
        <f>IF(B7="так",1,(1+0.1*B38))</f>
        <v>1</v>
      </c>
      <c r="E37" s="1"/>
      <c r="F37" s="1"/>
      <c r="G37" s="1"/>
      <c r="H37" s="1"/>
      <c r="I37" s="1"/>
      <c r="J37" s="1"/>
    </row>
    <row r="38" spans="1:10" ht="75" x14ac:dyDescent="0.2">
      <c r="A38" s="47" t="s">
        <v>371</v>
      </c>
      <c r="B38" s="222">
        <v>0</v>
      </c>
      <c r="C38" s="222"/>
      <c r="D38" s="222"/>
      <c r="E38" s="1"/>
      <c r="F38" s="1"/>
      <c r="G38" s="1"/>
      <c r="H38" s="1"/>
      <c r="I38" s="1"/>
      <c r="J38" s="1"/>
    </row>
    <row r="39" spans="1:10" ht="35.25" customHeight="1" x14ac:dyDescent="0.2">
      <c r="A39" s="44" t="s">
        <v>242</v>
      </c>
      <c r="B39" s="44"/>
      <c r="C39" s="45" t="s">
        <v>241</v>
      </c>
      <c r="D39" s="46">
        <f>IF(B7="так",1,1+D40+D42+D44+D46+D48+D53)</f>
        <v>1</v>
      </c>
      <c r="E39" s="1"/>
      <c r="F39" s="1"/>
      <c r="G39" s="1"/>
      <c r="H39" s="1"/>
      <c r="I39" s="1"/>
      <c r="J39" s="1"/>
    </row>
    <row r="40" spans="1:10" ht="47.25" customHeight="1" x14ac:dyDescent="0.2">
      <c r="A40" s="20" t="s">
        <v>243</v>
      </c>
      <c r="B40" s="230"/>
      <c r="C40" s="231"/>
      <c r="D40" s="48">
        <f>VLOOKUP(A41,Krez1_rez,2,0)</f>
        <v>0</v>
      </c>
      <c r="E40" s="1"/>
      <c r="F40" s="1"/>
      <c r="G40" s="1"/>
      <c r="H40" s="232"/>
      <c r="I40" s="232"/>
      <c r="J40" s="1"/>
    </row>
    <row r="41" spans="1:10" x14ac:dyDescent="0.2">
      <c r="A41" s="233" t="s">
        <v>102</v>
      </c>
      <c r="B41" s="233"/>
      <c r="C41" s="233"/>
      <c r="D41" s="234"/>
      <c r="E41" s="1"/>
      <c r="F41" s="1"/>
      <c r="G41" s="1"/>
      <c r="H41" s="1"/>
      <c r="I41" s="1"/>
      <c r="J41" s="1"/>
    </row>
    <row r="42" spans="1:10" ht="34.5" customHeight="1" x14ac:dyDescent="0.2">
      <c r="A42" s="49" t="s">
        <v>244</v>
      </c>
      <c r="B42" s="50"/>
      <c r="C42" s="51"/>
      <c r="D42" s="32">
        <f>VLOOKUP(A43,Krez2_rez,2,0)</f>
        <v>0</v>
      </c>
      <c r="E42" s="1"/>
      <c r="F42" s="1"/>
      <c r="G42" s="1"/>
      <c r="H42" s="1"/>
      <c r="I42" s="1"/>
      <c r="J42" s="1"/>
    </row>
    <row r="43" spans="1:10" x14ac:dyDescent="0.2">
      <c r="A43" s="233" t="s">
        <v>102</v>
      </c>
      <c r="B43" s="233"/>
      <c r="C43" s="233"/>
      <c r="D43" s="234"/>
      <c r="E43" s="1"/>
      <c r="F43" s="1"/>
      <c r="G43" s="1"/>
      <c r="H43" s="1"/>
      <c r="I43" s="1"/>
      <c r="J43" s="1"/>
    </row>
    <row r="44" spans="1:10" ht="81" customHeight="1" x14ac:dyDescent="0.2">
      <c r="A44" s="16" t="s">
        <v>376</v>
      </c>
      <c r="B44" s="230"/>
      <c r="C44" s="231"/>
      <c r="D44" s="48">
        <f>IF(AND(D46=0,D48=0,D53=0),VLOOKUP(A45,Krez4_rez,2,0),0)</f>
        <v>0</v>
      </c>
      <c r="F44" s="30"/>
      <c r="G44" s="1"/>
      <c r="H44" s="235" t="s">
        <v>259</v>
      </c>
      <c r="I44" s="235"/>
      <c r="J44" s="1"/>
    </row>
    <row r="45" spans="1:10" x14ac:dyDescent="0.2">
      <c r="A45" s="223" t="s">
        <v>102</v>
      </c>
      <c r="B45" s="223"/>
      <c r="C45" s="223"/>
      <c r="D45" s="224"/>
      <c r="E45" s="1"/>
      <c r="F45" s="1"/>
      <c r="G45" s="1"/>
      <c r="H45" s="56"/>
      <c r="I45" s="56"/>
      <c r="J45" s="1"/>
    </row>
    <row r="46" spans="1:10" ht="21" customHeight="1" x14ac:dyDescent="0.2">
      <c r="A46" s="57" t="s">
        <v>246</v>
      </c>
      <c r="B46" s="179"/>
      <c r="C46" s="180"/>
      <c r="D46" s="58">
        <f>IF(AND(D48=0,D53=0),VLOOKUP(A47,Krez5_rez,2,0),0)</f>
        <v>0</v>
      </c>
      <c r="E46" s="1"/>
      <c r="F46" s="1"/>
      <c r="G46" s="1"/>
      <c r="H46" s="235" t="s">
        <v>260</v>
      </c>
      <c r="I46" s="235"/>
      <c r="J46" s="1"/>
    </row>
    <row r="47" spans="1:10" x14ac:dyDescent="0.2">
      <c r="A47" s="223" t="s">
        <v>102</v>
      </c>
      <c r="B47" s="223"/>
      <c r="C47" s="223"/>
      <c r="D47" s="224"/>
      <c r="E47" s="1"/>
      <c r="F47" s="1"/>
      <c r="G47" s="1"/>
      <c r="H47" s="1"/>
      <c r="I47" s="1"/>
      <c r="J47" s="1"/>
    </row>
    <row r="48" spans="1:10" ht="21" customHeight="1" x14ac:dyDescent="0.2">
      <c r="A48" s="52" t="s">
        <v>372</v>
      </c>
      <c r="B48" s="236"/>
      <c r="C48" s="236"/>
      <c r="D48" s="58">
        <f>D49+D51</f>
        <v>0</v>
      </c>
      <c r="E48" s="1"/>
      <c r="F48" s="1"/>
      <c r="G48" s="1"/>
      <c r="H48" s="238" t="s">
        <v>261</v>
      </c>
      <c r="I48" s="238"/>
      <c r="J48" s="1"/>
    </row>
    <row r="49" spans="1:10" ht="33.75" customHeight="1" x14ac:dyDescent="0.2">
      <c r="A49" s="59" t="s">
        <v>373</v>
      </c>
      <c r="B49" s="181"/>
      <c r="C49" s="183"/>
      <c r="D49" s="18">
        <f>IF(D51&gt;0,0,VLOOKUP(A50,Krez6a_rez,2,0))</f>
        <v>0</v>
      </c>
      <c r="E49" s="1"/>
      <c r="F49" s="1"/>
      <c r="G49" s="1"/>
      <c r="H49" s="1"/>
      <c r="I49" s="1"/>
      <c r="J49" s="1"/>
    </row>
    <row r="50" spans="1:10" x14ac:dyDescent="0.2">
      <c r="A50" s="223" t="s">
        <v>102</v>
      </c>
      <c r="B50" s="223"/>
      <c r="C50" s="223"/>
      <c r="D50" s="224"/>
      <c r="E50" s="1"/>
      <c r="F50" s="1"/>
      <c r="G50" s="1"/>
      <c r="H50" s="1"/>
      <c r="I50" s="1"/>
      <c r="J50" s="1"/>
    </row>
    <row r="51" spans="1:10" ht="49.5" customHeight="1" x14ac:dyDescent="0.2">
      <c r="A51" s="60" t="s">
        <v>234</v>
      </c>
      <c r="B51" s="230"/>
      <c r="C51" s="231"/>
      <c r="D51" s="18">
        <f>VLOOKUP(A52,Krez6b_rez,2,0)</f>
        <v>0</v>
      </c>
      <c r="E51" s="1"/>
      <c r="F51" s="1"/>
      <c r="G51" s="1"/>
      <c r="H51" s="1"/>
      <c r="I51" s="1"/>
      <c r="J51" s="1"/>
    </row>
    <row r="52" spans="1:10" x14ac:dyDescent="0.2">
      <c r="A52" s="223" t="s">
        <v>102</v>
      </c>
      <c r="B52" s="223"/>
      <c r="C52" s="223"/>
      <c r="D52" s="224"/>
      <c r="E52" s="1"/>
      <c r="F52" s="1"/>
      <c r="G52" s="1"/>
      <c r="H52" s="1"/>
      <c r="I52" s="1"/>
      <c r="J52" s="1"/>
    </row>
    <row r="53" spans="1:10" ht="36" customHeight="1" x14ac:dyDescent="0.2">
      <c r="A53" s="16" t="s">
        <v>248</v>
      </c>
      <c r="B53" s="236"/>
      <c r="C53" s="236"/>
      <c r="D53" s="32">
        <f>IF(D48=0,MAX(D54:D58),0)</f>
        <v>0</v>
      </c>
      <c r="E53" s="1"/>
      <c r="F53" s="1"/>
      <c r="G53" s="1"/>
      <c r="H53" s="237" t="s">
        <v>262</v>
      </c>
      <c r="I53" s="237"/>
      <c r="J53" s="1"/>
    </row>
    <row r="54" spans="1:10" x14ac:dyDescent="0.2">
      <c r="A54" s="61" t="s">
        <v>97</v>
      </c>
      <c r="B54" s="43">
        <v>0</v>
      </c>
      <c r="C54" s="211"/>
      <c r="D54" s="62">
        <f>IF(B54*0.16&lt;=0.8,B54*0.16,0.8)</f>
        <v>0</v>
      </c>
      <c r="E54" s="1"/>
      <c r="F54" s="1"/>
      <c r="G54" s="1"/>
      <c r="H54" s="56"/>
      <c r="I54" s="56"/>
      <c r="J54" s="1"/>
    </row>
    <row r="55" spans="1:10" x14ac:dyDescent="0.2">
      <c r="A55" s="61" t="s">
        <v>98</v>
      </c>
      <c r="B55" s="43">
        <v>0</v>
      </c>
      <c r="C55" s="212"/>
      <c r="D55" s="62">
        <f>IF(B55*0.1&lt;=0.5,B55*0.1,0.5)</f>
        <v>0</v>
      </c>
      <c r="E55" s="1"/>
      <c r="F55" s="1"/>
      <c r="G55" s="1"/>
      <c r="H55" s="56"/>
      <c r="I55" s="56"/>
      <c r="J55" s="1"/>
    </row>
    <row r="56" spans="1:10" x14ac:dyDescent="0.2">
      <c r="A56" s="61" t="s">
        <v>99</v>
      </c>
      <c r="B56" s="43">
        <v>0</v>
      </c>
      <c r="C56" s="212"/>
      <c r="D56" s="62">
        <f>IF(B56*0.07&lt;=0.35,B56*0.07,0.35)</f>
        <v>0</v>
      </c>
      <c r="E56" s="1"/>
      <c r="F56" s="1"/>
      <c r="G56" s="1"/>
      <c r="H56" s="56"/>
      <c r="I56" s="56"/>
      <c r="J56" s="1"/>
    </row>
    <row r="57" spans="1:10" x14ac:dyDescent="0.2">
      <c r="A57" s="61" t="s">
        <v>374</v>
      </c>
      <c r="B57" s="43">
        <v>0</v>
      </c>
      <c r="C57" s="212"/>
      <c r="D57" s="62">
        <f>IF(B57*0.05&lt;=0.25,B57*0.05,0.25)</f>
        <v>0</v>
      </c>
      <c r="E57" s="1"/>
      <c r="F57" s="1"/>
      <c r="G57" s="1"/>
      <c r="H57" s="56"/>
      <c r="I57" s="56"/>
      <c r="J57" s="1"/>
    </row>
    <row r="58" spans="1:10" x14ac:dyDescent="0.2">
      <c r="A58" s="61" t="s">
        <v>375</v>
      </c>
      <c r="B58" s="63">
        <v>0</v>
      </c>
      <c r="C58" s="213"/>
      <c r="D58" s="64">
        <f>IF(B58*0.03&lt;=0.15,B58*0.03,0.15)</f>
        <v>0</v>
      </c>
      <c r="E58" s="1"/>
      <c r="F58" s="1"/>
      <c r="G58" s="1"/>
      <c r="H58" s="56"/>
      <c r="I58" s="56"/>
      <c r="J58" s="1"/>
    </row>
    <row r="59" spans="1:10" ht="35.25" customHeight="1" x14ac:dyDescent="0.2">
      <c r="A59" s="44" t="s">
        <v>215</v>
      </c>
      <c r="B59" s="26" t="s">
        <v>139</v>
      </c>
      <c r="C59" s="45" t="s">
        <v>235</v>
      </c>
      <c r="D59" s="71">
        <f>VLOOKUP(B59,Kzvit,2,0)</f>
        <v>1</v>
      </c>
      <c r="E59" s="72"/>
    </row>
    <row r="60" spans="1:10" ht="12" customHeight="1" x14ac:dyDescent="0.2">
      <c r="C60" s="73"/>
      <c r="D60" s="74"/>
    </row>
    <row r="61" spans="1:10" ht="33.75" customHeight="1" x14ac:dyDescent="0.2">
      <c r="A61" s="221" t="str">
        <f>A3</f>
        <v xml:space="preserve">Рк = 20 х Огод х Ксп х Кскл х Кос х Крез х Кзвіт = 20 x 166,4 x 0,33 x 1 x 1 x 1 х 1 = </v>
      </c>
      <c r="B61" s="221"/>
      <c r="C61" s="171">
        <f>C3</f>
        <v>1098.24</v>
      </c>
      <c r="D61" s="171"/>
    </row>
    <row r="62" spans="1:10" x14ac:dyDescent="0.2">
      <c r="D62" s="75"/>
    </row>
    <row r="63" spans="1:10" x14ac:dyDescent="0.2">
      <c r="D63" s="75"/>
    </row>
    <row r="64" spans="1:10" x14ac:dyDescent="0.2">
      <c r="D64" s="75"/>
    </row>
    <row r="65" spans="4:4" x14ac:dyDescent="0.2">
      <c r="D65" s="75"/>
    </row>
    <row r="66" spans="4:4" x14ac:dyDescent="0.2">
      <c r="D66" s="75"/>
    </row>
    <row r="67" spans="4:4" x14ac:dyDescent="0.2">
      <c r="D67" s="75"/>
    </row>
    <row r="68" spans="4:4" x14ac:dyDescent="0.2">
      <c r="D68" s="75"/>
    </row>
    <row r="69" spans="4:4" x14ac:dyDescent="0.2">
      <c r="D69" s="75"/>
    </row>
    <row r="70" spans="4:4" x14ac:dyDescent="0.2">
      <c r="D70" s="75"/>
    </row>
    <row r="71" spans="4:4" x14ac:dyDescent="0.2">
      <c r="D71" s="75"/>
    </row>
    <row r="72" spans="4:4" x14ac:dyDescent="0.2">
      <c r="D72" s="75"/>
    </row>
    <row r="73" spans="4:4" x14ac:dyDescent="0.2">
      <c r="D73" s="75"/>
    </row>
    <row r="74" spans="4:4" x14ac:dyDescent="0.2">
      <c r="D74" s="75"/>
    </row>
    <row r="75" spans="4:4" x14ac:dyDescent="0.2">
      <c r="D75" s="75"/>
    </row>
    <row r="76" spans="4:4" x14ac:dyDescent="0.2">
      <c r="D76" s="75"/>
    </row>
    <row r="77" spans="4:4" x14ac:dyDescent="0.2">
      <c r="D77" s="75"/>
    </row>
    <row r="78" spans="4:4" x14ac:dyDescent="0.2">
      <c r="D78" s="75"/>
    </row>
    <row r="79" spans="4:4" x14ac:dyDescent="0.2">
      <c r="D79" s="75"/>
    </row>
    <row r="80" spans="4:4" x14ac:dyDescent="0.2">
      <c r="D80" s="75"/>
    </row>
    <row r="81" spans="4:4" x14ac:dyDescent="0.2">
      <c r="D81" s="75"/>
    </row>
    <row r="82" spans="4:4" x14ac:dyDescent="0.2">
      <c r="D82" s="75"/>
    </row>
    <row r="83" spans="4:4" x14ac:dyDescent="0.2">
      <c r="D83" s="75"/>
    </row>
    <row r="84" spans="4:4" x14ac:dyDescent="0.2">
      <c r="D84" s="75"/>
    </row>
    <row r="85" spans="4:4" x14ac:dyDescent="0.2">
      <c r="D85" s="75"/>
    </row>
    <row r="86" spans="4:4" x14ac:dyDescent="0.2">
      <c r="D86" s="75"/>
    </row>
    <row r="87" spans="4:4" x14ac:dyDescent="0.2">
      <c r="D87" s="75"/>
    </row>
    <row r="88" spans="4:4" x14ac:dyDescent="0.2">
      <c r="D88" s="75"/>
    </row>
    <row r="89" spans="4:4" x14ac:dyDescent="0.2">
      <c r="D89" s="75"/>
    </row>
    <row r="90" spans="4:4" x14ac:dyDescent="0.2">
      <c r="D90" s="75"/>
    </row>
    <row r="91" spans="4:4" x14ac:dyDescent="0.2">
      <c r="D91" s="75"/>
    </row>
    <row r="92" spans="4:4" x14ac:dyDescent="0.2">
      <c r="D92" s="75"/>
    </row>
    <row r="93" spans="4:4" x14ac:dyDescent="0.2">
      <c r="D93" s="75"/>
    </row>
    <row r="94" spans="4:4" x14ac:dyDescent="0.2">
      <c r="D94" s="75"/>
    </row>
    <row r="95" spans="4:4" x14ac:dyDescent="0.2">
      <c r="D95" s="75"/>
    </row>
    <row r="96" spans="4:4" x14ac:dyDescent="0.2">
      <c r="D96" s="75"/>
    </row>
    <row r="97" spans="4:4" x14ac:dyDescent="0.2">
      <c r="D97" s="75"/>
    </row>
    <row r="98" spans="4:4" x14ac:dyDescent="0.2">
      <c r="D98" s="75"/>
    </row>
    <row r="99" spans="4:4" x14ac:dyDescent="0.2">
      <c r="D99" s="75"/>
    </row>
    <row r="100" spans="4:4" x14ac:dyDescent="0.2">
      <c r="D100" s="75"/>
    </row>
    <row r="101" spans="4:4" x14ac:dyDescent="0.2">
      <c r="D101" s="75"/>
    </row>
    <row r="102" spans="4:4" x14ac:dyDescent="0.2">
      <c r="D102" s="75"/>
    </row>
    <row r="103" spans="4:4" x14ac:dyDescent="0.2">
      <c r="D103" s="75"/>
    </row>
    <row r="104" spans="4:4" x14ac:dyDescent="0.2">
      <c r="D104" s="75"/>
    </row>
    <row r="105" spans="4:4" x14ac:dyDescent="0.2">
      <c r="D105" s="75"/>
    </row>
    <row r="106" spans="4:4" x14ac:dyDescent="0.2">
      <c r="D106" s="75"/>
    </row>
    <row r="107" spans="4:4" x14ac:dyDescent="0.2">
      <c r="D107" s="75"/>
    </row>
    <row r="108" spans="4:4" x14ac:dyDescent="0.2">
      <c r="D108" s="75"/>
    </row>
    <row r="109" spans="4:4" x14ac:dyDescent="0.2">
      <c r="D109" s="75"/>
    </row>
    <row r="110" spans="4:4" x14ac:dyDescent="0.2">
      <c r="D110" s="75"/>
    </row>
    <row r="111" spans="4:4" x14ac:dyDescent="0.2">
      <c r="D111" s="75"/>
    </row>
    <row r="112" spans="4:4" x14ac:dyDescent="0.2">
      <c r="D112" s="75"/>
    </row>
    <row r="113" spans="4:4" x14ac:dyDescent="0.2">
      <c r="D113" s="75"/>
    </row>
    <row r="114" spans="4:4" x14ac:dyDescent="0.2">
      <c r="D114" s="75"/>
    </row>
    <row r="115" spans="4:4" x14ac:dyDescent="0.2">
      <c r="D115" s="75"/>
    </row>
    <row r="116" spans="4:4" x14ac:dyDescent="0.2">
      <c r="D116" s="75"/>
    </row>
    <row r="117" spans="4:4" x14ac:dyDescent="0.2">
      <c r="D117" s="75"/>
    </row>
    <row r="118" spans="4:4" x14ac:dyDescent="0.2">
      <c r="D118" s="75"/>
    </row>
    <row r="119" spans="4:4" x14ac:dyDescent="0.2">
      <c r="D119" s="75"/>
    </row>
    <row r="120" spans="4:4" x14ac:dyDescent="0.2">
      <c r="D120" s="75"/>
    </row>
    <row r="121" spans="4:4" x14ac:dyDescent="0.2">
      <c r="D121" s="75"/>
    </row>
    <row r="122" spans="4:4" x14ac:dyDescent="0.2">
      <c r="D122" s="75"/>
    </row>
    <row r="123" spans="4:4" x14ac:dyDescent="0.2">
      <c r="D123" s="75"/>
    </row>
    <row r="124" spans="4:4" x14ac:dyDescent="0.2">
      <c r="D124" s="75"/>
    </row>
    <row r="125" spans="4:4" x14ac:dyDescent="0.2">
      <c r="D125" s="75"/>
    </row>
    <row r="126" spans="4:4" x14ac:dyDescent="0.2">
      <c r="D126" s="75"/>
    </row>
    <row r="127" spans="4:4" x14ac:dyDescent="0.2">
      <c r="D127" s="75"/>
    </row>
    <row r="128" spans="4:4" x14ac:dyDescent="0.2">
      <c r="D128" s="75"/>
    </row>
    <row r="129" spans="4:4" x14ac:dyDescent="0.2">
      <c r="D129" s="75"/>
    </row>
    <row r="130" spans="4:4" x14ac:dyDescent="0.2">
      <c r="D130" s="75"/>
    </row>
    <row r="131" spans="4:4" x14ac:dyDescent="0.2">
      <c r="D131" s="75"/>
    </row>
    <row r="132" spans="4:4" x14ac:dyDescent="0.2">
      <c r="D132" s="75"/>
    </row>
    <row r="133" spans="4:4" x14ac:dyDescent="0.2">
      <c r="D133" s="75"/>
    </row>
    <row r="134" spans="4:4" x14ac:dyDescent="0.2">
      <c r="D134" s="75"/>
    </row>
    <row r="135" spans="4:4" x14ac:dyDescent="0.2">
      <c r="D135" s="75"/>
    </row>
    <row r="136" spans="4:4" x14ac:dyDescent="0.2">
      <c r="D136" s="75"/>
    </row>
    <row r="137" spans="4:4" x14ac:dyDescent="0.2">
      <c r="D137" s="75"/>
    </row>
    <row r="138" spans="4:4" x14ac:dyDescent="0.2">
      <c r="D138" s="75"/>
    </row>
    <row r="139" spans="4:4" x14ac:dyDescent="0.2">
      <c r="D139" s="75"/>
    </row>
    <row r="140" spans="4:4" x14ac:dyDescent="0.2">
      <c r="D140" s="75"/>
    </row>
    <row r="141" spans="4:4" x14ac:dyDescent="0.2">
      <c r="D141" s="75"/>
    </row>
    <row r="142" spans="4:4" x14ac:dyDescent="0.2">
      <c r="D142" s="75"/>
    </row>
    <row r="143" spans="4:4" x14ac:dyDescent="0.2">
      <c r="D143" s="75"/>
    </row>
    <row r="144" spans="4:4" x14ac:dyDescent="0.2">
      <c r="D144" s="75"/>
    </row>
    <row r="145" spans="4:4" x14ac:dyDescent="0.2">
      <c r="D145" s="75"/>
    </row>
    <row r="146" spans="4:4" x14ac:dyDescent="0.2">
      <c r="D146" s="75"/>
    </row>
    <row r="147" spans="4:4" x14ac:dyDescent="0.2">
      <c r="D147" s="75"/>
    </row>
    <row r="148" spans="4:4" x14ac:dyDescent="0.2">
      <c r="D148" s="75"/>
    </row>
    <row r="149" spans="4:4" x14ac:dyDescent="0.2">
      <c r="D149" s="75"/>
    </row>
    <row r="150" spans="4:4" x14ac:dyDescent="0.2">
      <c r="D150" s="75"/>
    </row>
    <row r="151" spans="4:4" x14ac:dyDescent="0.2">
      <c r="D151" s="75"/>
    </row>
    <row r="152" spans="4:4" x14ac:dyDescent="0.2">
      <c r="D152" s="75"/>
    </row>
    <row r="153" spans="4:4" x14ac:dyDescent="0.2">
      <c r="D153" s="75"/>
    </row>
    <row r="154" spans="4:4" x14ac:dyDescent="0.2">
      <c r="D154" s="75"/>
    </row>
    <row r="155" spans="4:4" x14ac:dyDescent="0.2">
      <c r="D155" s="75"/>
    </row>
    <row r="156" spans="4:4" x14ac:dyDescent="0.2">
      <c r="D156" s="75"/>
    </row>
    <row r="157" spans="4:4" x14ac:dyDescent="0.2">
      <c r="D157" s="75"/>
    </row>
    <row r="158" spans="4:4" x14ac:dyDescent="0.2">
      <c r="D158" s="75"/>
    </row>
    <row r="159" spans="4:4" x14ac:dyDescent="0.2">
      <c r="D159" s="75"/>
    </row>
    <row r="160" spans="4:4" x14ac:dyDescent="0.2">
      <c r="D160" s="75"/>
    </row>
    <row r="161" spans="4:4" x14ac:dyDescent="0.2">
      <c r="D161" s="75"/>
    </row>
    <row r="162" spans="4:4" x14ac:dyDescent="0.2">
      <c r="D162" s="75"/>
    </row>
    <row r="163" spans="4:4" x14ac:dyDescent="0.2">
      <c r="D163" s="75"/>
    </row>
    <row r="164" spans="4:4" x14ac:dyDescent="0.2">
      <c r="D164" s="75"/>
    </row>
    <row r="165" spans="4:4" x14ac:dyDescent="0.2">
      <c r="D165" s="75"/>
    </row>
    <row r="166" spans="4:4" x14ac:dyDescent="0.2">
      <c r="D166" s="75"/>
    </row>
    <row r="167" spans="4:4" x14ac:dyDescent="0.2">
      <c r="D167" s="75"/>
    </row>
    <row r="168" spans="4:4" x14ac:dyDescent="0.2">
      <c r="D168" s="75"/>
    </row>
    <row r="169" spans="4:4" x14ac:dyDescent="0.2">
      <c r="D169" s="75"/>
    </row>
    <row r="170" spans="4:4" x14ac:dyDescent="0.2">
      <c r="D170" s="75"/>
    </row>
    <row r="171" spans="4:4" x14ac:dyDescent="0.2">
      <c r="D171" s="75"/>
    </row>
    <row r="172" spans="4:4" x14ac:dyDescent="0.2">
      <c r="D172" s="75"/>
    </row>
    <row r="173" spans="4:4" x14ac:dyDescent="0.2">
      <c r="D173" s="75"/>
    </row>
    <row r="174" spans="4:4" x14ac:dyDescent="0.2">
      <c r="D174" s="75"/>
    </row>
    <row r="175" spans="4:4" x14ac:dyDescent="0.2">
      <c r="D175" s="75"/>
    </row>
    <row r="176" spans="4:4" x14ac:dyDescent="0.2">
      <c r="D176" s="75"/>
    </row>
    <row r="177" spans="4:4" x14ac:dyDescent="0.2">
      <c r="D177" s="75"/>
    </row>
    <row r="178" spans="4:4" x14ac:dyDescent="0.2">
      <c r="D178" s="75"/>
    </row>
    <row r="179" spans="4:4" x14ac:dyDescent="0.2">
      <c r="D179" s="75"/>
    </row>
    <row r="180" spans="4:4" x14ac:dyDescent="0.2">
      <c r="D180" s="75"/>
    </row>
    <row r="181" spans="4:4" x14ac:dyDescent="0.2">
      <c r="D181" s="75"/>
    </row>
    <row r="182" spans="4:4" x14ac:dyDescent="0.2">
      <c r="D182" s="75"/>
    </row>
    <row r="183" spans="4:4" x14ac:dyDescent="0.2">
      <c r="D183" s="75"/>
    </row>
    <row r="184" spans="4:4" x14ac:dyDescent="0.2">
      <c r="D184" s="75"/>
    </row>
    <row r="185" spans="4:4" x14ac:dyDescent="0.2">
      <c r="D185" s="75"/>
    </row>
    <row r="186" spans="4:4" x14ac:dyDescent="0.2">
      <c r="D186" s="75"/>
    </row>
    <row r="187" spans="4:4" x14ac:dyDescent="0.2">
      <c r="D187" s="75"/>
    </row>
    <row r="188" spans="4:4" x14ac:dyDescent="0.2">
      <c r="D188" s="75"/>
    </row>
    <row r="189" spans="4:4" x14ac:dyDescent="0.2">
      <c r="D189" s="75"/>
    </row>
    <row r="190" spans="4:4" x14ac:dyDescent="0.2">
      <c r="D190" s="75"/>
    </row>
    <row r="191" spans="4:4" x14ac:dyDescent="0.2">
      <c r="D191" s="75"/>
    </row>
    <row r="192" spans="4:4" x14ac:dyDescent="0.2">
      <c r="D192" s="75"/>
    </row>
    <row r="193" spans="4:4" x14ac:dyDescent="0.2">
      <c r="D193" s="75"/>
    </row>
    <row r="194" spans="4:4" x14ac:dyDescent="0.2">
      <c r="D194" s="75"/>
    </row>
    <row r="195" spans="4:4" x14ac:dyDescent="0.2">
      <c r="D195" s="75"/>
    </row>
    <row r="196" spans="4:4" x14ac:dyDescent="0.2">
      <c r="D196" s="75"/>
    </row>
    <row r="197" spans="4:4" x14ac:dyDescent="0.2">
      <c r="D197" s="75"/>
    </row>
    <row r="198" spans="4:4" x14ac:dyDescent="0.2">
      <c r="D198" s="75"/>
    </row>
    <row r="199" spans="4:4" x14ac:dyDescent="0.2">
      <c r="D199" s="75"/>
    </row>
    <row r="200" spans="4:4" x14ac:dyDescent="0.2">
      <c r="D200" s="75"/>
    </row>
    <row r="201" spans="4:4" x14ac:dyDescent="0.2">
      <c r="D201" s="75"/>
    </row>
    <row r="202" spans="4:4" x14ac:dyDescent="0.2">
      <c r="D202" s="75"/>
    </row>
    <row r="203" spans="4:4" x14ac:dyDescent="0.2">
      <c r="D203" s="75"/>
    </row>
    <row r="204" spans="4:4" x14ac:dyDescent="0.2">
      <c r="D204" s="75"/>
    </row>
    <row r="205" spans="4:4" x14ac:dyDescent="0.2">
      <c r="D205" s="75"/>
    </row>
    <row r="206" spans="4:4" x14ac:dyDescent="0.2">
      <c r="D206" s="75"/>
    </row>
    <row r="207" spans="4:4" x14ac:dyDescent="0.2">
      <c r="D207" s="75"/>
    </row>
    <row r="208" spans="4:4" x14ac:dyDescent="0.2">
      <c r="D208" s="75"/>
    </row>
    <row r="209" spans="4:4" x14ac:dyDescent="0.2">
      <c r="D209" s="75"/>
    </row>
    <row r="210" spans="4:4" x14ac:dyDescent="0.2">
      <c r="D210" s="75"/>
    </row>
    <row r="211" spans="4:4" x14ac:dyDescent="0.2">
      <c r="D211" s="75"/>
    </row>
    <row r="212" spans="4:4" x14ac:dyDescent="0.2">
      <c r="D212" s="75"/>
    </row>
    <row r="213" spans="4:4" x14ac:dyDescent="0.2">
      <c r="D213" s="75"/>
    </row>
    <row r="214" spans="4:4" x14ac:dyDescent="0.2">
      <c r="D214" s="75"/>
    </row>
    <row r="215" spans="4:4" x14ac:dyDescent="0.2">
      <c r="D215" s="75"/>
    </row>
    <row r="216" spans="4:4" x14ac:dyDescent="0.2">
      <c r="D216" s="75"/>
    </row>
    <row r="217" spans="4:4" x14ac:dyDescent="0.2">
      <c r="D217" s="75"/>
    </row>
    <row r="218" spans="4:4" x14ac:dyDescent="0.2">
      <c r="D218" s="75"/>
    </row>
    <row r="219" spans="4:4" x14ac:dyDescent="0.2">
      <c r="D219" s="75"/>
    </row>
    <row r="220" spans="4:4" x14ac:dyDescent="0.2">
      <c r="D220" s="75"/>
    </row>
    <row r="221" spans="4:4" x14ac:dyDescent="0.2">
      <c r="D221" s="75"/>
    </row>
    <row r="222" spans="4:4" x14ac:dyDescent="0.2">
      <c r="D222" s="75"/>
    </row>
    <row r="223" spans="4:4" x14ac:dyDescent="0.2">
      <c r="D223" s="75"/>
    </row>
    <row r="224" spans="4:4" x14ac:dyDescent="0.2">
      <c r="D224" s="75"/>
    </row>
    <row r="225" spans="4:4" x14ac:dyDescent="0.2">
      <c r="D225" s="75"/>
    </row>
    <row r="226" spans="4:4" x14ac:dyDescent="0.2">
      <c r="D226" s="75"/>
    </row>
    <row r="227" spans="4:4" x14ac:dyDescent="0.2">
      <c r="D227" s="75"/>
    </row>
    <row r="228" spans="4:4" x14ac:dyDescent="0.2">
      <c r="D228" s="75"/>
    </row>
    <row r="229" spans="4:4" x14ac:dyDescent="0.2">
      <c r="D229" s="75"/>
    </row>
    <row r="230" spans="4:4" x14ac:dyDescent="0.2">
      <c r="D230" s="75"/>
    </row>
    <row r="231" spans="4:4" x14ac:dyDescent="0.2">
      <c r="D231" s="75"/>
    </row>
    <row r="232" spans="4:4" x14ac:dyDescent="0.2">
      <c r="D232" s="75"/>
    </row>
    <row r="233" spans="4:4" x14ac:dyDescent="0.2">
      <c r="D233" s="75"/>
    </row>
    <row r="234" spans="4:4" x14ac:dyDescent="0.2">
      <c r="D234" s="75"/>
    </row>
    <row r="235" spans="4:4" x14ac:dyDescent="0.2">
      <c r="D235" s="75"/>
    </row>
    <row r="236" spans="4:4" x14ac:dyDescent="0.2">
      <c r="D236" s="75"/>
    </row>
    <row r="237" spans="4:4" x14ac:dyDescent="0.2">
      <c r="D237" s="75"/>
    </row>
    <row r="238" spans="4:4" x14ac:dyDescent="0.2">
      <c r="D238" s="75"/>
    </row>
    <row r="239" spans="4:4" x14ac:dyDescent="0.2">
      <c r="D239" s="75"/>
    </row>
    <row r="240" spans="4:4" x14ac:dyDescent="0.2">
      <c r="D240" s="75"/>
    </row>
    <row r="241" spans="4:4" x14ac:dyDescent="0.2">
      <c r="D241" s="75"/>
    </row>
    <row r="242" spans="4:4" x14ac:dyDescent="0.2">
      <c r="D242" s="75"/>
    </row>
    <row r="243" spans="4:4" x14ac:dyDescent="0.2">
      <c r="D243" s="75"/>
    </row>
    <row r="244" spans="4:4" x14ac:dyDescent="0.2">
      <c r="D244" s="75"/>
    </row>
    <row r="245" spans="4:4" x14ac:dyDescent="0.2">
      <c r="D245" s="75"/>
    </row>
    <row r="246" spans="4:4" x14ac:dyDescent="0.2">
      <c r="D246" s="75"/>
    </row>
    <row r="247" spans="4:4" x14ac:dyDescent="0.2">
      <c r="D247" s="75"/>
    </row>
    <row r="248" spans="4:4" x14ac:dyDescent="0.2">
      <c r="D248" s="75"/>
    </row>
    <row r="249" spans="4:4" x14ac:dyDescent="0.2">
      <c r="D249" s="75"/>
    </row>
    <row r="250" spans="4:4" x14ac:dyDescent="0.2">
      <c r="D250" s="75"/>
    </row>
    <row r="251" spans="4:4" x14ac:dyDescent="0.2">
      <c r="D251" s="75"/>
    </row>
    <row r="252" spans="4:4" x14ac:dyDescent="0.2">
      <c r="D252" s="75"/>
    </row>
    <row r="253" spans="4:4" x14ac:dyDescent="0.2">
      <c r="D253" s="75"/>
    </row>
    <row r="254" spans="4:4" x14ac:dyDescent="0.2">
      <c r="D254" s="75"/>
    </row>
    <row r="255" spans="4:4" x14ac:dyDescent="0.2">
      <c r="D255" s="75"/>
    </row>
    <row r="256" spans="4:4" x14ac:dyDescent="0.2">
      <c r="D256" s="75"/>
    </row>
    <row r="257" spans="4:4" x14ac:dyDescent="0.2">
      <c r="D257" s="75"/>
    </row>
    <row r="258" spans="4:4" x14ac:dyDescent="0.2">
      <c r="D258" s="75"/>
    </row>
    <row r="259" spans="4:4" x14ac:dyDescent="0.2">
      <c r="D259" s="75"/>
    </row>
    <row r="260" spans="4:4" x14ac:dyDescent="0.2">
      <c r="D260" s="75"/>
    </row>
    <row r="261" spans="4:4" x14ac:dyDescent="0.2">
      <c r="D261" s="75"/>
    </row>
    <row r="262" spans="4:4" x14ac:dyDescent="0.2">
      <c r="D262" s="75"/>
    </row>
    <row r="263" spans="4:4" x14ac:dyDescent="0.2">
      <c r="D263" s="75"/>
    </row>
    <row r="264" spans="4:4" x14ac:dyDescent="0.2">
      <c r="D264" s="75"/>
    </row>
    <row r="265" spans="4:4" x14ac:dyDescent="0.2">
      <c r="D265" s="75"/>
    </row>
    <row r="266" spans="4:4" x14ac:dyDescent="0.2">
      <c r="D266" s="75"/>
    </row>
    <row r="267" spans="4:4" x14ac:dyDescent="0.2">
      <c r="D267" s="75"/>
    </row>
    <row r="268" spans="4:4" x14ac:dyDescent="0.2">
      <c r="D268" s="75"/>
    </row>
    <row r="269" spans="4:4" x14ac:dyDescent="0.2">
      <c r="D269" s="75"/>
    </row>
    <row r="270" spans="4:4" x14ac:dyDescent="0.2">
      <c r="D270" s="75"/>
    </row>
    <row r="271" spans="4:4" x14ac:dyDescent="0.2">
      <c r="D271" s="75"/>
    </row>
    <row r="272" spans="4:4" x14ac:dyDescent="0.2">
      <c r="D272" s="75"/>
    </row>
    <row r="273" spans="4:4" x14ac:dyDescent="0.2">
      <c r="D273" s="75"/>
    </row>
    <row r="274" spans="4:4" x14ac:dyDescent="0.2">
      <c r="D274" s="75"/>
    </row>
    <row r="275" spans="4:4" x14ac:dyDescent="0.2">
      <c r="D275" s="75"/>
    </row>
    <row r="276" spans="4:4" x14ac:dyDescent="0.2">
      <c r="D276" s="75"/>
    </row>
    <row r="277" spans="4:4" x14ac:dyDescent="0.2">
      <c r="D277" s="75"/>
    </row>
    <row r="278" spans="4:4" x14ac:dyDescent="0.2">
      <c r="D278" s="75"/>
    </row>
    <row r="279" spans="4:4" x14ac:dyDescent="0.2">
      <c r="D279" s="75"/>
    </row>
    <row r="280" spans="4:4" x14ac:dyDescent="0.2">
      <c r="D280" s="75"/>
    </row>
    <row r="281" spans="4:4" x14ac:dyDescent="0.2">
      <c r="D281" s="75"/>
    </row>
    <row r="282" spans="4:4" x14ac:dyDescent="0.2">
      <c r="D282" s="75"/>
    </row>
    <row r="283" spans="4:4" x14ac:dyDescent="0.2">
      <c r="D283" s="75"/>
    </row>
    <row r="284" spans="4:4" x14ac:dyDescent="0.2">
      <c r="D284" s="75"/>
    </row>
    <row r="285" spans="4:4" x14ac:dyDescent="0.2">
      <c r="D285" s="75"/>
    </row>
    <row r="286" spans="4:4" x14ac:dyDescent="0.2">
      <c r="D286" s="75"/>
    </row>
    <row r="287" spans="4:4" x14ac:dyDescent="0.2">
      <c r="D287" s="75"/>
    </row>
    <row r="288" spans="4:4" x14ac:dyDescent="0.2">
      <c r="D288" s="75"/>
    </row>
    <row r="289" spans="4:4" x14ac:dyDescent="0.2">
      <c r="D289" s="75"/>
    </row>
    <row r="290" spans="4:4" x14ac:dyDescent="0.2">
      <c r="D290" s="75"/>
    </row>
    <row r="291" spans="4:4" x14ac:dyDescent="0.2">
      <c r="D291" s="75"/>
    </row>
    <row r="292" spans="4:4" x14ac:dyDescent="0.2">
      <c r="D292" s="75"/>
    </row>
    <row r="293" spans="4:4" x14ac:dyDescent="0.2">
      <c r="D293" s="75"/>
    </row>
  </sheetData>
  <sheetProtection algorithmName="SHA-512" hashValue="Y6YWCW9M7+XgOozlqVF84jcRgLZRkQkc+KE3U/eT9l69JPF26no/rDAxGNOfDoTEHDdQSaUzDr7xl8DLzc70fA==" saltValue="Oj9VGxaVB+Tlo0IjrKHBYA==" spinCount="100000" sheet="1" objects="1" scenarios="1"/>
  <mergeCells count="33">
    <mergeCell ref="B48:C48"/>
    <mergeCell ref="H48:I48"/>
    <mergeCell ref="B49:C49"/>
    <mergeCell ref="A52:D52"/>
    <mergeCell ref="B46:C46"/>
    <mergeCell ref="H46:I46"/>
    <mergeCell ref="A47:D47"/>
    <mergeCell ref="A50:D50"/>
    <mergeCell ref="B51:C51"/>
    <mergeCell ref="A61:B61"/>
    <mergeCell ref="C61:D61"/>
    <mergeCell ref="B53:C53"/>
    <mergeCell ref="H53:I53"/>
    <mergeCell ref="C54:C58"/>
    <mergeCell ref="H40:I40"/>
    <mergeCell ref="A41:D41"/>
    <mergeCell ref="A43:D43"/>
    <mergeCell ref="B44:C44"/>
    <mergeCell ref="H44:I44"/>
    <mergeCell ref="B12:D12"/>
    <mergeCell ref="A45:D45"/>
    <mergeCell ref="B20:D20"/>
    <mergeCell ref="B28:D28"/>
    <mergeCell ref="B30:D30"/>
    <mergeCell ref="C31:C36"/>
    <mergeCell ref="D31:D36"/>
    <mergeCell ref="B38:D38"/>
    <mergeCell ref="B40:C40"/>
    <mergeCell ref="A1:D1"/>
    <mergeCell ref="F1:G1"/>
    <mergeCell ref="H1:I1"/>
    <mergeCell ref="A3:B3"/>
    <mergeCell ref="C3:D3"/>
  </mergeCells>
  <dataValidations count="15">
    <dataValidation type="list" allowBlank="1" showInputMessage="1" showErrorMessage="1" sqref="A52:D52" xr:uid="{67F5FBA2-3990-7E4F-A255-B848D5E3BFFE}">
      <formula1>Krez6b</formula1>
    </dataValidation>
    <dataValidation type="list" allowBlank="1" showInputMessage="1" showErrorMessage="1" sqref="A47:D47" xr:uid="{2D10B97A-A4F7-E141-9496-F99DB905691B}">
      <formula1>Krez5</formula1>
    </dataValidation>
    <dataValidation type="list" allowBlank="1" showInputMessage="1" showErrorMessage="1" sqref="B12" xr:uid="{F6352872-7E4D-9D43-9890-F476931885F9}">
      <formula1>Прод_ДР_опції</formula1>
    </dataValidation>
    <dataValidation type="list" allowBlank="1" showInputMessage="1" showErrorMessage="1" sqref="B59" xr:uid="{3AAF5C58-88D1-624A-91B3-5D004E86BF56}">
      <formula1>Zvit</formula1>
    </dataValidation>
    <dataValidation type="list" allowBlank="1" showInputMessage="1" showErrorMessage="1" sqref="A41:D41" xr:uid="{BB4C9B5D-60E7-F542-9CD0-95434E3B9FA5}">
      <formula1>Krez1</formula1>
    </dataValidation>
    <dataValidation type="list" allowBlank="1" showInputMessage="1" showErrorMessage="1" sqref="A50:D50" xr:uid="{457E44FD-364A-664F-8F4E-60788F6111DA}">
      <formula1>Krez6a</formula1>
    </dataValidation>
    <dataValidation type="list" allowBlank="1" showInputMessage="1" showErrorMessage="1" sqref="A45:D45" xr:uid="{F7EBEA6E-D34A-5649-BD7D-D6CCDFFF6DBF}">
      <formula1>Krez4</formula1>
    </dataValidation>
    <dataValidation type="list" allowBlank="1" showInputMessage="1" showErrorMessage="1" sqref="A43:D43" xr:uid="{EDE9DC4B-A444-7440-9C9E-2A638626C5F4}">
      <formula1>Krez2</formula1>
    </dataValidation>
    <dataValidation type="list" allowBlank="1" showInputMessage="1" showErrorMessage="1" sqref="B38" xr:uid="{51FD0CFF-BA23-A848-8B74-C4203ADD242A}">
      <formula1>Num_Episodes</formula1>
    </dataValidation>
    <dataValidation type="list" allowBlank="1" showInputMessage="1" showErrorMessage="1" sqref="B28" xr:uid="{21D206B9-6D3E-A54E-BF32-648388F46E91}">
      <formula1>NumPartnersCrim</formula1>
    </dataValidation>
    <dataValidation type="list" allowBlank="1" showInputMessage="1" showErrorMessage="1" sqref="B22:B26 B54:B58" xr:uid="{55016CA9-0C9F-E74F-958D-325FF8323C43}">
      <formula1>NumEpisodesCrim</formula1>
    </dataValidation>
    <dataValidation type="list" allowBlank="1" showInputMessage="1" showErrorMessage="1" sqref="B20" xr:uid="{2F0C96ED-217F-E545-9CFD-0C864ECD58B8}">
      <formula1>PreTrialGravity</formula1>
    </dataValidation>
    <dataValidation type="list" allowBlank="1" showInputMessage="1" showErrorMessage="1" sqref="D9:D10 B30 B32:B36 B9:B10 B7" xr:uid="{8E8E291C-1EA6-7C48-A9C3-927146BCBB4E}">
      <formula1>ТакНі</formula1>
    </dataValidation>
    <dataValidation type="list" allowBlank="1" showInputMessage="1" showErrorMessage="1" sqref="B5" xr:uid="{B399B0B0-7FC2-7E4D-9076-49C28D9E6666}">
      <formula1>ЗП</formula1>
    </dataValidation>
    <dataValidation type="list" allowBlank="1" showInputMessage="1" showErrorMessage="1" sqref="B13:B16" xr:uid="{0A061296-4D2A-E841-9CAE-63B5E84FC399}">
      <formula1>Krouts</formula1>
    </dataValidation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8A0E-BF0C-8143-8E9F-F11B211B177E}">
  <sheetPr>
    <tabColor theme="8" tint="-0.499984740745262"/>
  </sheetPr>
  <dimension ref="A1:J309"/>
  <sheetViews>
    <sheetView showGridLines="0" zoomScaleNormal="100" workbookViewId="0">
      <pane ySplit="1" topLeftCell="A3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3" customWidth="1"/>
    <col min="2" max="2" width="12" style="3" customWidth="1"/>
    <col min="3" max="3" width="16.33203125" style="3" customWidth="1"/>
    <col min="4" max="4" width="10.1640625" style="4" customWidth="1"/>
    <col min="5" max="6" width="11.33203125" style="2" customWidth="1"/>
    <col min="7" max="7" width="13" style="2" customWidth="1"/>
    <col min="8" max="9" width="12.33203125" style="2" customWidth="1"/>
    <col min="10" max="16384" width="11.33203125" style="2"/>
  </cols>
  <sheetData>
    <row r="1" spans="1:10" ht="36" customHeight="1" x14ac:dyDescent="0.2">
      <c r="A1" s="173" t="s">
        <v>263</v>
      </c>
      <c r="B1" s="173"/>
      <c r="C1" s="173"/>
      <c r="D1" s="217"/>
      <c r="E1" s="1"/>
      <c r="F1" s="218" t="s">
        <v>245</v>
      </c>
      <c r="G1" s="218"/>
      <c r="H1" s="219" t="s">
        <v>252</v>
      </c>
      <c r="I1" s="219"/>
      <c r="J1" s="1"/>
    </row>
    <row r="2" spans="1:10" x14ac:dyDescent="0.2">
      <c r="E2" s="1"/>
      <c r="F2" s="1"/>
      <c r="G2" s="1"/>
      <c r="H2" s="1"/>
      <c r="I2" s="1"/>
      <c r="J2" s="1"/>
    </row>
    <row r="3" spans="1:10" ht="31.5" customHeight="1" x14ac:dyDescent="0.2">
      <c r="A3" s="220" t="str">
        <f>TEXT( "Рк = 20 х Огод х Ксп х Кскл х Кос х Крез х Кзвіт = 20 x "&amp;D5&amp;" x "&amp;D6&amp;" x "&amp;D16&amp;" x "&amp;D37&amp;" x "&amp;D39&amp;" х "&amp;D75&amp;" = ",0)</f>
        <v xml:space="preserve">Рк = 20 х Огод х Ксп х Кскл х Кос х Крез х Кзвіт = 20 x 166,4 x 0,67 x 1,1 x 1 x 1 х 1 = </v>
      </c>
      <c r="B3" s="221"/>
      <c r="C3" s="171">
        <f>20*D5*D6*D16*D37*D39*D75</f>
        <v>2452.7360000000003</v>
      </c>
      <c r="D3" s="171"/>
      <c r="E3" s="1"/>
      <c r="F3" s="1"/>
      <c r="G3" s="1"/>
      <c r="H3" s="1"/>
      <c r="I3" s="1"/>
      <c r="J3" s="1"/>
    </row>
    <row r="4" spans="1:10" ht="12.75" customHeight="1" x14ac:dyDescent="0.2">
      <c r="D4" s="5"/>
      <c r="E4" s="1"/>
      <c r="F4" s="1"/>
      <c r="G4" s="1"/>
      <c r="H4" s="1"/>
      <c r="I4" s="1"/>
      <c r="J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147">
        <f>ROUND(B5*0.05,3)</f>
        <v>166.4</v>
      </c>
      <c r="E5" s="1"/>
      <c r="F5" s="1"/>
      <c r="G5" s="1"/>
      <c r="H5" s="1"/>
      <c r="I5" s="1"/>
      <c r="J5" s="1"/>
    </row>
    <row r="6" spans="1:10" ht="24" customHeight="1" x14ac:dyDescent="0.2">
      <c r="A6" s="10" t="s">
        <v>195</v>
      </c>
      <c r="B6" s="11"/>
      <c r="C6" s="12" t="s">
        <v>201</v>
      </c>
      <c r="D6" s="13">
        <f>IF(B7="так",0.2,(D8*D11)+D12+D14+D15)</f>
        <v>0.67</v>
      </c>
      <c r="E6" s="1"/>
      <c r="F6" s="1"/>
      <c r="G6" s="1"/>
      <c r="H6" s="1"/>
      <c r="I6" s="1"/>
      <c r="J6" s="1"/>
    </row>
    <row r="7" spans="1:10" ht="47.25" customHeight="1" x14ac:dyDescent="0.2">
      <c r="A7" s="14" t="s">
        <v>279</v>
      </c>
      <c r="B7" s="15" t="s">
        <v>1</v>
      </c>
      <c r="C7" s="12"/>
      <c r="D7" s="13"/>
      <c r="E7" s="1"/>
      <c r="F7" s="1"/>
      <c r="G7" s="1"/>
      <c r="H7" s="1"/>
      <c r="I7" s="1"/>
      <c r="J7" s="1"/>
    </row>
    <row r="8" spans="1:10" ht="20.25" customHeight="1" x14ac:dyDescent="0.2">
      <c r="A8" s="16" t="s">
        <v>196</v>
      </c>
      <c r="B8" s="17"/>
      <c r="C8" s="18" t="s">
        <v>202</v>
      </c>
      <c r="D8" s="18">
        <f>VLOOKUP(B9&amp;B10,KStPr_res,2,0)</f>
        <v>0.67</v>
      </c>
      <c r="E8" s="1"/>
      <c r="F8" s="1"/>
      <c r="G8" s="1"/>
      <c r="H8" s="1"/>
      <c r="I8" s="1"/>
      <c r="J8" s="1"/>
    </row>
    <row r="9" spans="1:10" x14ac:dyDescent="0.2">
      <c r="A9" s="19" t="s">
        <v>119</v>
      </c>
      <c r="B9" s="15" t="s">
        <v>0</v>
      </c>
      <c r="C9" s="20"/>
      <c r="D9" s="21"/>
      <c r="E9" s="1"/>
      <c r="F9" s="1"/>
      <c r="G9" s="1"/>
      <c r="H9" s="1"/>
      <c r="I9" s="1"/>
      <c r="J9" s="1"/>
    </row>
    <row r="10" spans="1:10" x14ac:dyDescent="0.2">
      <c r="A10" s="19" t="s">
        <v>276</v>
      </c>
      <c r="B10" s="15" t="s">
        <v>1</v>
      </c>
      <c r="C10" s="20"/>
      <c r="D10" s="21"/>
      <c r="E10" s="1"/>
      <c r="F10" s="1"/>
      <c r="G10" s="1"/>
      <c r="H10" s="1"/>
      <c r="I10" s="1"/>
      <c r="J10" s="1"/>
    </row>
    <row r="11" spans="1:10" ht="43" x14ac:dyDescent="0.2">
      <c r="A11" s="25" t="s">
        <v>388</v>
      </c>
      <c r="B11" s="109" t="s">
        <v>1</v>
      </c>
      <c r="C11" s="18" t="s">
        <v>264</v>
      </c>
      <c r="D11" s="18">
        <f>IF(B11="так",0.5,1)</f>
        <v>1</v>
      </c>
      <c r="E11" s="1"/>
      <c r="F11" s="1"/>
      <c r="G11" s="1"/>
      <c r="H11" s="1"/>
      <c r="I11" s="1"/>
      <c r="J11" s="1"/>
    </row>
    <row r="12" spans="1:10" ht="32.25" customHeight="1" x14ac:dyDescent="0.2">
      <c r="A12" s="16" t="s">
        <v>355</v>
      </c>
      <c r="B12" s="138"/>
      <c r="C12" s="139" t="s">
        <v>267</v>
      </c>
      <c r="D12" s="21">
        <f>IF(A13="суд під час судового розгляду працював одним складом",0,A13*0.33)</f>
        <v>0</v>
      </c>
      <c r="E12" s="1"/>
      <c r="F12" s="1"/>
      <c r="G12" s="1"/>
    </row>
    <row r="13" spans="1:10" x14ac:dyDescent="0.2">
      <c r="A13" s="239" t="s">
        <v>354</v>
      </c>
      <c r="B13" s="239"/>
      <c r="C13" s="239"/>
      <c r="D13" s="240"/>
      <c r="E13" s="1"/>
      <c r="F13" s="1"/>
      <c r="G13" s="1"/>
      <c r="H13" s="2" t="s">
        <v>271</v>
      </c>
    </row>
    <row r="14" spans="1:10" ht="36" customHeight="1" x14ac:dyDescent="0.2">
      <c r="A14" s="25" t="s">
        <v>266</v>
      </c>
      <c r="B14" s="26" t="s">
        <v>125</v>
      </c>
      <c r="C14" s="27" t="s">
        <v>265</v>
      </c>
      <c r="D14" s="27">
        <f>IF(B14="не повертався",0,B14*0.1)</f>
        <v>0</v>
      </c>
      <c r="E14" s="1"/>
      <c r="F14" s="1"/>
      <c r="G14" s="1"/>
    </row>
    <row r="15" spans="1:10" ht="30" x14ac:dyDescent="0.2">
      <c r="A15" s="25" t="s">
        <v>268</v>
      </c>
      <c r="B15" s="26" t="s">
        <v>269</v>
      </c>
      <c r="C15" s="27" t="s">
        <v>270</v>
      </c>
      <c r="D15" s="27">
        <f>IF(B15="5 і менше днів",0,B15*0.017)</f>
        <v>0</v>
      </c>
      <c r="E15" s="1"/>
      <c r="F15" s="1"/>
      <c r="G15" s="1"/>
    </row>
    <row r="16" spans="1:10" ht="24.75" customHeight="1" x14ac:dyDescent="0.2">
      <c r="A16" s="11" t="s">
        <v>207</v>
      </c>
      <c r="B16" s="28"/>
      <c r="C16" s="13" t="s">
        <v>206</v>
      </c>
      <c r="D16" s="29">
        <f>IF(B7="так",1,D17*D27*D29*D31)</f>
        <v>1.1000000000000001</v>
      </c>
      <c r="E16" s="1"/>
      <c r="F16" s="30"/>
      <c r="G16" s="1"/>
      <c r="H16" s="1"/>
      <c r="I16" s="1"/>
      <c r="J16" s="1"/>
    </row>
    <row r="17" spans="1:10" ht="37.5" customHeight="1" x14ac:dyDescent="0.2">
      <c r="A17" s="25" t="s">
        <v>362</v>
      </c>
      <c r="B17" s="25"/>
      <c r="C17" s="18" t="s">
        <v>204</v>
      </c>
      <c r="D17" s="31">
        <f>D18+D20</f>
        <v>1</v>
      </c>
      <c r="E17" s="1"/>
      <c r="F17" s="1"/>
      <c r="G17" s="1"/>
      <c r="H17" s="1"/>
      <c r="I17" s="1"/>
      <c r="J17" s="1"/>
    </row>
    <row r="18" spans="1:10" ht="35.25" customHeight="1" x14ac:dyDescent="0.2">
      <c r="A18" s="25" t="s">
        <v>363</v>
      </c>
      <c r="B18" s="25"/>
      <c r="C18" s="32" t="s">
        <v>208</v>
      </c>
      <c r="D18" s="32">
        <f>VLOOKUP(B19,TrialGravity_res,2,0)</f>
        <v>1</v>
      </c>
      <c r="E18" s="1"/>
      <c r="F18" s="1"/>
      <c r="G18" s="1"/>
      <c r="H18" s="1"/>
      <c r="I18" s="1"/>
      <c r="J18" s="1"/>
    </row>
    <row r="19" spans="1:10" x14ac:dyDescent="0.2">
      <c r="A19" s="19" t="s">
        <v>205</v>
      </c>
      <c r="B19" s="222" t="s">
        <v>364</v>
      </c>
      <c r="C19" s="222"/>
      <c r="D19" s="222"/>
      <c r="E19" s="1"/>
      <c r="F19" s="1"/>
      <c r="G19" s="1"/>
      <c r="H19" s="1"/>
      <c r="I19" s="30"/>
      <c r="J19" s="1"/>
    </row>
    <row r="20" spans="1:10" ht="48" customHeight="1" x14ac:dyDescent="0.2">
      <c r="A20" s="16" t="s">
        <v>361</v>
      </c>
      <c r="B20" s="17"/>
      <c r="C20" s="33" t="s">
        <v>209</v>
      </c>
      <c r="D20" s="34">
        <f>SUM(H21:H26)</f>
        <v>0</v>
      </c>
      <c r="E20" s="1"/>
      <c r="F20" s="1"/>
      <c r="G20" s="1"/>
      <c r="H20" s="1"/>
      <c r="I20" s="1"/>
      <c r="J20" s="1"/>
    </row>
    <row r="21" spans="1:10" x14ac:dyDescent="0.2">
      <c r="A21" s="135" t="s">
        <v>364</v>
      </c>
      <c r="B21" s="36">
        <v>0</v>
      </c>
      <c r="C21" s="37"/>
      <c r="D21" s="38"/>
      <c r="E21" s="1">
        <f>VLOOKUP(SUM(B21:B26),NumEpisodesCrim_res,2,0)</f>
        <v>0</v>
      </c>
      <c r="F21" s="1">
        <f>E21-E22</f>
        <v>0</v>
      </c>
      <c r="G21" s="1">
        <v>1</v>
      </c>
      <c r="H21" s="1">
        <f t="shared" ref="H21:H26" si="0">G21*F21</f>
        <v>0</v>
      </c>
    </row>
    <row r="22" spans="1:10" x14ac:dyDescent="0.2">
      <c r="A22" s="135" t="s">
        <v>365</v>
      </c>
      <c r="B22" s="36">
        <v>0</v>
      </c>
      <c r="C22" s="37"/>
      <c r="D22" s="39"/>
      <c r="E22" s="1">
        <f>VLOOKUP(SUM(B22:B26),NumEpisodesCrim_res,2,0)</f>
        <v>0</v>
      </c>
      <c r="F22" s="1">
        <f>E22-E23</f>
        <v>0</v>
      </c>
      <c r="G22" s="1">
        <v>1.5</v>
      </c>
      <c r="H22" s="1">
        <f t="shared" si="0"/>
        <v>0</v>
      </c>
    </row>
    <row r="23" spans="1:10" x14ac:dyDescent="0.2">
      <c r="A23" s="135" t="s">
        <v>366</v>
      </c>
      <c r="B23" s="36">
        <v>0</v>
      </c>
      <c r="C23" s="37"/>
      <c r="D23" s="39"/>
      <c r="E23" s="1">
        <f>VLOOKUP(SUM(B23:B26),NumEpisodesCrim_res,2,0)</f>
        <v>0</v>
      </c>
      <c r="F23" s="1">
        <f>E23-E24</f>
        <v>0</v>
      </c>
      <c r="G23" s="1">
        <v>2</v>
      </c>
      <c r="H23" s="1">
        <f t="shared" si="0"/>
        <v>0</v>
      </c>
    </row>
    <row r="24" spans="1:10" x14ac:dyDescent="0.2">
      <c r="A24" s="135" t="s">
        <v>367</v>
      </c>
      <c r="B24" s="36">
        <v>0</v>
      </c>
      <c r="C24" s="37"/>
      <c r="D24" s="39"/>
      <c r="E24" s="1">
        <f>VLOOKUP(SUM(B24:B26),NumEpisodesCrim_res,2,0)</f>
        <v>0</v>
      </c>
      <c r="F24" s="1">
        <f>E24-E25</f>
        <v>0</v>
      </c>
      <c r="G24" s="1">
        <v>3</v>
      </c>
      <c r="H24" s="1">
        <f t="shared" si="0"/>
        <v>0</v>
      </c>
    </row>
    <row r="25" spans="1:10" x14ac:dyDescent="0.15">
      <c r="A25" s="35" t="s">
        <v>380</v>
      </c>
      <c r="B25" s="36">
        <v>0</v>
      </c>
      <c r="C25" s="37"/>
      <c r="D25" s="39"/>
      <c r="E25" s="1">
        <f>VLOOKUP(SUM(B25:B26),NumEpisodesCrim_res,2,0)</f>
        <v>0</v>
      </c>
      <c r="F25" s="1">
        <f>E25-E26</f>
        <v>0</v>
      </c>
      <c r="G25" s="1">
        <v>3.6</v>
      </c>
      <c r="H25" s="1">
        <f t="shared" si="0"/>
        <v>0</v>
      </c>
    </row>
    <row r="26" spans="1:10" x14ac:dyDescent="0.2">
      <c r="A26" s="135" t="s">
        <v>368</v>
      </c>
      <c r="B26" s="36">
        <v>0</v>
      </c>
      <c r="C26" s="37"/>
      <c r="D26" s="40"/>
      <c r="E26" s="1">
        <f>VLOOKUP(B26,NumEpisodesCrim_res,2,0)</f>
        <v>0</v>
      </c>
      <c r="F26" s="1">
        <f>E26</f>
        <v>0</v>
      </c>
      <c r="G26" s="1">
        <v>5</v>
      </c>
      <c r="H26" s="1">
        <f t="shared" si="0"/>
        <v>0</v>
      </c>
    </row>
    <row r="27" spans="1:10" ht="36" customHeight="1" x14ac:dyDescent="0.2">
      <c r="A27" s="16" t="s">
        <v>211</v>
      </c>
      <c r="B27" s="16"/>
      <c r="C27" s="41" t="s">
        <v>210</v>
      </c>
      <c r="D27" s="41">
        <f>VLOOKUP(B28,NumPartnersCrim_res,2,0)</f>
        <v>1</v>
      </c>
      <c r="E27" s="1"/>
      <c r="F27" s="1"/>
      <c r="G27" s="1"/>
      <c r="H27" s="1"/>
      <c r="I27" s="1"/>
      <c r="J27" s="1"/>
    </row>
    <row r="28" spans="1:10" x14ac:dyDescent="0.2">
      <c r="A28" s="19" t="s">
        <v>212</v>
      </c>
      <c r="B28" s="225">
        <v>1</v>
      </c>
      <c r="C28" s="226"/>
      <c r="D28" s="227"/>
      <c r="E28" s="1"/>
      <c r="F28" s="1"/>
      <c r="G28" s="1"/>
      <c r="H28" s="1"/>
      <c r="I28" s="1"/>
      <c r="J28" s="1"/>
    </row>
    <row r="29" spans="1:10" x14ac:dyDescent="0.2">
      <c r="A29" s="16" t="s">
        <v>213</v>
      </c>
      <c r="B29" s="25"/>
      <c r="C29" s="18" t="s">
        <v>214</v>
      </c>
      <c r="D29" s="18">
        <f>VLOOKUP(B30,PrevMeasure_res,2,0)</f>
        <v>1.1000000000000001</v>
      </c>
      <c r="E29" s="1"/>
      <c r="F29" s="1"/>
      <c r="G29" s="1"/>
      <c r="H29" s="1"/>
      <c r="I29" s="1"/>
      <c r="J29" s="1"/>
    </row>
    <row r="30" spans="1:10" x14ac:dyDescent="0.2">
      <c r="A30" s="19" t="s">
        <v>237</v>
      </c>
      <c r="B30" s="225" t="s">
        <v>0</v>
      </c>
      <c r="C30" s="226"/>
      <c r="D30" s="227"/>
      <c r="E30" s="1"/>
      <c r="F30" s="1"/>
      <c r="G30" s="1"/>
      <c r="H30" s="1"/>
      <c r="I30" s="1"/>
      <c r="J30" s="1"/>
    </row>
    <row r="31" spans="1:10" ht="33.75" customHeight="1" x14ac:dyDescent="0.2">
      <c r="A31" s="16" t="s">
        <v>238</v>
      </c>
      <c r="B31" s="16"/>
      <c r="C31" s="228" t="s">
        <v>216</v>
      </c>
      <c r="D31" s="228">
        <f>IF(SUM(E32:E36)=1,1.1,IF(SUM(E32:E36)&gt;=2,1.2,1))</f>
        <v>1</v>
      </c>
      <c r="E31" s="1"/>
      <c r="F31" s="1"/>
      <c r="G31" s="1"/>
      <c r="H31" s="1"/>
      <c r="I31" s="1"/>
      <c r="J31" s="1"/>
    </row>
    <row r="32" spans="1:10" x14ac:dyDescent="0.2">
      <c r="A32" s="42" t="s">
        <v>217</v>
      </c>
      <c r="B32" s="43" t="s">
        <v>1</v>
      </c>
      <c r="C32" s="229"/>
      <c r="D32" s="229"/>
      <c r="E32" s="1">
        <f>IF(B32="так",1,0)</f>
        <v>0</v>
      </c>
      <c r="F32" s="1"/>
      <c r="G32" s="1"/>
      <c r="H32" s="1"/>
      <c r="I32" s="1"/>
      <c r="J32" s="1"/>
    </row>
    <row r="33" spans="1:10" ht="30" x14ac:dyDescent="0.2">
      <c r="A33" s="42" t="s">
        <v>38</v>
      </c>
      <c r="B33" s="43" t="s">
        <v>1</v>
      </c>
      <c r="C33" s="229"/>
      <c r="D33" s="229"/>
      <c r="E33" s="1">
        <f>IF(B33="так",1,0)</f>
        <v>0</v>
      </c>
      <c r="F33" s="1"/>
      <c r="G33" s="1"/>
      <c r="H33" s="1"/>
      <c r="I33" s="1"/>
      <c r="J33" s="1"/>
    </row>
    <row r="34" spans="1:10" x14ac:dyDescent="0.2">
      <c r="A34" s="42" t="s">
        <v>218</v>
      </c>
      <c r="B34" s="43" t="s">
        <v>1</v>
      </c>
      <c r="C34" s="229"/>
      <c r="D34" s="229"/>
      <c r="E34" s="1">
        <f>IF(B34="так",1,0)</f>
        <v>0</v>
      </c>
      <c r="F34" s="1"/>
      <c r="G34" s="1"/>
      <c r="H34" s="1"/>
      <c r="I34" s="1"/>
      <c r="J34" s="1"/>
    </row>
    <row r="35" spans="1:10" x14ac:dyDescent="0.2">
      <c r="A35" s="42" t="s">
        <v>39</v>
      </c>
      <c r="B35" s="43" t="s">
        <v>1</v>
      </c>
      <c r="C35" s="229"/>
      <c r="D35" s="229"/>
      <c r="E35" s="1">
        <f>IF(B35="так",1,0)</f>
        <v>0</v>
      </c>
      <c r="F35" s="1"/>
      <c r="G35" s="1"/>
      <c r="H35" s="1"/>
      <c r="I35" s="1"/>
      <c r="J35" s="1"/>
    </row>
    <row r="36" spans="1:10" ht="30" x14ac:dyDescent="0.2">
      <c r="A36" s="42" t="s">
        <v>422</v>
      </c>
      <c r="B36" s="43" t="s">
        <v>1</v>
      </c>
      <c r="C36" s="229"/>
      <c r="D36" s="229"/>
      <c r="E36" s="1">
        <f>IF(B36="так",1,0)</f>
        <v>0</v>
      </c>
      <c r="F36" s="1"/>
      <c r="G36" s="1"/>
      <c r="H36" s="1"/>
      <c r="I36" s="1"/>
      <c r="J36" s="1"/>
    </row>
    <row r="37" spans="1:10" ht="24.75" customHeight="1" x14ac:dyDescent="0.2">
      <c r="A37" s="44" t="s">
        <v>239</v>
      </c>
      <c r="B37" s="44"/>
      <c r="C37" s="45" t="s">
        <v>240</v>
      </c>
      <c r="D37" s="46">
        <f>IF(B7="так",1,(1+0.1*B38))</f>
        <v>1</v>
      </c>
      <c r="E37" s="1"/>
      <c r="F37" s="1"/>
      <c r="G37" s="1"/>
      <c r="H37" s="1"/>
      <c r="I37" s="1"/>
      <c r="J37" s="1"/>
    </row>
    <row r="38" spans="1:10" ht="75" x14ac:dyDescent="0.2">
      <c r="A38" s="47" t="s">
        <v>371</v>
      </c>
      <c r="B38" s="222">
        <v>0</v>
      </c>
      <c r="C38" s="222"/>
      <c r="D38" s="222"/>
      <c r="E38" s="1"/>
      <c r="F38" s="1"/>
      <c r="G38" s="1"/>
      <c r="H38" s="1"/>
      <c r="I38" s="1"/>
      <c r="J38" s="1"/>
    </row>
    <row r="39" spans="1:10" ht="35.25" customHeight="1" x14ac:dyDescent="0.2">
      <c r="A39" s="44" t="s">
        <v>242</v>
      </c>
      <c r="B39" s="44"/>
      <c r="C39" s="45" t="s">
        <v>241</v>
      </c>
      <c r="D39" s="46">
        <f>IF(B7="так",1,1+D40+D42+D44+D46+D48+D50+D55+D61+D66+D68+D73)</f>
        <v>1</v>
      </c>
      <c r="E39" s="1"/>
      <c r="F39" s="1"/>
      <c r="G39" s="1"/>
      <c r="H39" s="1"/>
      <c r="I39" s="1"/>
      <c r="J39" s="1"/>
    </row>
    <row r="40" spans="1:10" ht="47.25" customHeight="1" x14ac:dyDescent="0.2">
      <c r="A40" s="20" t="s">
        <v>243</v>
      </c>
      <c r="B40" s="230"/>
      <c r="C40" s="231"/>
      <c r="D40" s="48">
        <f>VLOOKUP(A41,Krez1_rez,2,0)</f>
        <v>0</v>
      </c>
      <c r="E40" s="1"/>
      <c r="F40" s="1"/>
      <c r="G40" s="1"/>
      <c r="H40" s="232"/>
      <c r="I40" s="232"/>
      <c r="J40" s="1"/>
    </row>
    <row r="41" spans="1:10" x14ac:dyDescent="0.2">
      <c r="A41" s="233" t="s">
        <v>102</v>
      </c>
      <c r="B41" s="233"/>
      <c r="C41" s="233"/>
      <c r="D41" s="234"/>
      <c r="E41" s="1"/>
      <c r="F41" s="1"/>
      <c r="G41" s="1"/>
      <c r="H41" s="1"/>
      <c r="I41" s="1"/>
      <c r="J41" s="1"/>
    </row>
    <row r="42" spans="1:10" ht="34.5" customHeight="1" x14ac:dyDescent="0.2">
      <c r="A42" s="49" t="s">
        <v>244</v>
      </c>
      <c r="B42" s="50"/>
      <c r="C42" s="51"/>
      <c r="D42" s="32">
        <f>VLOOKUP(A43,Krez2_rez,2,0)</f>
        <v>0</v>
      </c>
      <c r="E42" s="1"/>
      <c r="F42" s="1"/>
      <c r="G42" s="1"/>
      <c r="H42" s="1"/>
      <c r="I42" s="1"/>
      <c r="J42" s="1"/>
    </row>
    <row r="43" spans="1:10" x14ac:dyDescent="0.2">
      <c r="A43" s="233" t="s">
        <v>102</v>
      </c>
      <c r="B43" s="233"/>
      <c r="C43" s="233"/>
      <c r="D43" s="234"/>
      <c r="E43" s="1"/>
      <c r="F43" s="1"/>
      <c r="G43" s="1"/>
      <c r="H43" s="1"/>
      <c r="I43" s="1"/>
      <c r="J43" s="1"/>
    </row>
    <row r="44" spans="1:10" ht="78" customHeight="1" x14ac:dyDescent="0.2">
      <c r="A44" s="52" t="s">
        <v>377</v>
      </c>
      <c r="B44" s="22"/>
      <c r="C44" s="53"/>
      <c r="D44" s="32">
        <f>IF(AND(D46=0,D48=0,D50=0,D55=0,D61=0,D66=0,D68=0,D73=0),VLOOKUP(A45,Krez3_rez,2,0),0)</f>
        <v>0</v>
      </c>
      <c r="E44" s="1"/>
      <c r="F44" s="1"/>
      <c r="G44" s="54"/>
      <c r="H44" s="235" t="s">
        <v>272</v>
      </c>
      <c r="I44" s="235"/>
    </row>
    <row r="45" spans="1:10" x14ac:dyDescent="0.2">
      <c r="A45" s="241" t="s">
        <v>102</v>
      </c>
      <c r="B45" s="242"/>
      <c r="C45" s="242"/>
      <c r="D45" s="243"/>
      <c r="E45" s="1"/>
      <c r="F45" s="1"/>
      <c r="G45" s="1"/>
      <c r="H45" s="55"/>
      <c r="I45" s="55"/>
    </row>
    <row r="46" spans="1:10" ht="81" customHeight="1" x14ac:dyDescent="0.2">
      <c r="A46" s="16" t="s">
        <v>376</v>
      </c>
      <c r="B46" s="230"/>
      <c r="C46" s="231"/>
      <c r="D46" s="48">
        <f>IF(AND(D48=0,D50=0,D55=0,D61=0,D66=0,D68=0,D73=0),VLOOKUP(A47,Krez4_rez,2,0),0)</f>
        <v>0</v>
      </c>
      <c r="F46" s="30"/>
      <c r="G46" s="1"/>
      <c r="H46" s="235" t="s">
        <v>273</v>
      </c>
      <c r="I46" s="235"/>
      <c r="J46" s="1"/>
    </row>
    <row r="47" spans="1:10" x14ac:dyDescent="0.2">
      <c r="A47" s="223" t="s">
        <v>102</v>
      </c>
      <c r="B47" s="223"/>
      <c r="C47" s="223"/>
      <c r="D47" s="224"/>
      <c r="E47" s="1"/>
      <c r="F47" s="1"/>
      <c r="G47" s="1"/>
      <c r="H47" s="56"/>
      <c r="I47" s="56"/>
      <c r="J47" s="1"/>
    </row>
    <row r="48" spans="1:10" ht="21" customHeight="1" x14ac:dyDescent="0.2">
      <c r="A48" s="57" t="s">
        <v>246</v>
      </c>
      <c r="B48" s="179"/>
      <c r="C48" s="180"/>
      <c r="D48" s="58">
        <f>IF(AND(D50=0,D55=0,D61=0,D66=0,D68=0,D73=0),VLOOKUP(A49,Krez5_rez,2,0),0)</f>
        <v>0</v>
      </c>
      <c r="E48" s="1"/>
      <c r="F48" s="1"/>
      <c r="G48" s="1"/>
      <c r="H48" s="235" t="s">
        <v>274</v>
      </c>
      <c r="I48" s="235"/>
      <c r="J48" s="1"/>
    </row>
    <row r="49" spans="1:10" x14ac:dyDescent="0.2">
      <c r="A49" s="223" t="s">
        <v>102</v>
      </c>
      <c r="B49" s="223"/>
      <c r="C49" s="223"/>
      <c r="D49" s="224"/>
      <c r="E49" s="1"/>
      <c r="F49" s="1"/>
      <c r="G49" s="1"/>
      <c r="H49" s="1"/>
      <c r="I49" s="1"/>
      <c r="J49" s="1"/>
    </row>
    <row r="50" spans="1:10" ht="21" customHeight="1" x14ac:dyDescent="0.2">
      <c r="A50" s="52" t="s">
        <v>372</v>
      </c>
      <c r="B50" s="236"/>
      <c r="C50" s="236"/>
      <c r="D50" s="58">
        <f>D51+D53</f>
        <v>0</v>
      </c>
      <c r="E50" s="1"/>
      <c r="F50" s="1"/>
      <c r="G50" s="1"/>
      <c r="H50" s="238" t="s">
        <v>254</v>
      </c>
      <c r="I50" s="238"/>
      <c r="J50" s="1"/>
    </row>
    <row r="51" spans="1:10" ht="33.75" customHeight="1" x14ac:dyDescent="0.2">
      <c r="A51" s="117" t="s">
        <v>373</v>
      </c>
      <c r="B51" s="181"/>
      <c r="C51" s="183"/>
      <c r="D51" s="18">
        <f>IF(D53&gt;0,0,VLOOKUP(A52,Krez6a_rez,2,0))</f>
        <v>0</v>
      </c>
      <c r="E51" s="1"/>
      <c r="F51" s="1"/>
      <c r="G51" s="1"/>
      <c r="H51" s="1"/>
      <c r="I51" s="1"/>
      <c r="J51" s="1"/>
    </row>
    <row r="52" spans="1:10" x14ac:dyDescent="0.2">
      <c r="A52" s="223" t="s">
        <v>102</v>
      </c>
      <c r="B52" s="223"/>
      <c r="C52" s="223"/>
      <c r="D52" s="224"/>
      <c r="E52" s="1"/>
      <c r="F52" s="1"/>
      <c r="G52" s="1"/>
      <c r="H52" s="1"/>
      <c r="I52" s="1"/>
      <c r="J52" s="1"/>
    </row>
    <row r="53" spans="1:10" ht="49.5" customHeight="1" x14ac:dyDescent="0.2">
      <c r="A53" s="119" t="s">
        <v>234</v>
      </c>
      <c r="B53" s="230"/>
      <c r="C53" s="231"/>
      <c r="D53" s="18">
        <f>VLOOKUP(A54,Krez6b_rez,2,0)</f>
        <v>0</v>
      </c>
      <c r="E53" s="1"/>
      <c r="F53" s="1"/>
      <c r="G53" s="1"/>
      <c r="H53" s="1"/>
      <c r="I53" s="1"/>
      <c r="J53" s="1"/>
    </row>
    <row r="54" spans="1:10" x14ac:dyDescent="0.2">
      <c r="A54" s="223" t="s">
        <v>102</v>
      </c>
      <c r="B54" s="223"/>
      <c r="C54" s="223"/>
      <c r="D54" s="224"/>
      <c r="E54" s="1"/>
      <c r="F54" s="1"/>
      <c r="G54" s="1"/>
      <c r="H54" s="1"/>
      <c r="I54" s="1"/>
      <c r="J54" s="1"/>
    </row>
    <row r="55" spans="1:10" ht="36" customHeight="1" x14ac:dyDescent="0.2">
      <c r="A55" s="16" t="s">
        <v>248</v>
      </c>
      <c r="B55" s="236"/>
      <c r="C55" s="236"/>
      <c r="D55" s="32">
        <f>IF(D50=0,MAX(D56:D60),0)</f>
        <v>0</v>
      </c>
      <c r="E55" s="1"/>
      <c r="F55" s="1"/>
      <c r="G55" s="1"/>
      <c r="H55" s="237" t="s">
        <v>255</v>
      </c>
      <c r="I55" s="237"/>
      <c r="J55" s="1"/>
    </row>
    <row r="56" spans="1:10" x14ac:dyDescent="0.2">
      <c r="A56" s="61" t="s">
        <v>97</v>
      </c>
      <c r="B56" s="43">
        <v>0</v>
      </c>
      <c r="C56" s="211"/>
      <c r="D56" s="62">
        <f>IF(B56*0.16&lt;=0.8,B56*0.16,0.8)</f>
        <v>0</v>
      </c>
      <c r="E56" s="1"/>
      <c r="F56" s="1"/>
      <c r="G56" s="1"/>
      <c r="H56" s="56"/>
      <c r="I56" s="56"/>
      <c r="J56" s="1"/>
    </row>
    <row r="57" spans="1:10" x14ac:dyDescent="0.2">
      <c r="A57" s="61" t="s">
        <v>98</v>
      </c>
      <c r="B57" s="43">
        <v>0</v>
      </c>
      <c r="C57" s="212"/>
      <c r="D57" s="62">
        <f>IF(B57*0.1&lt;=0.5,B57*0.1,0.5)</f>
        <v>0</v>
      </c>
      <c r="E57" s="1"/>
      <c r="F57" s="1"/>
      <c r="G57" s="1"/>
      <c r="H57" s="56"/>
      <c r="I57" s="56"/>
      <c r="J57" s="1"/>
    </row>
    <row r="58" spans="1:10" x14ac:dyDescent="0.2">
      <c r="A58" s="61" t="s">
        <v>99</v>
      </c>
      <c r="B58" s="43">
        <v>0</v>
      </c>
      <c r="C58" s="212"/>
      <c r="D58" s="62">
        <f>IF(B58*0.07&lt;=0.35,B58*0.07,0.35)</f>
        <v>0</v>
      </c>
      <c r="E58" s="1"/>
      <c r="F58" s="1"/>
      <c r="G58" s="1"/>
      <c r="H58" s="56"/>
      <c r="I58" s="56"/>
      <c r="J58" s="1"/>
    </row>
    <row r="59" spans="1:10" x14ac:dyDescent="0.2">
      <c r="A59" s="61" t="s">
        <v>374</v>
      </c>
      <c r="B59" s="43">
        <v>0</v>
      </c>
      <c r="C59" s="212"/>
      <c r="D59" s="62">
        <f>IF(B59*0.05&lt;=0.25,B59*0.05,0.25)</f>
        <v>0</v>
      </c>
      <c r="E59" s="1"/>
      <c r="F59" s="1"/>
      <c r="G59" s="1"/>
      <c r="H59" s="56"/>
      <c r="I59" s="56"/>
      <c r="J59" s="1"/>
    </row>
    <row r="60" spans="1:10" x14ac:dyDescent="0.2">
      <c r="A60" s="61" t="s">
        <v>375</v>
      </c>
      <c r="B60" s="63">
        <v>0</v>
      </c>
      <c r="C60" s="213"/>
      <c r="D60" s="64">
        <f>IF(B60*0.03&lt;=0.15,B60*0.03,0.15)</f>
        <v>0</v>
      </c>
      <c r="E60" s="1"/>
      <c r="F60" s="1"/>
      <c r="G60" s="1"/>
      <c r="H60" s="56"/>
      <c r="I60" s="56"/>
      <c r="J60" s="1"/>
    </row>
    <row r="61" spans="1:10" ht="36.75" customHeight="1" x14ac:dyDescent="0.2">
      <c r="A61" s="16" t="s">
        <v>250</v>
      </c>
      <c r="B61" s="245"/>
      <c r="C61" s="245"/>
      <c r="D61" s="246">
        <f>MAX(C62:C63)</f>
        <v>0</v>
      </c>
      <c r="E61" s="1"/>
      <c r="F61" s="1"/>
      <c r="G61" s="1"/>
      <c r="H61" s="244" t="s">
        <v>256</v>
      </c>
      <c r="I61" s="244"/>
    </row>
    <row r="62" spans="1:10" x14ac:dyDescent="0.2">
      <c r="A62" s="61" t="s">
        <v>110</v>
      </c>
      <c r="B62" s="43" t="s">
        <v>1</v>
      </c>
      <c r="C62" s="65">
        <f>IF(B62="так",0.13,0)</f>
        <v>0</v>
      </c>
      <c r="D62" s="247"/>
      <c r="F62" s="1"/>
      <c r="G62" s="1"/>
      <c r="H62" s="55"/>
      <c r="I62" s="55"/>
    </row>
    <row r="63" spans="1:10" x14ac:dyDescent="0.2">
      <c r="A63" s="61" t="s">
        <v>112</v>
      </c>
      <c r="B63" s="43" t="s">
        <v>1</v>
      </c>
      <c r="C63" s="65">
        <f>IF(B63="так",0.2,0)</f>
        <v>0</v>
      </c>
      <c r="D63" s="247"/>
      <c r="F63" s="1"/>
      <c r="G63" s="1"/>
      <c r="H63" s="55"/>
      <c r="I63" s="55"/>
    </row>
    <row r="64" spans="1:10" x14ac:dyDescent="0.2">
      <c r="A64" s="65"/>
      <c r="B64" s="65"/>
      <c r="C64" s="65"/>
      <c r="D64" s="247"/>
      <c r="F64" s="1"/>
      <c r="G64" s="1"/>
      <c r="H64" s="55"/>
      <c r="I64" s="55"/>
    </row>
    <row r="65" spans="1:9" x14ac:dyDescent="0.2">
      <c r="A65" s="66"/>
      <c r="B65" s="66"/>
      <c r="C65" s="66"/>
      <c r="D65" s="248"/>
      <c r="F65" s="1"/>
      <c r="G65" s="1"/>
      <c r="H65" s="55"/>
      <c r="I65" s="55"/>
    </row>
    <row r="66" spans="1:9" ht="105" customHeight="1" x14ac:dyDescent="0.2">
      <c r="A66" s="146" t="s">
        <v>378</v>
      </c>
      <c r="B66" s="249"/>
      <c r="C66" s="250"/>
      <c r="D66" s="32">
        <f>IF(D68&gt;0,0,IF(A67="так",0.27,0))</f>
        <v>0</v>
      </c>
      <c r="E66" s="1"/>
      <c r="F66" s="1"/>
      <c r="G66" s="1"/>
      <c r="H66" s="244" t="s">
        <v>257</v>
      </c>
      <c r="I66" s="244"/>
    </row>
    <row r="67" spans="1:9" x14ac:dyDescent="0.2">
      <c r="A67" s="223" t="s">
        <v>1</v>
      </c>
      <c r="B67" s="223"/>
      <c r="C67" s="223"/>
      <c r="D67" s="224"/>
      <c r="E67" s="1"/>
      <c r="F67" s="1"/>
      <c r="G67" s="1"/>
    </row>
    <row r="68" spans="1:9" ht="21" customHeight="1" x14ac:dyDescent="0.2">
      <c r="A68" s="16" t="s">
        <v>251</v>
      </c>
      <c r="B68" s="249"/>
      <c r="C68" s="250"/>
      <c r="D68" s="246">
        <f>MAX(C69:C70)</f>
        <v>0</v>
      </c>
      <c r="E68" s="1"/>
      <c r="F68" s="1"/>
      <c r="G68" s="1"/>
      <c r="H68" s="244" t="s">
        <v>258</v>
      </c>
      <c r="I68" s="244"/>
    </row>
    <row r="69" spans="1:9" x14ac:dyDescent="0.2">
      <c r="A69" s="61" t="s">
        <v>110</v>
      </c>
      <c r="B69" s="43" t="s">
        <v>1</v>
      </c>
      <c r="C69" s="65">
        <f>IF(B69="так",0.07,0)</f>
        <v>0</v>
      </c>
      <c r="D69" s="247"/>
      <c r="F69" s="1"/>
      <c r="G69" s="1"/>
    </row>
    <row r="70" spans="1:9" x14ac:dyDescent="0.2">
      <c r="A70" s="61" t="s">
        <v>112</v>
      </c>
      <c r="B70" s="43" t="s">
        <v>1</v>
      </c>
      <c r="C70" s="65">
        <f>IF(B70="так",0.1,0)</f>
        <v>0</v>
      </c>
      <c r="D70" s="247"/>
      <c r="F70" s="1"/>
      <c r="G70" s="1"/>
    </row>
    <row r="71" spans="1:9" x14ac:dyDescent="0.2">
      <c r="A71" s="65"/>
      <c r="B71" s="65"/>
      <c r="C71" s="65"/>
      <c r="D71" s="247"/>
      <c r="F71" s="1"/>
      <c r="G71" s="1"/>
    </row>
    <row r="72" spans="1:9" x14ac:dyDescent="0.2">
      <c r="A72" s="66"/>
      <c r="B72" s="66"/>
      <c r="C72" s="66"/>
      <c r="D72" s="248"/>
      <c r="F72" s="1"/>
      <c r="G72" s="1"/>
    </row>
    <row r="73" spans="1:9" ht="48.75" customHeight="1" x14ac:dyDescent="0.2">
      <c r="A73" s="16" t="s">
        <v>379</v>
      </c>
      <c r="B73" s="249"/>
      <c r="C73" s="250"/>
      <c r="D73" s="68">
        <f>VLOOKUP(A74,Krez11_rez,2,0)</f>
        <v>0</v>
      </c>
      <c r="E73" s="1"/>
      <c r="F73" s="1"/>
      <c r="G73" s="1"/>
      <c r="H73" s="244" t="s">
        <v>256</v>
      </c>
      <c r="I73" s="244"/>
    </row>
    <row r="74" spans="1:9" x14ac:dyDescent="0.2">
      <c r="A74" s="223" t="s">
        <v>102</v>
      </c>
      <c r="B74" s="223"/>
      <c r="C74" s="223"/>
      <c r="D74" s="224"/>
      <c r="E74" s="1"/>
      <c r="F74" s="1"/>
      <c r="G74" s="1"/>
    </row>
    <row r="75" spans="1:9" ht="35.25" customHeight="1" x14ac:dyDescent="0.2">
      <c r="A75" s="44" t="s">
        <v>215</v>
      </c>
      <c r="B75" s="26" t="s">
        <v>139</v>
      </c>
      <c r="C75" s="45" t="s">
        <v>235</v>
      </c>
      <c r="D75" s="71">
        <f>VLOOKUP(B75,Kzvit,2,0)</f>
        <v>1</v>
      </c>
      <c r="E75" s="72"/>
    </row>
    <row r="76" spans="1:9" ht="11.25" customHeight="1" x14ac:dyDescent="0.2">
      <c r="C76" s="73"/>
      <c r="D76" s="74"/>
    </row>
    <row r="77" spans="1:9" ht="33.75" customHeight="1" x14ac:dyDescent="0.2">
      <c r="A77" s="221" t="str">
        <f>A3</f>
        <v xml:space="preserve">Рк = 20 х Огод х Ксп х Кскл х Кос х Крез х Кзвіт = 20 x 166,4 x 0,67 x 1,1 x 1 x 1 х 1 = </v>
      </c>
      <c r="B77" s="221"/>
      <c r="C77" s="171">
        <f>C3</f>
        <v>2452.7360000000003</v>
      </c>
      <c r="D77" s="171"/>
    </row>
    <row r="78" spans="1:9" x14ac:dyDescent="0.2">
      <c r="D78" s="75"/>
    </row>
    <row r="79" spans="1:9" x14ac:dyDescent="0.2">
      <c r="D79" s="75"/>
    </row>
    <row r="80" spans="1:9" x14ac:dyDescent="0.2">
      <c r="D80" s="75"/>
    </row>
    <row r="81" spans="4:4" x14ac:dyDescent="0.2">
      <c r="D81" s="75"/>
    </row>
    <row r="82" spans="4:4" x14ac:dyDescent="0.2">
      <c r="D82" s="75"/>
    </row>
    <row r="83" spans="4:4" x14ac:dyDescent="0.2">
      <c r="D83" s="75"/>
    </row>
    <row r="84" spans="4:4" x14ac:dyDescent="0.2">
      <c r="D84" s="75"/>
    </row>
    <row r="85" spans="4:4" x14ac:dyDescent="0.2">
      <c r="D85" s="75"/>
    </row>
    <row r="86" spans="4:4" x14ac:dyDescent="0.2">
      <c r="D86" s="75"/>
    </row>
    <row r="87" spans="4:4" x14ac:dyDescent="0.2">
      <c r="D87" s="75"/>
    </row>
    <row r="88" spans="4:4" x14ac:dyDescent="0.2">
      <c r="D88" s="75"/>
    </row>
    <row r="89" spans="4:4" x14ac:dyDescent="0.2">
      <c r="D89" s="75"/>
    </row>
    <row r="90" spans="4:4" x14ac:dyDescent="0.2">
      <c r="D90" s="75"/>
    </row>
    <row r="91" spans="4:4" x14ac:dyDescent="0.2">
      <c r="D91" s="75"/>
    </row>
    <row r="92" spans="4:4" x14ac:dyDescent="0.2">
      <c r="D92" s="75"/>
    </row>
    <row r="93" spans="4:4" x14ac:dyDescent="0.2">
      <c r="D93" s="75"/>
    </row>
    <row r="94" spans="4:4" x14ac:dyDescent="0.2">
      <c r="D94" s="75"/>
    </row>
    <row r="95" spans="4:4" x14ac:dyDescent="0.2">
      <c r="D95" s="75"/>
    </row>
    <row r="96" spans="4:4" x14ac:dyDescent="0.2">
      <c r="D96" s="75"/>
    </row>
    <row r="97" spans="4:4" x14ac:dyDescent="0.2">
      <c r="D97" s="75"/>
    </row>
    <row r="98" spans="4:4" x14ac:dyDescent="0.2">
      <c r="D98" s="75"/>
    </row>
    <row r="99" spans="4:4" x14ac:dyDescent="0.2">
      <c r="D99" s="75"/>
    </row>
    <row r="100" spans="4:4" x14ac:dyDescent="0.2">
      <c r="D100" s="75"/>
    </row>
    <row r="101" spans="4:4" x14ac:dyDescent="0.2">
      <c r="D101" s="75"/>
    </row>
    <row r="102" spans="4:4" x14ac:dyDescent="0.2">
      <c r="D102" s="75"/>
    </row>
    <row r="103" spans="4:4" x14ac:dyDescent="0.2">
      <c r="D103" s="75"/>
    </row>
    <row r="104" spans="4:4" x14ac:dyDescent="0.2">
      <c r="D104" s="75"/>
    </row>
    <row r="105" spans="4:4" x14ac:dyDescent="0.2">
      <c r="D105" s="75"/>
    </row>
    <row r="106" spans="4:4" x14ac:dyDescent="0.2">
      <c r="D106" s="75"/>
    </row>
    <row r="107" spans="4:4" x14ac:dyDescent="0.2">
      <c r="D107" s="75"/>
    </row>
    <row r="108" spans="4:4" x14ac:dyDescent="0.2">
      <c r="D108" s="75"/>
    </row>
    <row r="109" spans="4:4" x14ac:dyDescent="0.2">
      <c r="D109" s="75"/>
    </row>
    <row r="110" spans="4:4" x14ac:dyDescent="0.2">
      <c r="D110" s="75"/>
    </row>
    <row r="111" spans="4:4" x14ac:dyDescent="0.2">
      <c r="D111" s="75"/>
    </row>
    <row r="112" spans="4:4" x14ac:dyDescent="0.2">
      <c r="D112" s="75"/>
    </row>
    <row r="113" spans="4:4" x14ac:dyDescent="0.2">
      <c r="D113" s="75"/>
    </row>
    <row r="114" spans="4:4" x14ac:dyDescent="0.2">
      <c r="D114" s="75"/>
    </row>
    <row r="115" spans="4:4" x14ac:dyDescent="0.2">
      <c r="D115" s="75"/>
    </row>
    <row r="116" spans="4:4" x14ac:dyDescent="0.2">
      <c r="D116" s="75"/>
    </row>
    <row r="117" spans="4:4" x14ac:dyDescent="0.2">
      <c r="D117" s="75"/>
    </row>
    <row r="118" spans="4:4" x14ac:dyDescent="0.2">
      <c r="D118" s="75"/>
    </row>
    <row r="119" spans="4:4" x14ac:dyDescent="0.2">
      <c r="D119" s="75"/>
    </row>
    <row r="120" spans="4:4" x14ac:dyDescent="0.2">
      <c r="D120" s="75"/>
    </row>
    <row r="121" spans="4:4" x14ac:dyDescent="0.2">
      <c r="D121" s="75"/>
    </row>
    <row r="122" spans="4:4" x14ac:dyDescent="0.2">
      <c r="D122" s="75"/>
    </row>
    <row r="123" spans="4:4" x14ac:dyDescent="0.2">
      <c r="D123" s="75"/>
    </row>
    <row r="124" spans="4:4" x14ac:dyDescent="0.2">
      <c r="D124" s="75"/>
    </row>
    <row r="125" spans="4:4" x14ac:dyDescent="0.2">
      <c r="D125" s="75"/>
    </row>
    <row r="126" spans="4:4" x14ac:dyDescent="0.2">
      <c r="D126" s="75"/>
    </row>
    <row r="127" spans="4:4" x14ac:dyDescent="0.2">
      <c r="D127" s="75"/>
    </row>
    <row r="128" spans="4:4" x14ac:dyDescent="0.2">
      <c r="D128" s="75"/>
    </row>
    <row r="129" spans="4:4" x14ac:dyDescent="0.2">
      <c r="D129" s="75"/>
    </row>
    <row r="130" spans="4:4" x14ac:dyDescent="0.2">
      <c r="D130" s="75"/>
    </row>
    <row r="131" spans="4:4" x14ac:dyDescent="0.2">
      <c r="D131" s="75"/>
    </row>
    <row r="132" spans="4:4" x14ac:dyDescent="0.2">
      <c r="D132" s="75"/>
    </row>
    <row r="133" spans="4:4" x14ac:dyDescent="0.2">
      <c r="D133" s="75"/>
    </row>
    <row r="134" spans="4:4" x14ac:dyDescent="0.2">
      <c r="D134" s="75"/>
    </row>
    <row r="135" spans="4:4" x14ac:dyDescent="0.2">
      <c r="D135" s="75"/>
    </row>
    <row r="136" spans="4:4" x14ac:dyDescent="0.2">
      <c r="D136" s="75"/>
    </row>
    <row r="137" spans="4:4" x14ac:dyDescent="0.2">
      <c r="D137" s="75"/>
    </row>
    <row r="138" spans="4:4" x14ac:dyDescent="0.2">
      <c r="D138" s="75"/>
    </row>
    <row r="139" spans="4:4" x14ac:dyDescent="0.2">
      <c r="D139" s="75"/>
    </row>
    <row r="140" spans="4:4" x14ac:dyDescent="0.2">
      <c r="D140" s="75"/>
    </row>
    <row r="141" spans="4:4" x14ac:dyDescent="0.2">
      <c r="D141" s="75"/>
    </row>
    <row r="142" spans="4:4" x14ac:dyDescent="0.2">
      <c r="D142" s="75"/>
    </row>
    <row r="143" spans="4:4" x14ac:dyDescent="0.2">
      <c r="D143" s="75"/>
    </row>
    <row r="144" spans="4:4" x14ac:dyDescent="0.2">
      <c r="D144" s="75"/>
    </row>
    <row r="145" spans="4:4" x14ac:dyDescent="0.2">
      <c r="D145" s="75"/>
    </row>
    <row r="146" spans="4:4" x14ac:dyDescent="0.2">
      <c r="D146" s="75"/>
    </row>
    <row r="147" spans="4:4" x14ac:dyDescent="0.2">
      <c r="D147" s="75"/>
    </row>
    <row r="148" spans="4:4" x14ac:dyDescent="0.2">
      <c r="D148" s="75"/>
    </row>
    <row r="149" spans="4:4" x14ac:dyDescent="0.2">
      <c r="D149" s="75"/>
    </row>
    <row r="150" spans="4:4" x14ac:dyDescent="0.2">
      <c r="D150" s="75"/>
    </row>
    <row r="151" spans="4:4" x14ac:dyDescent="0.2">
      <c r="D151" s="75"/>
    </row>
    <row r="152" spans="4:4" x14ac:dyDescent="0.2">
      <c r="D152" s="75"/>
    </row>
    <row r="153" spans="4:4" x14ac:dyDescent="0.2">
      <c r="D153" s="75"/>
    </row>
    <row r="154" spans="4:4" x14ac:dyDescent="0.2">
      <c r="D154" s="75"/>
    </row>
    <row r="155" spans="4:4" x14ac:dyDescent="0.2">
      <c r="D155" s="75"/>
    </row>
    <row r="156" spans="4:4" x14ac:dyDescent="0.2">
      <c r="D156" s="75"/>
    </row>
    <row r="157" spans="4:4" x14ac:dyDescent="0.2">
      <c r="D157" s="75"/>
    </row>
    <row r="158" spans="4:4" x14ac:dyDescent="0.2">
      <c r="D158" s="75"/>
    </row>
    <row r="159" spans="4:4" x14ac:dyDescent="0.2">
      <c r="D159" s="75"/>
    </row>
    <row r="160" spans="4:4" x14ac:dyDescent="0.2">
      <c r="D160" s="75"/>
    </row>
    <row r="161" spans="4:4" x14ac:dyDescent="0.2">
      <c r="D161" s="75"/>
    </row>
    <row r="162" spans="4:4" x14ac:dyDescent="0.2">
      <c r="D162" s="75"/>
    </row>
    <row r="163" spans="4:4" x14ac:dyDescent="0.2">
      <c r="D163" s="75"/>
    </row>
    <row r="164" spans="4:4" x14ac:dyDescent="0.2">
      <c r="D164" s="75"/>
    </row>
    <row r="165" spans="4:4" x14ac:dyDescent="0.2">
      <c r="D165" s="75"/>
    </row>
    <row r="166" spans="4:4" x14ac:dyDescent="0.2">
      <c r="D166" s="75"/>
    </row>
    <row r="167" spans="4:4" x14ac:dyDescent="0.2">
      <c r="D167" s="75"/>
    </row>
    <row r="168" spans="4:4" x14ac:dyDescent="0.2">
      <c r="D168" s="75"/>
    </row>
    <row r="169" spans="4:4" x14ac:dyDescent="0.2">
      <c r="D169" s="75"/>
    </row>
    <row r="170" spans="4:4" x14ac:dyDescent="0.2">
      <c r="D170" s="75"/>
    </row>
    <row r="171" spans="4:4" x14ac:dyDescent="0.2">
      <c r="D171" s="75"/>
    </row>
    <row r="172" spans="4:4" x14ac:dyDescent="0.2">
      <c r="D172" s="75"/>
    </row>
    <row r="173" spans="4:4" x14ac:dyDescent="0.2">
      <c r="D173" s="75"/>
    </row>
    <row r="174" spans="4:4" x14ac:dyDescent="0.2">
      <c r="D174" s="75"/>
    </row>
    <row r="175" spans="4:4" x14ac:dyDescent="0.2">
      <c r="D175" s="75"/>
    </row>
    <row r="176" spans="4:4" x14ac:dyDescent="0.2">
      <c r="D176" s="75"/>
    </row>
    <row r="177" spans="4:4" x14ac:dyDescent="0.2">
      <c r="D177" s="75"/>
    </row>
    <row r="178" spans="4:4" x14ac:dyDescent="0.2">
      <c r="D178" s="75"/>
    </row>
    <row r="179" spans="4:4" x14ac:dyDescent="0.2">
      <c r="D179" s="75"/>
    </row>
    <row r="180" spans="4:4" x14ac:dyDescent="0.2">
      <c r="D180" s="75"/>
    </row>
    <row r="181" spans="4:4" x14ac:dyDescent="0.2">
      <c r="D181" s="75"/>
    </row>
    <row r="182" spans="4:4" x14ac:dyDescent="0.2">
      <c r="D182" s="75"/>
    </row>
    <row r="183" spans="4:4" x14ac:dyDescent="0.2">
      <c r="D183" s="75"/>
    </row>
    <row r="184" spans="4:4" x14ac:dyDescent="0.2">
      <c r="D184" s="75"/>
    </row>
    <row r="185" spans="4:4" x14ac:dyDescent="0.2">
      <c r="D185" s="75"/>
    </row>
    <row r="186" spans="4:4" x14ac:dyDescent="0.2">
      <c r="D186" s="75"/>
    </row>
    <row r="187" spans="4:4" x14ac:dyDescent="0.2">
      <c r="D187" s="75"/>
    </row>
    <row r="188" spans="4:4" x14ac:dyDescent="0.2">
      <c r="D188" s="75"/>
    </row>
    <row r="189" spans="4:4" x14ac:dyDescent="0.2">
      <c r="D189" s="75"/>
    </row>
    <row r="190" spans="4:4" x14ac:dyDescent="0.2">
      <c r="D190" s="75"/>
    </row>
    <row r="191" spans="4:4" x14ac:dyDescent="0.2">
      <c r="D191" s="75"/>
    </row>
    <row r="192" spans="4:4" x14ac:dyDescent="0.2">
      <c r="D192" s="75"/>
    </row>
    <row r="193" spans="4:4" x14ac:dyDescent="0.2">
      <c r="D193" s="75"/>
    </row>
    <row r="194" spans="4:4" x14ac:dyDescent="0.2">
      <c r="D194" s="75"/>
    </row>
    <row r="195" spans="4:4" x14ac:dyDescent="0.2">
      <c r="D195" s="75"/>
    </row>
    <row r="196" spans="4:4" x14ac:dyDescent="0.2">
      <c r="D196" s="75"/>
    </row>
    <row r="197" spans="4:4" x14ac:dyDescent="0.2">
      <c r="D197" s="75"/>
    </row>
    <row r="198" spans="4:4" x14ac:dyDescent="0.2">
      <c r="D198" s="75"/>
    </row>
    <row r="199" spans="4:4" x14ac:dyDescent="0.2">
      <c r="D199" s="75"/>
    </row>
    <row r="200" spans="4:4" x14ac:dyDescent="0.2">
      <c r="D200" s="75"/>
    </row>
    <row r="201" spans="4:4" x14ac:dyDescent="0.2">
      <c r="D201" s="75"/>
    </row>
    <row r="202" spans="4:4" x14ac:dyDescent="0.2">
      <c r="D202" s="75"/>
    </row>
    <row r="203" spans="4:4" x14ac:dyDescent="0.2">
      <c r="D203" s="75"/>
    </row>
    <row r="204" spans="4:4" x14ac:dyDescent="0.2">
      <c r="D204" s="75"/>
    </row>
    <row r="205" spans="4:4" x14ac:dyDescent="0.2">
      <c r="D205" s="75"/>
    </row>
    <row r="206" spans="4:4" x14ac:dyDescent="0.2">
      <c r="D206" s="75"/>
    </row>
    <row r="207" spans="4:4" x14ac:dyDescent="0.2">
      <c r="D207" s="75"/>
    </row>
    <row r="208" spans="4:4" x14ac:dyDescent="0.2">
      <c r="D208" s="75"/>
    </row>
    <row r="209" spans="4:4" x14ac:dyDescent="0.2">
      <c r="D209" s="75"/>
    </row>
    <row r="210" spans="4:4" x14ac:dyDescent="0.2">
      <c r="D210" s="75"/>
    </row>
    <row r="211" spans="4:4" x14ac:dyDescent="0.2">
      <c r="D211" s="75"/>
    </row>
    <row r="212" spans="4:4" x14ac:dyDescent="0.2">
      <c r="D212" s="75"/>
    </row>
    <row r="213" spans="4:4" x14ac:dyDescent="0.2">
      <c r="D213" s="75"/>
    </row>
    <row r="214" spans="4:4" x14ac:dyDescent="0.2">
      <c r="D214" s="75"/>
    </row>
    <row r="215" spans="4:4" x14ac:dyDescent="0.2">
      <c r="D215" s="75"/>
    </row>
    <row r="216" spans="4:4" x14ac:dyDescent="0.2">
      <c r="D216" s="75"/>
    </row>
    <row r="217" spans="4:4" x14ac:dyDescent="0.2">
      <c r="D217" s="75"/>
    </row>
    <row r="218" spans="4:4" x14ac:dyDescent="0.2">
      <c r="D218" s="75"/>
    </row>
    <row r="219" spans="4:4" x14ac:dyDescent="0.2">
      <c r="D219" s="75"/>
    </row>
    <row r="220" spans="4:4" x14ac:dyDescent="0.2">
      <c r="D220" s="75"/>
    </row>
    <row r="221" spans="4:4" x14ac:dyDescent="0.2">
      <c r="D221" s="75"/>
    </row>
    <row r="222" spans="4:4" x14ac:dyDescent="0.2">
      <c r="D222" s="75"/>
    </row>
    <row r="223" spans="4:4" x14ac:dyDescent="0.2">
      <c r="D223" s="75"/>
    </row>
    <row r="224" spans="4:4" x14ac:dyDescent="0.2">
      <c r="D224" s="75"/>
    </row>
    <row r="225" spans="4:4" x14ac:dyDescent="0.2">
      <c r="D225" s="75"/>
    </row>
    <row r="226" spans="4:4" x14ac:dyDescent="0.2">
      <c r="D226" s="75"/>
    </row>
    <row r="227" spans="4:4" x14ac:dyDescent="0.2">
      <c r="D227" s="75"/>
    </row>
    <row r="228" spans="4:4" x14ac:dyDescent="0.2">
      <c r="D228" s="75"/>
    </row>
    <row r="229" spans="4:4" x14ac:dyDescent="0.2">
      <c r="D229" s="75"/>
    </row>
    <row r="230" spans="4:4" x14ac:dyDescent="0.2">
      <c r="D230" s="75"/>
    </row>
    <row r="231" spans="4:4" x14ac:dyDescent="0.2">
      <c r="D231" s="75"/>
    </row>
    <row r="232" spans="4:4" x14ac:dyDescent="0.2">
      <c r="D232" s="75"/>
    </row>
    <row r="233" spans="4:4" x14ac:dyDescent="0.2">
      <c r="D233" s="75"/>
    </row>
    <row r="234" spans="4:4" x14ac:dyDescent="0.2">
      <c r="D234" s="75"/>
    </row>
    <row r="235" spans="4:4" x14ac:dyDescent="0.2">
      <c r="D235" s="75"/>
    </row>
    <row r="236" spans="4:4" x14ac:dyDescent="0.2">
      <c r="D236" s="75"/>
    </row>
    <row r="237" spans="4:4" x14ac:dyDescent="0.2">
      <c r="D237" s="75"/>
    </row>
    <row r="238" spans="4:4" x14ac:dyDescent="0.2">
      <c r="D238" s="75"/>
    </row>
    <row r="239" spans="4:4" x14ac:dyDescent="0.2">
      <c r="D239" s="75"/>
    </row>
    <row r="240" spans="4:4" x14ac:dyDescent="0.2">
      <c r="D240" s="75"/>
    </row>
    <row r="241" spans="4:4" x14ac:dyDescent="0.2">
      <c r="D241" s="75"/>
    </row>
    <row r="242" spans="4:4" x14ac:dyDescent="0.2">
      <c r="D242" s="75"/>
    </row>
    <row r="243" spans="4:4" x14ac:dyDescent="0.2">
      <c r="D243" s="75"/>
    </row>
    <row r="244" spans="4:4" x14ac:dyDescent="0.2">
      <c r="D244" s="75"/>
    </row>
    <row r="245" spans="4:4" x14ac:dyDescent="0.2">
      <c r="D245" s="75"/>
    </row>
    <row r="246" spans="4:4" x14ac:dyDescent="0.2">
      <c r="D246" s="75"/>
    </row>
    <row r="247" spans="4:4" x14ac:dyDescent="0.2">
      <c r="D247" s="75"/>
    </row>
    <row r="248" spans="4:4" x14ac:dyDescent="0.2">
      <c r="D248" s="75"/>
    </row>
    <row r="249" spans="4:4" x14ac:dyDescent="0.2">
      <c r="D249" s="75"/>
    </row>
    <row r="250" spans="4:4" x14ac:dyDescent="0.2">
      <c r="D250" s="75"/>
    </row>
    <row r="251" spans="4:4" x14ac:dyDescent="0.2">
      <c r="D251" s="75"/>
    </row>
    <row r="252" spans="4:4" x14ac:dyDescent="0.2">
      <c r="D252" s="75"/>
    </row>
    <row r="253" spans="4:4" x14ac:dyDescent="0.2">
      <c r="D253" s="75"/>
    </row>
    <row r="254" spans="4:4" x14ac:dyDescent="0.2">
      <c r="D254" s="75"/>
    </row>
    <row r="255" spans="4:4" x14ac:dyDescent="0.2">
      <c r="D255" s="75"/>
    </row>
    <row r="256" spans="4:4" x14ac:dyDescent="0.2">
      <c r="D256" s="75"/>
    </row>
    <row r="257" spans="4:4" x14ac:dyDescent="0.2">
      <c r="D257" s="75"/>
    </row>
    <row r="258" spans="4:4" x14ac:dyDescent="0.2">
      <c r="D258" s="75"/>
    </row>
    <row r="259" spans="4:4" x14ac:dyDescent="0.2">
      <c r="D259" s="75"/>
    </row>
    <row r="260" spans="4:4" x14ac:dyDescent="0.2">
      <c r="D260" s="75"/>
    </row>
    <row r="261" spans="4:4" x14ac:dyDescent="0.2">
      <c r="D261" s="75"/>
    </row>
    <row r="262" spans="4:4" x14ac:dyDescent="0.2">
      <c r="D262" s="75"/>
    </row>
    <row r="263" spans="4:4" x14ac:dyDescent="0.2">
      <c r="D263" s="75"/>
    </row>
    <row r="264" spans="4:4" x14ac:dyDescent="0.2">
      <c r="D264" s="75"/>
    </row>
    <row r="265" spans="4:4" x14ac:dyDescent="0.2">
      <c r="D265" s="75"/>
    </row>
    <row r="266" spans="4:4" x14ac:dyDescent="0.2">
      <c r="D266" s="75"/>
    </row>
    <row r="267" spans="4:4" x14ac:dyDescent="0.2">
      <c r="D267" s="75"/>
    </row>
    <row r="268" spans="4:4" x14ac:dyDescent="0.2">
      <c r="D268" s="75"/>
    </row>
    <row r="269" spans="4:4" x14ac:dyDescent="0.2">
      <c r="D269" s="75"/>
    </row>
    <row r="270" spans="4:4" x14ac:dyDescent="0.2">
      <c r="D270" s="75"/>
    </row>
    <row r="271" spans="4:4" x14ac:dyDescent="0.2">
      <c r="D271" s="75"/>
    </row>
    <row r="272" spans="4:4" x14ac:dyDescent="0.2">
      <c r="D272" s="75"/>
    </row>
    <row r="273" spans="4:4" x14ac:dyDescent="0.2">
      <c r="D273" s="75"/>
    </row>
    <row r="274" spans="4:4" x14ac:dyDescent="0.2">
      <c r="D274" s="75"/>
    </row>
    <row r="275" spans="4:4" x14ac:dyDescent="0.2">
      <c r="D275" s="75"/>
    </row>
    <row r="276" spans="4:4" x14ac:dyDescent="0.2">
      <c r="D276" s="75"/>
    </row>
    <row r="277" spans="4:4" x14ac:dyDescent="0.2">
      <c r="D277" s="75"/>
    </row>
    <row r="278" spans="4:4" x14ac:dyDescent="0.2">
      <c r="D278" s="75"/>
    </row>
    <row r="279" spans="4:4" x14ac:dyDescent="0.2">
      <c r="D279" s="75"/>
    </row>
    <row r="280" spans="4:4" x14ac:dyDescent="0.2">
      <c r="D280" s="75"/>
    </row>
    <row r="281" spans="4:4" x14ac:dyDescent="0.2">
      <c r="D281" s="75"/>
    </row>
    <row r="282" spans="4:4" x14ac:dyDescent="0.2">
      <c r="D282" s="75"/>
    </row>
    <row r="283" spans="4:4" x14ac:dyDescent="0.2">
      <c r="D283" s="75"/>
    </row>
    <row r="284" spans="4:4" x14ac:dyDescent="0.2">
      <c r="D284" s="75"/>
    </row>
    <row r="285" spans="4:4" x14ac:dyDescent="0.2">
      <c r="D285" s="75"/>
    </row>
    <row r="286" spans="4:4" x14ac:dyDescent="0.2">
      <c r="D286" s="75"/>
    </row>
    <row r="287" spans="4:4" x14ac:dyDescent="0.2">
      <c r="D287" s="75"/>
    </row>
    <row r="288" spans="4:4" x14ac:dyDescent="0.2">
      <c r="D288" s="75"/>
    </row>
    <row r="289" spans="4:4" x14ac:dyDescent="0.2">
      <c r="D289" s="75"/>
    </row>
    <row r="290" spans="4:4" x14ac:dyDescent="0.2">
      <c r="D290" s="75"/>
    </row>
    <row r="291" spans="4:4" x14ac:dyDescent="0.2">
      <c r="D291" s="75"/>
    </row>
    <row r="292" spans="4:4" x14ac:dyDescent="0.2">
      <c r="D292" s="75"/>
    </row>
    <row r="293" spans="4:4" x14ac:dyDescent="0.2">
      <c r="D293" s="75"/>
    </row>
    <row r="294" spans="4:4" x14ac:dyDescent="0.2">
      <c r="D294" s="75"/>
    </row>
    <row r="295" spans="4:4" x14ac:dyDescent="0.2">
      <c r="D295" s="75"/>
    </row>
    <row r="296" spans="4:4" x14ac:dyDescent="0.2">
      <c r="D296" s="75"/>
    </row>
    <row r="297" spans="4:4" x14ac:dyDescent="0.2">
      <c r="D297" s="75"/>
    </row>
    <row r="298" spans="4:4" x14ac:dyDescent="0.2">
      <c r="D298" s="75"/>
    </row>
    <row r="299" spans="4:4" x14ac:dyDescent="0.2">
      <c r="D299" s="75"/>
    </row>
    <row r="300" spans="4:4" x14ac:dyDescent="0.2">
      <c r="D300" s="75"/>
    </row>
    <row r="301" spans="4:4" x14ac:dyDescent="0.2">
      <c r="D301" s="75"/>
    </row>
    <row r="302" spans="4:4" x14ac:dyDescent="0.2">
      <c r="D302" s="75"/>
    </row>
    <row r="303" spans="4:4" x14ac:dyDescent="0.2">
      <c r="D303" s="75"/>
    </row>
    <row r="304" spans="4:4" x14ac:dyDescent="0.2">
      <c r="D304" s="75"/>
    </row>
    <row r="305" spans="4:4" x14ac:dyDescent="0.2">
      <c r="D305" s="75"/>
    </row>
    <row r="306" spans="4:4" x14ac:dyDescent="0.2">
      <c r="D306" s="75"/>
    </row>
    <row r="307" spans="4:4" x14ac:dyDescent="0.2">
      <c r="D307" s="75"/>
    </row>
    <row r="308" spans="4:4" x14ac:dyDescent="0.2">
      <c r="D308" s="75"/>
    </row>
    <row r="309" spans="4:4" x14ac:dyDescent="0.2">
      <c r="D309" s="75"/>
    </row>
  </sheetData>
  <sheetProtection algorithmName="SHA-512" hashValue="7pUDvV56dXPFJ3HWAiPetwOwfgaCBSkBUPEaS7gaMIUu6zgwTC5mafSDsQuO5/hlqCCa8VXx86wHkcdZhwDzBQ==" saltValue="Z00x0B4XAFkMaTNcS9uJIA==" spinCount="100000" sheet="1" objects="1" scenarios="1"/>
  <mergeCells count="47">
    <mergeCell ref="H68:I68"/>
    <mergeCell ref="A77:B77"/>
    <mergeCell ref="C77:D77"/>
    <mergeCell ref="B66:C66"/>
    <mergeCell ref="H66:I66"/>
    <mergeCell ref="A67:D67"/>
    <mergeCell ref="D68:D72"/>
    <mergeCell ref="B68:C68"/>
    <mergeCell ref="B73:C73"/>
    <mergeCell ref="H73:I73"/>
    <mergeCell ref="A74:D74"/>
    <mergeCell ref="B51:C51"/>
    <mergeCell ref="A52:D52"/>
    <mergeCell ref="B53:C53"/>
    <mergeCell ref="A54:D54"/>
    <mergeCell ref="D61:D65"/>
    <mergeCell ref="H61:I61"/>
    <mergeCell ref="B55:C55"/>
    <mergeCell ref="H55:I55"/>
    <mergeCell ref="C56:C60"/>
    <mergeCell ref="B61:C61"/>
    <mergeCell ref="B38:D38"/>
    <mergeCell ref="B40:C40"/>
    <mergeCell ref="H50:I50"/>
    <mergeCell ref="H40:I40"/>
    <mergeCell ref="A41:D41"/>
    <mergeCell ref="A43:D43"/>
    <mergeCell ref="H44:I44"/>
    <mergeCell ref="A45:D45"/>
    <mergeCell ref="B46:C46"/>
    <mergeCell ref="H46:I46"/>
    <mergeCell ref="A47:D47"/>
    <mergeCell ref="B48:C48"/>
    <mergeCell ref="H48:I48"/>
    <mergeCell ref="A49:D49"/>
    <mergeCell ref="B50:C50"/>
    <mergeCell ref="B19:D19"/>
    <mergeCell ref="A13:D13"/>
    <mergeCell ref="B28:D28"/>
    <mergeCell ref="B30:D30"/>
    <mergeCell ref="C31:C36"/>
    <mergeCell ref="D31:D36"/>
    <mergeCell ref="A1:D1"/>
    <mergeCell ref="F1:G1"/>
    <mergeCell ref="H1:I1"/>
    <mergeCell ref="A3:B3"/>
    <mergeCell ref="C3:D3"/>
  </mergeCells>
  <dataValidations count="18">
    <dataValidation type="list" allowBlank="1" showInputMessage="1" showErrorMessage="1" sqref="A74" xr:uid="{2B19E0C4-1823-2E44-BE23-A83D505DEE70}">
      <formula1>Krez11</formula1>
    </dataValidation>
    <dataValidation type="list" allowBlank="1" showInputMessage="1" showErrorMessage="1" sqref="A54:D54" xr:uid="{5A62A941-F805-0D4A-8A15-DBD82AA5A0CC}">
      <formula1>Krez6b</formula1>
    </dataValidation>
    <dataValidation type="list" allowBlank="1" showInputMessage="1" showErrorMessage="1" sqref="A49:D49" xr:uid="{19342764-2D30-6844-8D02-BC3D9A368532}">
      <formula1>Krez5</formula1>
    </dataValidation>
    <dataValidation type="list" allowBlank="1" showInputMessage="1" showErrorMessage="1" sqref="A45" xr:uid="{553CD9EF-844E-CB42-BDC2-139BD7C0E102}">
      <formula1>Krez3</formula1>
    </dataValidation>
    <dataValidation type="list" allowBlank="1" showInputMessage="1" showErrorMessage="1" sqref="B75" xr:uid="{BE4A4D5A-3BEF-6E45-8E57-009C5361A5BB}">
      <formula1>Zvit</formula1>
    </dataValidation>
    <dataValidation type="list" allowBlank="1" showInputMessage="1" showErrorMessage="1" sqref="A41:D41" xr:uid="{1DB56C03-0F85-A14E-BCCA-03B4ECF2AE46}">
      <formula1>Krez1</formula1>
    </dataValidation>
    <dataValidation type="list" allowBlank="1" showInputMessage="1" showErrorMessage="1" sqref="A52:D52" xr:uid="{CAF64A1F-194C-1E40-9195-35BBEBEC5646}">
      <formula1>Krez6a</formula1>
    </dataValidation>
    <dataValidation type="list" allowBlank="1" showInputMessage="1" showErrorMessage="1" sqref="A47:D47" xr:uid="{82F58B3F-382D-0F43-84D8-2A1E0A20A093}">
      <formula1>Krez4</formula1>
    </dataValidation>
    <dataValidation type="list" allowBlank="1" showInputMessage="1" showErrorMessage="1" sqref="A43:D43" xr:uid="{082B51B6-C5EA-8444-99CF-E99BFCFE12A8}">
      <formula1>Krez2</formula1>
    </dataValidation>
    <dataValidation type="list" allowBlank="1" showInputMessage="1" showErrorMessage="1" sqref="B38" xr:uid="{8CBD5E2B-4593-AE40-8095-3CFDEEBCCC82}">
      <formula1>Num_Episodes</formula1>
    </dataValidation>
    <dataValidation type="list" allowBlank="1" showInputMessage="1" showErrorMessage="1" sqref="B28" xr:uid="{841F9DE2-0CFB-104D-A23A-28FEEFDD5F41}">
      <formula1>NumPartnersCrim</formula1>
    </dataValidation>
    <dataValidation type="list" allowBlank="1" showInputMessage="1" showErrorMessage="1" sqref="B56:B60 B21:B26" xr:uid="{91575CA7-E779-9340-9E72-C1E3419105D7}">
      <formula1>NumEpisodesCrim</formula1>
    </dataValidation>
    <dataValidation type="list" allowBlank="1" showInputMessage="1" showErrorMessage="1" sqref="B9:B11 B30 B32:B36 B7 A67 B62:B63 D9:D10 B69:B70" xr:uid="{A8BD8823-B1CB-D446-B547-7175D8E16D20}">
      <formula1>ТакНі</formula1>
    </dataValidation>
    <dataValidation type="list" allowBlank="1" showInputMessage="1" showErrorMessage="1" sqref="B5" xr:uid="{033A0FD0-AB2A-2E46-8384-9DEA00BB5A24}">
      <formula1>ЗП</formula1>
    </dataValidation>
    <dataValidation type="list" allowBlank="1" showInputMessage="1" showErrorMessage="1" sqref="A13" xr:uid="{B89505E7-933A-6443-BA0E-DE66E1E54162}">
      <formula1>CourtChange</formula1>
    </dataValidation>
    <dataValidation type="list" allowBlank="1" showInputMessage="1" showErrorMessage="1" sqref="B14" xr:uid="{2C9D3A3E-ED1A-974C-8B1A-2A50E6E2C899}">
      <formula1>ActReturn</formula1>
    </dataValidation>
    <dataValidation type="list" allowBlank="1" showInputMessage="1" showErrorMessage="1" sqref="B15" xr:uid="{062DEE02-49AB-DE4D-AAE1-B2F438132F88}">
      <formula1>More_than_5_days</formula1>
    </dataValidation>
    <dataValidation type="list" allowBlank="1" showInputMessage="1" showErrorMessage="1" sqref="B19:D19" xr:uid="{7029988D-D590-BB47-A0E8-D0FF68C1D3C5}">
      <formula1>TrialGravity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B0A4-B2FF-5941-B033-BD4DC5D66EF4}">
  <sheetPr>
    <tabColor theme="8" tint="-0.499984740745262"/>
  </sheetPr>
  <dimension ref="A1:J309"/>
  <sheetViews>
    <sheetView showGridLines="0" workbookViewId="0">
      <pane ySplit="1" topLeftCell="A3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3" customWidth="1"/>
    <col min="2" max="2" width="12" style="3" customWidth="1"/>
    <col min="3" max="3" width="16.33203125" style="3" customWidth="1"/>
    <col min="4" max="4" width="9.5" style="4" customWidth="1"/>
    <col min="5" max="6" width="11.33203125" style="2" customWidth="1"/>
    <col min="7" max="7" width="13" style="2" customWidth="1"/>
    <col min="8" max="9" width="12.33203125" style="2" customWidth="1"/>
    <col min="10" max="16384" width="11.33203125" style="2"/>
  </cols>
  <sheetData>
    <row r="1" spans="1:10" ht="36" customHeight="1" x14ac:dyDescent="0.2">
      <c r="A1" s="173" t="s">
        <v>275</v>
      </c>
      <c r="B1" s="173"/>
      <c r="C1" s="173"/>
      <c r="D1" s="217"/>
      <c r="E1" s="1"/>
      <c r="F1" s="218" t="s">
        <v>245</v>
      </c>
      <c r="G1" s="218"/>
      <c r="H1" s="219" t="s">
        <v>252</v>
      </c>
      <c r="I1" s="219"/>
      <c r="J1" s="1"/>
    </row>
    <row r="2" spans="1:10" x14ac:dyDescent="0.2">
      <c r="E2" s="1"/>
      <c r="F2" s="1"/>
      <c r="G2" s="1"/>
      <c r="H2" s="1"/>
      <c r="I2" s="1"/>
      <c r="J2" s="1"/>
    </row>
    <row r="3" spans="1:10" ht="31.5" customHeight="1" x14ac:dyDescent="0.2">
      <c r="A3" s="220" t="str">
        <f>TEXT( "Рк = 20 х Огод х Ксп х Кскл х Кос х Крез х Кзвіт = 20 x "&amp;D5&amp;" x "&amp;D6&amp;" x "&amp;D15&amp;" x "&amp;D36&amp;" x "&amp;D38&amp;" х "&amp;D75&amp;" = ",0)</f>
        <v xml:space="preserve">Рк = 20 х Огод х Ксп х Кскл х Кос х Крез х Кзвіт = 20 x 166,4 x 0,28 x 1 x 1 x 1 х 1 = </v>
      </c>
      <c r="B3" s="221"/>
      <c r="C3" s="171">
        <f>20*D5*D6*D15*D36*D38*D75</f>
        <v>931.84000000000015</v>
      </c>
      <c r="D3" s="171"/>
      <c r="E3" s="1"/>
      <c r="F3" s="1"/>
      <c r="G3" s="1"/>
      <c r="H3" s="1"/>
      <c r="I3" s="1"/>
      <c r="J3" s="1"/>
    </row>
    <row r="4" spans="1:10" ht="12.75" customHeight="1" x14ac:dyDescent="0.2">
      <c r="D4" s="5"/>
      <c r="E4" s="1"/>
      <c r="F4" s="1"/>
      <c r="G4" s="1"/>
      <c r="H4" s="1"/>
      <c r="I4" s="1"/>
      <c r="J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9">
        <f>ROUND(B5*0.05,3)</f>
        <v>166.4</v>
      </c>
      <c r="E5" s="1"/>
      <c r="F5" s="1"/>
      <c r="G5" s="1"/>
      <c r="H5" s="1"/>
      <c r="I5" s="1"/>
      <c r="J5" s="1"/>
    </row>
    <row r="6" spans="1:10" ht="24" customHeight="1" x14ac:dyDescent="0.2">
      <c r="A6" s="10" t="s">
        <v>195</v>
      </c>
      <c r="B6" s="11"/>
      <c r="C6" s="12" t="s">
        <v>201</v>
      </c>
      <c r="D6" s="13">
        <f>IF(B7="так",0.2,D8+D12+D14)</f>
        <v>0.28000000000000003</v>
      </c>
      <c r="E6" s="1"/>
      <c r="F6" s="1"/>
      <c r="G6" s="1"/>
      <c r="H6" s="1"/>
      <c r="I6" s="1"/>
      <c r="J6" s="1"/>
    </row>
    <row r="7" spans="1:10" ht="47.25" customHeight="1" x14ac:dyDescent="0.2">
      <c r="A7" s="14" t="s">
        <v>279</v>
      </c>
      <c r="B7" s="15" t="s">
        <v>1</v>
      </c>
      <c r="C7" s="12"/>
      <c r="D7" s="13"/>
      <c r="E7" s="1"/>
      <c r="F7" s="1"/>
      <c r="G7" s="1"/>
      <c r="H7" s="1"/>
      <c r="I7" s="1"/>
      <c r="J7" s="1"/>
    </row>
    <row r="8" spans="1:10" ht="20.25" customHeight="1" x14ac:dyDescent="0.2">
      <c r="A8" s="16" t="s">
        <v>196</v>
      </c>
      <c r="B8" s="17"/>
      <c r="C8" s="18" t="s">
        <v>202</v>
      </c>
      <c r="D8" s="18">
        <f>VLOOKUP(B9&amp;B10&amp;B11,KspApel_res,2,0)</f>
        <v>0.28000000000000003</v>
      </c>
      <c r="E8" s="1"/>
      <c r="F8" s="1"/>
      <c r="G8" s="1"/>
      <c r="H8" s="1"/>
      <c r="I8" s="1"/>
      <c r="J8" s="1"/>
    </row>
    <row r="9" spans="1:10" x14ac:dyDescent="0.2">
      <c r="A9" s="19" t="s">
        <v>132</v>
      </c>
      <c r="B9" s="15" t="s">
        <v>1</v>
      </c>
      <c r="C9" s="20"/>
      <c r="D9" s="21"/>
      <c r="E9" s="1"/>
      <c r="F9" s="1"/>
      <c r="G9" s="1"/>
      <c r="H9" s="1"/>
      <c r="I9" s="1"/>
      <c r="J9" s="1"/>
    </row>
    <row r="10" spans="1:10" x14ac:dyDescent="0.2">
      <c r="A10" s="19" t="s">
        <v>133</v>
      </c>
      <c r="B10" s="15" t="s">
        <v>1</v>
      </c>
      <c r="C10" s="20"/>
      <c r="D10" s="21"/>
      <c r="E10" s="1"/>
      <c r="F10" s="1"/>
      <c r="G10" s="1"/>
      <c r="H10" s="1"/>
      <c r="I10" s="1"/>
      <c r="J10" s="1"/>
    </row>
    <row r="11" spans="1:10" x14ac:dyDescent="0.2">
      <c r="A11" s="19" t="s">
        <v>276</v>
      </c>
      <c r="B11" s="15" t="s">
        <v>1</v>
      </c>
      <c r="C11" s="20"/>
      <c r="D11" s="21"/>
      <c r="E11" s="1"/>
      <c r="F11" s="1"/>
      <c r="G11" s="1"/>
      <c r="H11" s="1"/>
      <c r="I11" s="1"/>
      <c r="J11" s="1"/>
    </row>
    <row r="12" spans="1:10" ht="29" x14ac:dyDescent="0.2">
      <c r="A12" s="16" t="s">
        <v>355</v>
      </c>
      <c r="B12" s="22"/>
      <c r="C12" s="23" t="s">
        <v>267</v>
      </c>
      <c r="D12" s="24">
        <f>IF(A13="суд під час судового розгляду працював одним складом",0,A13*0.33)</f>
        <v>0</v>
      </c>
      <c r="E12" s="1"/>
      <c r="F12" s="1"/>
      <c r="G12" s="1"/>
    </row>
    <row r="13" spans="1:10" x14ac:dyDescent="0.2">
      <c r="A13" s="239" t="s">
        <v>354</v>
      </c>
      <c r="B13" s="239"/>
      <c r="C13" s="239"/>
      <c r="D13" s="240"/>
      <c r="E13" s="1"/>
      <c r="F13" s="1"/>
      <c r="G13" s="1"/>
      <c r="H13" s="2" t="s">
        <v>271</v>
      </c>
    </row>
    <row r="14" spans="1:10" ht="30" x14ac:dyDescent="0.2">
      <c r="A14" s="25" t="s">
        <v>277</v>
      </c>
      <c r="B14" s="26" t="s">
        <v>269</v>
      </c>
      <c r="C14" s="27" t="s">
        <v>270</v>
      </c>
      <c r="D14" s="27">
        <f>IF(B14="5 і менше днів",0,B14*0.017)</f>
        <v>0</v>
      </c>
      <c r="E14" s="1"/>
      <c r="F14" s="1"/>
      <c r="G14" s="1"/>
    </row>
    <row r="15" spans="1:10" ht="24.75" customHeight="1" x14ac:dyDescent="0.2">
      <c r="A15" s="11" t="s">
        <v>207</v>
      </c>
      <c r="B15" s="28"/>
      <c r="C15" s="13" t="s">
        <v>206</v>
      </c>
      <c r="D15" s="29">
        <f>IF(B7="так",1,D16*D26*D28*D30)</f>
        <v>1</v>
      </c>
      <c r="E15" s="1"/>
      <c r="F15" s="30"/>
      <c r="G15" s="1"/>
      <c r="H15" s="1"/>
      <c r="I15" s="1"/>
      <c r="J15" s="1"/>
    </row>
    <row r="16" spans="1:10" ht="37.5" customHeight="1" x14ac:dyDescent="0.2">
      <c r="A16" s="25" t="s">
        <v>362</v>
      </c>
      <c r="B16" s="25"/>
      <c r="C16" s="18" t="s">
        <v>204</v>
      </c>
      <c r="D16" s="31">
        <f>D17+D19</f>
        <v>1</v>
      </c>
      <c r="E16" s="1"/>
      <c r="F16" s="1"/>
      <c r="G16" s="1"/>
      <c r="H16" s="1"/>
      <c r="I16" s="1"/>
      <c r="J16" s="1"/>
    </row>
    <row r="17" spans="1:10" ht="35.25" customHeight="1" x14ac:dyDescent="0.2">
      <c r="A17" s="25" t="s">
        <v>363</v>
      </c>
      <c r="B17" s="25"/>
      <c r="C17" s="32" t="s">
        <v>208</v>
      </c>
      <c r="D17" s="32">
        <f>VLOOKUP(B18,TrialGravity_res,2,0)</f>
        <v>1</v>
      </c>
      <c r="E17" s="1"/>
      <c r="F17" s="1"/>
      <c r="G17" s="1"/>
      <c r="H17" s="1"/>
      <c r="I17" s="1"/>
      <c r="J17" s="1"/>
    </row>
    <row r="18" spans="1:10" x14ac:dyDescent="0.2">
      <c r="A18" s="19" t="s">
        <v>205</v>
      </c>
      <c r="B18" s="222" t="s">
        <v>364</v>
      </c>
      <c r="C18" s="222"/>
      <c r="D18" s="222"/>
      <c r="E18" s="1"/>
      <c r="F18" s="1"/>
      <c r="G18" s="1"/>
      <c r="H18" s="1"/>
      <c r="I18" s="30"/>
      <c r="J18" s="1"/>
    </row>
    <row r="19" spans="1:10" ht="48" customHeight="1" x14ac:dyDescent="0.2">
      <c r="A19" s="16" t="s">
        <v>361</v>
      </c>
      <c r="B19" s="17"/>
      <c r="C19" s="33" t="s">
        <v>209</v>
      </c>
      <c r="D19" s="34">
        <f>SUM(H20:H25)</f>
        <v>0</v>
      </c>
      <c r="E19" s="1"/>
      <c r="F19" s="1"/>
      <c r="G19" s="1"/>
      <c r="H19" s="1"/>
      <c r="I19" s="1"/>
      <c r="J19" s="1"/>
    </row>
    <row r="20" spans="1:10" x14ac:dyDescent="0.2">
      <c r="A20" s="135" t="s">
        <v>364</v>
      </c>
      <c r="B20" s="36">
        <v>0</v>
      </c>
      <c r="C20" s="37"/>
      <c r="D20" s="38"/>
      <c r="E20" s="1">
        <f>VLOOKUP(SUM(B20:B25),NumEpisodesCrim_res,2,0)</f>
        <v>0</v>
      </c>
      <c r="F20" s="1">
        <f>E20-E21</f>
        <v>0</v>
      </c>
      <c r="G20" s="1">
        <v>1</v>
      </c>
      <c r="H20" s="1">
        <f t="shared" ref="H20:H25" si="0">G20*F20</f>
        <v>0</v>
      </c>
    </row>
    <row r="21" spans="1:10" x14ac:dyDescent="0.2">
      <c r="A21" s="135" t="s">
        <v>365</v>
      </c>
      <c r="B21" s="36">
        <v>0</v>
      </c>
      <c r="C21" s="37"/>
      <c r="D21" s="39"/>
      <c r="E21" s="1">
        <f>VLOOKUP(SUM(B21:B25),NumEpisodesCrim_res,2,0)</f>
        <v>0</v>
      </c>
      <c r="F21" s="1">
        <f>E21-E22</f>
        <v>0</v>
      </c>
      <c r="G21" s="1">
        <v>1.5</v>
      </c>
      <c r="H21" s="1">
        <f t="shared" si="0"/>
        <v>0</v>
      </c>
    </row>
    <row r="22" spans="1:10" x14ac:dyDescent="0.2">
      <c r="A22" s="135" t="s">
        <v>366</v>
      </c>
      <c r="B22" s="36">
        <v>0</v>
      </c>
      <c r="C22" s="37"/>
      <c r="D22" s="39"/>
      <c r="E22" s="1">
        <f>VLOOKUP(SUM(B22:B25),NumEpisodesCrim_res,2,0)</f>
        <v>0</v>
      </c>
      <c r="F22" s="1">
        <f>E22-E23</f>
        <v>0</v>
      </c>
      <c r="G22" s="1">
        <v>2</v>
      </c>
      <c r="H22" s="1">
        <f t="shared" si="0"/>
        <v>0</v>
      </c>
    </row>
    <row r="23" spans="1:10" x14ac:dyDescent="0.2">
      <c r="A23" s="135" t="s">
        <v>367</v>
      </c>
      <c r="B23" s="36">
        <v>0</v>
      </c>
      <c r="C23" s="37"/>
      <c r="D23" s="39"/>
      <c r="E23" s="1">
        <f>VLOOKUP(SUM(B23:B25),NumEpisodesCrim_res,2,0)</f>
        <v>0</v>
      </c>
      <c r="F23" s="1">
        <f>E23-E24</f>
        <v>0</v>
      </c>
      <c r="G23" s="1">
        <v>3</v>
      </c>
      <c r="H23" s="1">
        <f t="shared" si="0"/>
        <v>0</v>
      </c>
    </row>
    <row r="24" spans="1:10" x14ac:dyDescent="0.15">
      <c r="A24" s="35" t="s">
        <v>380</v>
      </c>
      <c r="B24" s="36">
        <v>0</v>
      </c>
      <c r="C24" s="37"/>
      <c r="D24" s="39"/>
      <c r="E24" s="1">
        <f>VLOOKUP(SUM(B24:B25),NumEpisodesCrim_res,2,0)</f>
        <v>0</v>
      </c>
      <c r="F24" s="1">
        <f>E24-E25</f>
        <v>0</v>
      </c>
      <c r="G24" s="1">
        <v>3.6</v>
      </c>
      <c r="H24" s="1">
        <f t="shared" si="0"/>
        <v>0</v>
      </c>
    </row>
    <row r="25" spans="1:10" x14ac:dyDescent="0.2">
      <c r="A25" s="135" t="s">
        <v>368</v>
      </c>
      <c r="B25" s="36">
        <v>0</v>
      </c>
      <c r="C25" s="37"/>
      <c r="D25" s="40"/>
      <c r="E25" s="1">
        <f>VLOOKUP(B25,NumEpisodesCrim_res,2,0)</f>
        <v>0</v>
      </c>
      <c r="F25" s="1">
        <f>E25</f>
        <v>0</v>
      </c>
      <c r="G25" s="1">
        <v>5</v>
      </c>
      <c r="H25" s="1">
        <f t="shared" si="0"/>
        <v>0</v>
      </c>
    </row>
    <row r="26" spans="1:10" ht="36" customHeight="1" x14ac:dyDescent="0.2">
      <c r="A26" s="16" t="s">
        <v>211</v>
      </c>
      <c r="B26" s="16"/>
      <c r="C26" s="41" t="s">
        <v>210</v>
      </c>
      <c r="D26" s="41">
        <f>VLOOKUP(B27,NumPartnersCrim_res,2,0)</f>
        <v>1</v>
      </c>
      <c r="E26" s="1"/>
      <c r="F26" s="1"/>
      <c r="G26" s="1"/>
      <c r="H26" s="1"/>
      <c r="I26" s="1"/>
      <c r="J26" s="1"/>
    </row>
    <row r="27" spans="1:10" x14ac:dyDescent="0.2">
      <c r="A27" s="19" t="s">
        <v>212</v>
      </c>
      <c r="B27" s="225">
        <v>1</v>
      </c>
      <c r="C27" s="226"/>
      <c r="D27" s="227"/>
      <c r="E27" s="1"/>
      <c r="F27" s="1"/>
      <c r="G27" s="1"/>
      <c r="H27" s="1"/>
      <c r="I27" s="1"/>
      <c r="J27" s="1"/>
    </row>
    <row r="28" spans="1:10" x14ac:dyDescent="0.2">
      <c r="A28" s="16" t="s">
        <v>213</v>
      </c>
      <c r="B28" s="25"/>
      <c r="C28" s="18" t="s">
        <v>214</v>
      </c>
      <c r="D28" s="18">
        <f>VLOOKUP(B29,PrevMeasure_res,2,0)</f>
        <v>1</v>
      </c>
      <c r="E28" s="1"/>
      <c r="F28" s="1"/>
      <c r="G28" s="1"/>
      <c r="H28" s="1"/>
      <c r="I28" s="1"/>
      <c r="J28" s="1"/>
    </row>
    <row r="29" spans="1:10" x14ac:dyDescent="0.2">
      <c r="A29" s="19" t="s">
        <v>237</v>
      </c>
      <c r="B29" s="225" t="s">
        <v>1</v>
      </c>
      <c r="C29" s="226"/>
      <c r="D29" s="227"/>
      <c r="E29" s="1"/>
      <c r="F29" s="1"/>
      <c r="G29" s="1"/>
      <c r="H29" s="1"/>
      <c r="I29" s="1"/>
      <c r="J29" s="1"/>
    </row>
    <row r="30" spans="1:10" ht="33.75" customHeight="1" x14ac:dyDescent="0.2">
      <c r="A30" s="16" t="s">
        <v>238</v>
      </c>
      <c r="B30" s="16"/>
      <c r="C30" s="228" t="s">
        <v>216</v>
      </c>
      <c r="D30" s="228">
        <f>IF(SUM(E31:E35)=1,1.1,IF(SUM(E31:E35)&gt;=2,1.2,1))</f>
        <v>1</v>
      </c>
      <c r="E30" s="1"/>
      <c r="F30" s="1"/>
      <c r="G30" s="1"/>
      <c r="H30" s="1"/>
      <c r="I30" s="1"/>
      <c r="J30" s="1"/>
    </row>
    <row r="31" spans="1:10" x14ac:dyDescent="0.2">
      <c r="A31" s="42" t="s">
        <v>217</v>
      </c>
      <c r="B31" s="43" t="s">
        <v>1</v>
      </c>
      <c r="C31" s="229"/>
      <c r="D31" s="229"/>
      <c r="E31" s="1">
        <f>IF(B31="так",1,0)</f>
        <v>0</v>
      </c>
      <c r="F31" s="1"/>
      <c r="G31" s="1"/>
      <c r="H31" s="1"/>
      <c r="I31" s="1"/>
      <c r="J31" s="1"/>
    </row>
    <row r="32" spans="1:10" ht="30" x14ac:dyDescent="0.2">
      <c r="A32" s="42" t="s">
        <v>38</v>
      </c>
      <c r="B32" s="43" t="s">
        <v>1</v>
      </c>
      <c r="C32" s="229"/>
      <c r="D32" s="229"/>
      <c r="E32" s="1">
        <f>IF(B32="так",1,0)</f>
        <v>0</v>
      </c>
      <c r="F32" s="1"/>
      <c r="G32" s="1"/>
      <c r="H32" s="1"/>
      <c r="I32" s="1"/>
      <c r="J32" s="1"/>
    </row>
    <row r="33" spans="1:10" x14ac:dyDescent="0.2">
      <c r="A33" s="42" t="s">
        <v>218</v>
      </c>
      <c r="B33" s="43" t="s">
        <v>1</v>
      </c>
      <c r="C33" s="229"/>
      <c r="D33" s="229"/>
      <c r="E33" s="1">
        <f>IF(B33="так",1,0)</f>
        <v>0</v>
      </c>
      <c r="F33" s="1"/>
      <c r="G33" s="1"/>
      <c r="H33" s="1"/>
      <c r="I33" s="1"/>
      <c r="J33" s="1"/>
    </row>
    <row r="34" spans="1:10" x14ac:dyDescent="0.2">
      <c r="A34" s="42" t="s">
        <v>39</v>
      </c>
      <c r="B34" s="43" t="s">
        <v>1</v>
      </c>
      <c r="C34" s="229"/>
      <c r="D34" s="229"/>
      <c r="E34" s="1">
        <f>IF(B34="так",1,0)</f>
        <v>0</v>
      </c>
      <c r="F34" s="1"/>
      <c r="G34" s="1"/>
      <c r="H34" s="1"/>
      <c r="I34" s="1"/>
      <c r="J34" s="1"/>
    </row>
    <row r="35" spans="1:10" ht="30" x14ac:dyDescent="0.2">
      <c r="A35" s="42" t="s">
        <v>422</v>
      </c>
      <c r="B35" s="43" t="s">
        <v>1</v>
      </c>
      <c r="C35" s="229"/>
      <c r="D35" s="229"/>
      <c r="E35" s="1">
        <f>IF(B35="так",1,0)</f>
        <v>0</v>
      </c>
      <c r="F35" s="1"/>
      <c r="G35" s="1"/>
      <c r="H35" s="1"/>
      <c r="I35" s="1"/>
      <c r="J35" s="1"/>
    </row>
    <row r="36" spans="1:10" ht="24.75" customHeight="1" x14ac:dyDescent="0.2">
      <c r="A36" s="44" t="s">
        <v>239</v>
      </c>
      <c r="B36" s="44"/>
      <c r="C36" s="45" t="s">
        <v>240</v>
      </c>
      <c r="D36" s="46">
        <f>IF(B7="так",1,(1+0.1*B37))</f>
        <v>1</v>
      </c>
      <c r="E36" s="1"/>
      <c r="F36" s="1"/>
      <c r="G36" s="1"/>
      <c r="H36" s="1"/>
      <c r="I36" s="1"/>
      <c r="J36" s="1"/>
    </row>
    <row r="37" spans="1:10" ht="75" x14ac:dyDescent="0.2">
      <c r="A37" s="47" t="s">
        <v>371</v>
      </c>
      <c r="B37" s="222">
        <v>0</v>
      </c>
      <c r="C37" s="222"/>
      <c r="D37" s="222"/>
      <c r="E37" s="1"/>
      <c r="F37" s="1"/>
      <c r="G37" s="1"/>
      <c r="H37" s="1"/>
      <c r="I37" s="1"/>
      <c r="J37" s="1"/>
    </row>
    <row r="38" spans="1:10" ht="35.25" customHeight="1" x14ac:dyDescent="0.2">
      <c r="A38" s="44" t="s">
        <v>242</v>
      </c>
      <c r="B38" s="44"/>
      <c r="C38" s="45" t="s">
        <v>241</v>
      </c>
      <c r="D38" s="46">
        <f>IF(B7="так",1,1+D39+D41+D43+D45+D47+D49+D54+D60+D65+D67+D72+D74)</f>
        <v>1</v>
      </c>
      <c r="E38" s="1"/>
      <c r="F38" s="1"/>
      <c r="G38" s="1"/>
      <c r="H38" s="1"/>
      <c r="I38" s="1"/>
      <c r="J38" s="1"/>
    </row>
    <row r="39" spans="1:10" ht="47.25" customHeight="1" x14ac:dyDescent="0.2">
      <c r="A39" s="20" t="s">
        <v>243</v>
      </c>
      <c r="B39" s="230"/>
      <c r="C39" s="231"/>
      <c r="D39" s="48">
        <f>VLOOKUP(A40,Krez1_rez,2,0)</f>
        <v>0</v>
      </c>
      <c r="E39" s="1"/>
      <c r="F39" s="1"/>
      <c r="G39" s="1"/>
      <c r="H39" s="232"/>
      <c r="I39" s="232"/>
      <c r="J39" s="1"/>
    </row>
    <row r="40" spans="1:10" x14ac:dyDescent="0.2">
      <c r="A40" s="233" t="s">
        <v>102</v>
      </c>
      <c r="B40" s="233"/>
      <c r="C40" s="233"/>
      <c r="D40" s="234"/>
      <c r="E40" s="1"/>
      <c r="F40" s="1"/>
      <c r="G40" s="1"/>
      <c r="H40" s="1"/>
      <c r="I40" s="1"/>
      <c r="J40" s="1"/>
    </row>
    <row r="41" spans="1:10" ht="34.5" customHeight="1" x14ac:dyDescent="0.2">
      <c r="A41" s="49" t="s">
        <v>244</v>
      </c>
      <c r="B41" s="50"/>
      <c r="C41" s="51"/>
      <c r="D41" s="32">
        <f>VLOOKUP(A42,Krez2_rez,2,0)</f>
        <v>0</v>
      </c>
      <c r="E41" s="1"/>
      <c r="F41" s="1"/>
      <c r="G41" s="1"/>
      <c r="H41" s="1"/>
      <c r="I41" s="1"/>
      <c r="J41" s="1"/>
    </row>
    <row r="42" spans="1:10" x14ac:dyDescent="0.2">
      <c r="A42" s="233" t="s">
        <v>102</v>
      </c>
      <c r="B42" s="233"/>
      <c r="C42" s="233"/>
      <c r="D42" s="234"/>
      <c r="E42" s="1"/>
      <c r="F42" s="1"/>
      <c r="G42" s="1"/>
      <c r="H42" s="1"/>
      <c r="I42" s="1"/>
      <c r="J42" s="1"/>
    </row>
    <row r="43" spans="1:10" ht="78" customHeight="1" x14ac:dyDescent="0.2">
      <c r="A43" s="52" t="s">
        <v>377</v>
      </c>
      <c r="B43" s="22"/>
      <c r="C43" s="53"/>
      <c r="D43" s="32">
        <f>IF(AND(D45=0,D47=0,D49=0,D54=0,D60=0,D65=0,D67=0,D72=0,D74=0),VLOOKUP(A44,Krez3_rez,2,0),0)</f>
        <v>0</v>
      </c>
      <c r="E43" s="1"/>
      <c r="F43" s="1"/>
      <c r="G43" s="54"/>
      <c r="H43" s="235" t="s">
        <v>272</v>
      </c>
      <c r="I43" s="235"/>
    </row>
    <row r="44" spans="1:10" x14ac:dyDescent="0.2">
      <c r="A44" s="241" t="s">
        <v>102</v>
      </c>
      <c r="B44" s="242"/>
      <c r="C44" s="242"/>
      <c r="D44" s="243"/>
      <c r="E44" s="1"/>
      <c r="F44" s="1"/>
      <c r="G44" s="1"/>
      <c r="H44" s="55"/>
      <c r="I44" s="55"/>
    </row>
    <row r="45" spans="1:10" ht="81" customHeight="1" x14ac:dyDescent="0.2">
      <c r="A45" s="16" t="s">
        <v>376</v>
      </c>
      <c r="B45" s="230"/>
      <c r="C45" s="231"/>
      <c r="D45" s="48">
        <f>IF(AND(D47=0,D49=0,D54=0,D60=0,D65=0,D67=0,D72=0,D74=0),VLOOKUP(A46,Krez4_rez,2,0),0)</f>
        <v>0</v>
      </c>
      <c r="F45" s="30"/>
      <c r="G45" s="1"/>
      <c r="H45" s="235" t="s">
        <v>273</v>
      </c>
      <c r="I45" s="235"/>
      <c r="J45" s="1"/>
    </row>
    <row r="46" spans="1:10" x14ac:dyDescent="0.2">
      <c r="A46" s="223" t="s">
        <v>102</v>
      </c>
      <c r="B46" s="223"/>
      <c r="C46" s="223"/>
      <c r="D46" s="224"/>
      <c r="E46" s="1"/>
      <c r="F46" s="1"/>
      <c r="G46" s="1"/>
      <c r="H46" s="56"/>
      <c r="I46" s="56"/>
      <c r="J46" s="1"/>
    </row>
    <row r="47" spans="1:10" ht="21" customHeight="1" x14ac:dyDescent="0.2">
      <c r="A47" s="57" t="s">
        <v>246</v>
      </c>
      <c r="B47" s="179"/>
      <c r="C47" s="180"/>
      <c r="D47" s="58">
        <f>IF(AND(D49=0,D54=0,D60=0,D65=0,D67=0,D72=0,D74=0),VLOOKUP(A48,Krez5_rez,2,0),0)</f>
        <v>0</v>
      </c>
      <c r="E47" s="1"/>
      <c r="F47" s="1"/>
      <c r="G47" s="1"/>
      <c r="H47" s="235" t="s">
        <v>274</v>
      </c>
      <c r="I47" s="235"/>
      <c r="J47" s="1"/>
    </row>
    <row r="48" spans="1:10" x14ac:dyDescent="0.2">
      <c r="A48" s="223" t="s">
        <v>102</v>
      </c>
      <c r="B48" s="223"/>
      <c r="C48" s="223"/>
      <c r="D48" s="224"/>
      <c r="E48" s="1"/>
      <c r="F48" s="1"/>
      <c r="G48" s="1"/>
      <c r="H48" s="1"/>
      <c r="I48" s="1"/>
      <c r="J48" s="1"/>
    </row>
    <row r="49" spans="1:10" ht="21" customHeight="1" x14ac:dyDescent="0.2">
      <c r="A49" s="52" t="s">
        <v>372</v>
      </c>
      <c r="B49" s="236"/>
      <c r="C49" s="236"/>
      <c r="D49" s="58">
        <f>D50+D52</f>
        <v>0</v>
      </c>
      <c r="E49" s="1"/>
      <c r="F49" s="1"/>
      <c r="G49" s="1"/>
      <c r="H49" s="238" t="s">
        <v>254</v>
      </c>
      <c r="I49" s="238"/>
      <c r="J49" s="1"/>
    </row>
    <row r="50" spans="1:10" ht="33.75" customHeight="1" x14ac:dyDescent="0.2">
      <c r="A50" s="117" t="s">
        <v>373</v>
      </c>
      <c r="B50" s="181"/>
      <c r="C50" s="183"/>
      <c r="D50" s="18">
        <f>IF(D52&gt;0,0,VLOOKUP(A51,Krez6a_rez,2,0))</f>
        <v>0</v>
      </c>
      <c r="E50" s="1"/>
      <c r="F50" s="1"/>
      <c r="G50" s="1"/>
      <c r="H50" s="1"/>
      <c r="I50" s="1"/>
      <c r="J50" s="1"/>
    </row>
    <row r="51" spans="1:10" x14ac:dyDescent="0.2">
      <c r="A51" s="223" t="s">
        <v>102</v>
      </c>
      <c r="B51" s="223"/>
      <c r="C51" s="223"/>
      <c r="D51" s="224"/>
      <c r="E51" s="1"/>
      <c r="F51" s="1"/>
      <c r="G51" s="1"/>
      <c r="H51" s="1"/>
      <c r="I51" s="1"/>
      <c r="J51" s="1"/>
    </row>
    <row r="52" spans="1:10" ht="49.5" customHeight="1" x14ac:dyDescent="0.2">
      <c r="A52" s="119" t="s">
        <v>234</v>
      </c>
      <c r="B52" s="230"/>
      <c r="C52" s="231"/>
      <c r="D52" s="18">
        <f>VLOOKUP(A53,Krez6b_rez,2,0)</f>
        <v>0</v>
      </c>
      <c r="E52" s="1"/>
      <c r="F52" s="1"/>
      <c r="G52" s="1"/>
      <c r="H52" s="1"/>
      <c r="I52" s="1"/>
      <c r="J52" s="1"/>
    </row>
    <row r="53" spans="1:10" x14ac:dyDescent="0.2">
      <c r="A53" s="223" t="s">
        <v>102</v>
      </c>
      <c r="B53" s="223"/>
      <c r="C53" s="223"/>
      <c r="D53" s="224"/>
      <c r="E53" s="1"/>
      <c r="F53" s="1"/>
      <c r="G53" s="1"/>
      <c r="H53" s="1"/>
      <c r="I53" s="1"/>
      <c r="J53" s="1"/>
    </row>
    <row r="54" spans="1:10" ht="36" customHeight="1" x14ac:dyDescent="0.2">
      <c r="A54" s="16" t="s">
        <v>248</v>
      </c>
      <c r="B54" s="236"/>
      <c r="C54" s="236"/>
      <c r="D54" s="32">
        <f>IF(D49=0,MAX(D55:D59),0)</f>
        <v>0</v>
      </c>
      <c r="E54" s="1"/>
      <c r="F54" s="1"/>
      <c r="G54" s="1"/>
      <c r="H54" s="237" t="s">
        <v>255</v>
      </c>
      <c r="I54" s="237"/>
      <c r="J54" s="1"/>
    </row>
    <row r="55" spans="1:10" x14ac:dyDescent="0.2">
      <c r="A55" s="61" t="s">
        <v>97</v>
      </c>
      <c r="B55" s="43">
        <v>0</v>
      </c>
      <c r="C55" s="211"/>
      <c r="D55" s="62">
        <f>IF(B55*0.16&lt;=0.8,B55*0.16,0.8)</f>
        <v>0</v>
      </c>
      <c r="E55" s="1"/>
      <c r="F55" s="1"/>
      <c r="G55" s="1"/>
      <c r="H55" s="56"/>
      <c r="I55" s="56"/>
      <c r="J55" s="1"/>
    </row>
    <row r="56" spans="1:10" x14ac:dyDescent="0.2">
      <c r="A56" s="61" t="s">
        <v>98</v>
      </c>
      <c r="B56" s="43">
        <v>0</v>
      </c>
      <c r="C56" s="212"/>
      <c r="D56" s="62">
        <f>IF(B56*0.1&lt;=0.5,B56*0.1,0.5)</f>
        <v>0</v>
      </c>
      <c r="E56" s="1"/>
      <c r="F56" s="1"/>
      <c r="G56" s="1"/>
      <c r="H56" s="56"/>
      <c r="I56" s="56"/>
      <c r="J56" s="1"/>
    </row>
    <row r="57" spans="1:10" x14ac:dyDescent="0.2">
      <c r="A57" s="61" t="s">
        <v>99</v>
      </c>
      <c r="B57" s="43">
        <v>0</v>
      </c>
      <c r="C57" s="212"/>
      <c r="D57" s="62">
        <f>IF(B57*0.07&lt;=0.35,B57*0.07,0.35)</f>
        <v>0</v>
      </c>
      <c r="E57" s="1"/>
      <c r="F57" s="1"/>
      <c r="G57" s="1"/>
      <c r="H57" s="56"/>
      <c r="I57" s="56"/>
      <c r="J57" s="1"/>
    </row>
    <row r="58" spans="1:10" x14ac:dyDescent="0.2">
      <c r="A58" s="61" t="s">
        <v>374</v>
      </c>
      <c r="B58" s="43">
        <v>0</v>
      </c>
      <c r="C58" s="212"/>
      <c r="D58" s="62">
        <f>IF(B58*0.05&lt;=0.25,B58*0.05,0.25)</f>
        <v>0</v>
      </c>
      <c r="E58" s="1"/>
      <c r="F58" s="1"/>
      <c r="G58" s="1"/>
      <c r="H58" s="56"/>
      <c r="I58" s="56"/>
      <c r="J58" s="1"/>
    </row>
    <row r="59" spans="1:10" x14ac:dyDescent="0.2">
      <c r="A59" s="61" t="s">
        <v>375</v>
      </c>
      <c r="B59" s="63">
        <v>0</v>
      </c>
      <c r="C59" s="213"/>
      <c r="D59" s="64">
        <f>IF(B59*0.03&lt;=0.15,B59*0.03,0.15)</f>
        <v>0</v>
      </c>
      <c r="E59" s="1"/>
      <c r="F59" s="1"/>
      <c r="G59" s="1"/>
      <c r="H59" s="56"/>
      <c r="I59" s="56"/>
      <c r="J59" s="1"/>
    </row>
    <row r="60" spans="1:10" ht="36.75" customHeight="1" x14ac:dyDescent="0.2">
      <c r="A60" s="16" t="s">
        <v>250</v>
      </c>
      <c r="B60" s="245"/>
      <c r="C60" s="245"/>
      <c r="D60" s="246">
        <f>MAX(C61:C62)</f>
        <v>0</v>
      </c>
      <c r="E60" s="1"/>
      <c r="F60" s="1"/>
      <c r="G60" s="1"/>
      <c r="H60" s="244" t="s">
        <v>256</v>
      </c>
      <c r="I60" s="244"/>
    </row>
    <row r="61" spans="1:10" x14ac:dyDescent="0.2">
      <c r="A61" s="61" t="s">
        <v>110</v>
      </c>
      <c r="B61" s="43" t="s">
        <v>1</v>
      </c>
      <c r="C61" s="65">
        <f>IF(B61="так",0.13,0)</f>
        <v>0</v>
      </c>
      <c r="D61" s="247"/>
      <c r="F61" s="1"/>
      <c r="G61" s="1"/>
      <c r="H61" s="55"/>
      <c r="I61" s="55"/>
    </row>
    <row r="62" spans="1:10" x14ac:dyDescent="0.2">
      <c r="A62" s="61" t="s">
        <v>112</v>
      </c>
      <c r="B62" s="43" t="s">
        <v>1</v>
      </c>
      <c r="C62" s="65">
        <f>IF(B62="так",0.2,0)</f>
        <v>0</v>
      </c>
      <c r="D62" s="247"/>
      <c r="F62" s="1"/>
      <c r="G62" s="1"/>
      <c r="H62" s="55"/>
      <c r="I62" s="55"/>
    </row>
    <row r="63" spans="1:10" x14ac:dyDescent="0.2">
      <c r="A63" s="65"/>
      <c r="B63" s="65"/>
      <c r="C63" s="65"/>
      <c r="D63" s="247"/>
      <c r="F63" s="1"/>
      <c r="G63" s="1"/>
      <c r="H63" s="55"/>
      <c r="I63" s="55"/>
    </row>
    <row r="64" spans="1:10" x14ac:dyDescent="0.2">
      <c r="A64" s="66"/>
      <c r="B64" s="66"/>
      <c r="C64" s="66"/>
      <c r="D64" s="248"/>
      <c r="F64" s="1"/>
      <c r="G64" s="1"/>
      <c r="H64" s="55"/>
      <c r="I64" s="55"/>
    </row>
    <row r="65" spans="1:9" ht="105" customHeight="1" x14ac:dyDescent="0.2">
      <c r="A65" s="67" t="s">
        <v>249</v>
      </c>
      <c r="B65" s="249"/>
      <c r="C65" s="250"/>
      <c r="D65" s="32">
        <f>IF(D67&gt;0,0,IF(A66="так",0.27,0))</f>
        <v>0</v>
      </c>
      <c r="E65" s="1"/>
      <c r="F65" s="1"/>
      <c r="G65" s="1"/>
      <c r="H65" s="244" t="s">
        <v>257</v>
      </c>
      <c r="I65" s="244"/>
    </row>
    <row r="66" spans="1:9" x14ac:dyDescent="0.2">
      <c r="A66" s="223" t="s">
        <v>1</v>
      </c>
      <c r="B66" s="223"/>
      <c r="C66" s="223"/>
      <c r="D66" s="224"/>
      <c r="E66" s="1"/>
      <c r="F66" s="1"/>
      <c r="G66" s="1"/>
    </row>
    <row r="67" spans="1:9" ht="21" customHeight="1" x14ac:dyDescent="0.2">
      <c r="A67" s="16" t="s">
        <v>251</v>
      </c>
      <c r="B67" s="249"/>
      <c r="C67" s="250"/>
      <c r="D67" s="246">
        <f>MAX(C68:C69)</f>
        <v>0</v>
      </c>
      <c r="E67" s="1"/>
      <c r="F67" s="1"/>
      <c r="G67" s="1"/>
      <c r="H67" s="244" t="s">
        <v>258</v>
      </c>
      <c r="I67" s="244"/>
    </row>
    <row r="68" spans="1:9" x14ac:dyDescent="0.2">
      <c r="A68" s="61" t="s">
        <v>110</v>
      </c>
      <c r="B68" s="43" t="s">
        <v>1</v>
      </c>
      <c r="C68" s="65">
        <f>IF(B68="так",0.07,0)</f>
        <v>0</v>
      </c>
      <c r="D68" s="247"/>
      <c r="F68" s="1"/>
      <c r="G68" s="1"/>
    </row>
    <row r="69" spans="1:9" x14ac:dyDescent="0.2">
      <c r="A69" s="61" t="s">
        <v>112</v>
      </c>
      <c r="B69" s="43" t="s">
        <v>1</v>
      </c>
      <c r="C69" s="65">
        <f>IF(B69="так",0.1,0)</f>
        <v>0</v>
      </c>
      <c r="D69" s="247"/>
      <c r="F69" s="1"/>
      <c r="G69" s="1"/>
    </row>
    <row r="70" spans="1:9" x14ac:dyDescent="0.2">
      <c r="A70" s="65"/>
      <c r="B70" s="65"/>
      <c r="C70" s="65"/>
      <c r="D70" s="247"/>
      <c r="F70" s="1"/>
      <c r="G70" s="1"/>
    </row>
    <row r="71" spans="1:9" x14ac:dyDescent="0.2">
      <c r="A71" s="66"/>
      <c r="B71" s="66"/>
      <c r="C71" s="66"/>
      <c r="D71" s="248"/>
      <c r="F71" s="1"/>
      <c r="G71" s="1"/>
    </row>
    <row r="72" spans="1:9" ht="48.75" customHeight="1" x14ac:dyDescent="0.2">
      <c r="A72" s="16" t="s">
        <v>379</v>
      </c>
      <c r="B72" s="249"/>
      <c r="C72" s="250"/>
      <c r="D72" s="68">
        <f>VLOOKUP(A73,Krez11_rez,2,0)</f>
        <v>0</v>
      </c>
      <c r="E72" s="1"/>
      <c r="F72" s="1"/>
      <c r="G72" s="1"/>
      <c r="H72" s="244" t="s">
        <v>256</v>
      </c>
      <c r="I72" s="244"/>
    </row>
    <row r="73" spans="1:9" x14ac:dyDescent="0.2">
      <c r="A73" s="223" t="s">
        <v>102</v>
      </c>
      <c r="B73" s="223"/>
      <c r="C73" s="223"/>
      <c r="D73" s="224"/>
      <c r="E73" s="1"/>
      <c r="F73" s="1"/>
      <c r="G73" s="1"/>
    </row>
    <row r="74" spans="1:9" ht="30" x14ac:dyDescent="0.2">
      <c r="A74" s="17" t="s">
        <v>253</v>
      </c>
      <c r="B74" s="69" t="s">
        <v>1</v>
      </c>
      <c r="C74" s="70"/>
      <c r="D74" s="32">
        <f>IF(B74="так",0.33,0)</f>
        <v>0</v>
      </c>
      <c r="E74" s="1"/>
      <c r="F74" s="1"/>
      <c r="G74" s="1"/>
    </row>
    <row r="75" spans="1:9" ht="35.25" customHeight="1" x14ac:dyDescent="0.2">
      <c r="A75" s="44" t="s">
        <v>215</v>
      </c>
      <c r="B75" s="26" t="s">
        <v>139</v>
      </c>
      <c r="C75" s="45" t="s">
        <v>235</v>
      </c>
      <c r="D75" s="71">
        <f>VLOOKUP(B75,Kzvit,2,0)</f>
        <v>1</v>
      </c>
      <c r="E75" s="72"/>
    </row>
    <row r="76" spans="1:9" ht="11.25" customHeight="1" x14ac:dyDescent="0.2">
      <c r="C76" s="73"/>
      <c r="D76" s="74"/>
    </row>
    <row r="77" spans="1:9" ht="33.75" customHeight="1" x14ac:dyDescent="0.2">
      <c r="A77" s="221" t="str">
        <f>A3</f>
        <v xml:space="preserve">Рк = 20 х Огод х Ксп х Кскл х Кос х Крез х Кзвіт = 20 x 166,4 x 0,28 x 1 x 1 x 1 х 1 = </v>
      </c>
      <c r="B77" s="221"/>
      <c r="C77" s="171">
        <f>C3</f>
        <v>931.84000000000015</v>
      </c>
      <c r="D77" s="171"/>
    </row>
    <row r="78" spans="1:9" x14ac:dyDescent="0.2">
      <c r="D78" s="75"/>
    </row>
    <row r="79" spans="1:9" x14ac:dyDescent="0.2">
      <c r="D79" s="75"/>
    </row>
    <row r="80" spans="1:9" x14ac:dyDescent="0.2">
      <c r="D80" s="75"/>
    </row>
    <row r="81" spans="4:4" x14ac:dyDescent="0.2">
      <c r="D81" s="75"/>
    </row>
    <row r="82" spans="4:4" x14ac:dyDescent="0.2">
      <c r="D82" s="75"/>
    </row>
    <row r="83" spans="4:4" x14ac:dyDescent="0.2">
      <c r="D83" s="75"/>
    </row>
    <row r="84" spans="4:4" x14ac:dyDescent="0.2">
      <c r="D84" s="75"/>
    </row>
    <row r="85" spans="4:4" x14ac:dyDescent="0.2">
      <c r="D85" s="75"/>
    </row>
    <row r="86" spans="4:4" x14ac:dyDescent="0.2">
      <c r="D86" s="75"/>
    </row>
    <row r="87" spans="4:4" x14ac:dyDescent="0.2">
      <c r="D87" s="75"/>
    </row>
    <row r="88" spans="4:4" x14ac:dyDescent="0.2">
      <c r="D88" s="75"/>
    </row>
    <row r="89" spans="4:4" x14ac:dyDescent="0.2">
      <c r="D89" s="75"/>
    </row>
    <row r="90" spans="4:4" x14ac:dyDescent="0.2">
      <c r="D90" s="75"/>
    </row>
    <row r="91" spans="4:4" x14ac:dyDescent="0.2">
      <c r="D91" s="75"/>
    </row>
    <row r="92" spans="4:4" x14ac:dyDescent="0.2">
      <c r="D92" s="75"/>
    </row>
    <row r="93" spans="4:4" x14ac:dyDescent="0.2">
      <c r="D93" s="75"/>
    </row>
    <row r="94" spans="4:4" x14ac:dyDescent="0.2">
      <c r="D94" s="75"/>
    </row>
    <row r="95" spans="4:4" x14ac:dyDescent="0.2">
      <c r="D95" s="75"/>
    </row>
    <row r="96" spans="4:4" x14ac:dyDescent="0.2">
      <c r="D96" s="75"/>
    </row>
    <row r="97" spans="4:4" x14ac:dyDescent="0.2">
      <c r="D97" s="75"/>
    </row>
    <row r="98" spans="4:4" x14ac:dyDescent="0.2">
      <c r="D98" s="75"/>
    </row>
    <row r="99" spans="4:4" x14ac:dyDescent="0.2">
      <c r="D99" s="75"/>
    </row>
    <row r="100" spans="4:4" x14ac:dyDescent="0.2">
      <c r="D100" s="75"/>
    </row>
    <row r="101" spans="4:4" x14ac:dyDescent="0.2">
      <c r="D101" s="75"/>
    </row>
    <row r="102" spans="4:4" x14ac:dyDescent="0.2">
      <c r="D102" s="75"/>
    </row>
    <row r="103" spans="4:4" x14ac:dyDescent="0.2">
      <c r="D103" s="75"/>
    </row>
    <row r="104" spans="4:4" x14ac:dyDescent="0.2">
      <c r="D104" s="75"/>
    </row>
    <row r="105" spans="4:4" x14ac:dyDescent="0.2">
      <c r="D105" s="75"/>
    </row>
    <row r="106" spans="4:4" x14ac:dyDescent="0.2">
      <c r="D106" s="75"/>
    </row>
    <row r="107" spans="4:4" x14ac:dyDescent="0.2">
      <c r="D107" s="75"/>
    </row>
    <row r="108" spans="4:4" x14ac:dyDescent="0.2">
      <c r="D108" s="75"/>
    </row>
    <row r="109" spans="4:4" x14ac:dyDescent="0.2">
      <c r="D109" s="75"/>
    </row>
    <row r="110" spans="4:4" x14ac:dyDescent="0.2">
      <c r="D110" s="75"/>
    </row>
    <row r="111" spans="4:4" x14ac:dyDescent="0.2">
      <c r="D111" s="75"/>
    </row>
    <row r="112" spans="4:4" x14ac:dyDescent="0.2">
      <c r="D112" s="75"/>
    </row>
    <row r="113" spans="4:4" x14ac:dyDescent="0.2">
      <c r="D113" s="75"/>
    </row>
    <row r="114" spans="4:4" x14ac:dyDescent="0.2">
      <c r="D114" s="75"/>
    </row>
    <row r="115" spans="4:4" x14ac:dyDescent="0.2">
      <c r="D115" s="75"/>
    </row>
    <row r="116" spans="4:4" x14ac:dyDescent="0.2">
      <c r="D116" s="75"/>
    </row>
    <row r="117" spans="4:4" x14ac:dyDescent="0.2">
      <c r="D117" s="75"/>
    </row>
    <row r="118" spans="4:4" x14ac:dyDescent="0.2">
      <c r="D118" s="75"/>
    </row>
    <row r="119" spans="4:4" x14ac:dyDescent="0.2">
      <c r="D119" s="75"/>
    </row>
    <row r="120" spans="4:4" x14ac:dyDescent="0.2">
      <c r="D120" s="75"/>
    </row>
    <row r="121" spans="4:4" x14ac:dyDescent="0.2">
      <c r="D121" s="75"/>
    </row>
    <row r="122" spans="4:4" x14ac:dyDescent="0.2">
      <c r="D122" s="75"/>
    </row>
    <row r="123" spans="4:4" x14ac:dyDescent="0.2">
      <c r="D123" s="75"/>
    </row>
    <row r="124" spans="4:4" x14ac:dyDescent="0.2">
      <c r="D124" s="75"/>
    </row>
    <row r="125" spans="4:4" x14ac:dyDescent="0.2">
      <c r="D125" s="75"/>
    </row>
    <row r="126" spans="4:4" x14ac:dyDescent="0.2">
      <c r="D126" s="75"/>
    </row>
    <row r="127" spans="4:4" x14ac:dyDescent="0.2">
      <c r="D127" s="75"/>
    </row>
    <row r="128" spans="4:4" x14ac:dyDescent="0.2">
      <c r="D128" s="75"/>
    </row>
    <row r="129" spans="4:4" x14ac:dyDescent="0.2">
      <c r="D129" s="75"/>
    </row>
    <row r="130" spans="4:4" x14ac:dyDescent="0.2">
      <c r="D130" s="75"/>
    </row>
    <row r="131" spans="4:4" x14ac:dyDescent="0.2">
      <c r="D131" s="75"/>
    </row>
    <row r="132" spans="4:4" x14ac:dyDescent="0.2">
      <c r="D132" s="75"/>
    </row>
    <row r="133" spans="4:4" x14ac:dyDescent="0.2">
      <c r="D133" s="75"/>
    </row>
    <row r="134" spans="4:4" x14ac:dyDescent="0.2">
      <c r="D134" s="75"/>
    </row>
    <row r="135" spans="4:4" x14ac:dyDescent="0.2">
      <c r="D135" s="75"/>
    </row>
    <row r="136" spans="4:4" x14ac:dyDescent="0.2">
      <c r="D136" s="75"/>
    </row>
    <row r="137" spans="4:4" x14ac:dyDescent="0.2">
      <c r="D137" s="75"/>
    </row>
    <row r="138" spans="4:4" x14ac:dyDescent="0.2">
      <c r="D138" s="75"/>
    </row>
    <row r="139" spans="4:4" x14ac:dyDescent="0.2">
      <c r="D139" s="75"/>
    </row>
    <row r="140" spans="4:4" x14ac:dyDescent="0.2">
      <c r="D140" s="75"/>
    </row>
    <row r="141" spans="4:4" x14ac:dyDescent="0.2">
      <c r="D141" s="75"/>
    </row>
    <row r="142" spans="4:4" x14ac:dyDescent="0.2">
      <c r="D142" s="75"/>
    </row>
    <row r="143" spans="4:4" x14ac:dyDescent="0.2">
      <c r="D143" s="75"/>
    </row>
    <row r="144" spans="4:4" x14ac:dyDescent="0.2">
      <c r="D144" s="75"/>
    </row>
    <row r="145" spans="4:4" x14ac:dyDescent="0.2">
      <c r="D145" s="75"/>
    </row>
    <row r="146" spans="4:4" x14ac:dyDescent="0.2">
      <c r="D146" s="75"/>
    </row>
    <row r="147" spans="4:4" x14ac:dyDescent="0.2">
      <c r="D147" s="75"/>
    </row>
    <row r="148" spans="4:4" x14ac:dyDescent="0.2">
      <c r="D148" s="75"/>
    </row>
    <row r="149" spans="4:4" x14ac:dyDescent="0.2">
      <c r="D149" s="75"/>
    </row>
    <row r="150" spans="4:4" x14ac:dyDescent="0.2">
      <c r="D150" s="75"/>
    </row>
    <row r="151" spans="4:4" x14ac:dyDescent="0.2">
      <c r="D151" s="75"/>
    </row>
    <row r="152" spans="4:4" x14ac:dyDescent="0.2">
      <c r="D152" s="75"/>
    </row>
    <row r="153" spans="4:4" x14ac:dyDescent="0.2">
      <c r="D153" s="75"/>
    </row>
    <row r="154" spans="4:4" x14ac:dyDescent="0.2">
      <c r="D154" s="75"/>
    </row>
    <row r="155" spans="4:4" x14ac:dyDescent="0.2">
      <c r="D155" s="75"/>
    </row>
    <row r="156" spans="4:4" x14ac:dyDescent="0.2">
      <c r="D156" s="75"/>
    </row>
    <row r="157" spans="4:4" x14ac:dyDescent="0.2">
      <c r="D157" s="75"/>
    </row>
    <row r="158" spans="4:4" x14ac:dyDescent="0.2">
      <c r="D158" s="75"/>
    </row>
    <row r="159" spans="4:4" x14ac:dyDescent="0.2">
      <c r="D159" s="75"/>
    </row>
    <row r="160" spans="4:4" x14ac:dyDescent="0.2">
      <c r="D160" s="75"/>
    </row>
    <row r="161" spans="4:4" x14ac:dyDescent="0.2">
      <c r="D161" s="75"/>
    </row>
    <row r="162" spans="4:4" x14ac:dyDescent="0.2">
      <c r="D162" s="75"/>
    </row>
    <row r="163" spans="4:4" x14ac:dyDescent="0.2">
      <c r="D163" s="75"/>
    </row>
    <row r="164" spans="4:4" x14ac:dyDescent="0.2">
      <c r="D164" s="75"/>
    </row>
    <row r="165" spans="4:4" x14ac:dyDescent="0.2">
      <c r="D165" s="75"/>
    </row>
    <row r="166" spans="4:4" x14ac:dyDescent="0.2">
      <c r="D166" s="75"/>
    </row>
    <row r="167" spans="4:4" x14ac:dyDescent="0.2">
      <c r="D167" s="75"/>
    </row>
    <row r="168" spans="4:4" x14ac:dyDescent="0.2">
      <c r="D168" s="75"/>
    </row>
    <row r="169" spans="4:4" x14ac:dyDescent="0.2">
      <c r="D169" s="75"/>
    </row>
    <row r="170" spans="4:4" x14ac:dyDescent="0.2">
      <c r="D170" s="75"/>
    </row>
    <row r="171" spans="4:4" x14ac:dyDescent="0.2">
      <c r="D171" s="75"/>
    </row>
    <row r="172" spans="4:4" x14ac:dyDescent="0.2">
      <c r="D172" s="75"/>
    </row>
    <row r="173" spans="4:4" x14ac:dyDescent="0.2">
      <c r="D173" s="75"/>
    </row>
    <row r="174" spans="4:4" x14ac:dyDescent="0.2">
      <c r="D174" s="75"/>
    </row>
    <row r="175" spans="4:4" x14ac:dyDescent="0.2">
      <c r="D175" s="75"/>
    </row>
    <row r="176" spans="4:4" x14ac:dyDescent="0.2">
      <c r="D176" s="75"/>
    </row>
    <row r="177" spans="4:4" x14ac:dyDescent="0.2">
      <c r="D177" s="75"/>
    </row>
    <row r="178" spans="4:4" x14ac:dyDescent="0.2">
      <c r="D178" s="75"/>
    </row>
    <row r="179" spans="4:4" x14ac:dyDescent="0.2">
      <c r="D179" s="75"/>
    </row>
    <row r="180" spans="4:4" x14ac:dyDescent="0.2">
      <c r="D180" s="75"/>
    </row>
    <row r="181" spans="4:4" x14ac:dyDescent="0.2">
      <c r="D181" s="75"/>
    </row>
    <row r="182" spans="4:4" x14ac:dyDescent="0.2">
      <c r="D182" s="75"/>
    </row>
    <row r="183" spans="4:4" x14ac:dyDescent="0.2">
      <c r="D183" s="75"/>
    </row>
    <row r="184" spans="4:4" x14ac:dyDescent="0.2">
      <c r="D184" s="75"/>
    </row>
    <row r="185" spans="4:4" x14ac:dyDescent="0.2">
      <c r="D185" s="75"/>
    </row>
    <row r="186" spans="4:4" x14ac:dyDescent="0.2">
      <c r="D186" s="75"/>
    </row>
    <row r="187" spans="4:4" x14ac:dyDescent="0.2">
      <c r="D187" s="75"/>
    </row>
    <row r="188" spans="4:4" x14ac:dyDescent="0.2">
      <c r="D188" s="75"/>
    </row>
    <row r="189" spans="4:4" x14ac:dyDescent="0.2">
      <c r="D189" s="75"/>
    </row>
    <row r="190" spans="4:4" x14ac:dyDescent="0.2">
      <c r="D190" s="75"/>
    </row>
    <row r="191" spans="4:4" x14ac:dyDescent="0.2">
      <c r="D191" s="75"/>
    </row>
    <row r="192" spans="4:4" x14ac:dyDescent="0.2">
      <c r="D192" s="75"/>
    </row>
    <row r="193" spans="4:4" x14ac:dyDescent="0.2">
      <c r="D193" s="75"/>
    </row>
    <row r="194" spans="4:4" x14ac:dyDescent="0.2">
      <c r="D194" s="75"/>
    </row>
    <row r="195" spans="4:4" x14ac:dyDescent="0.2">
      <c r="D195" s="75"/>
    </row>
    <row r="196" spans="4:4" x14ac:dyDescent="0.2">
      <c r="D196" s="75"/>
    </row>
    <row r="197" spans="4:4" x14ac:dyDescent="0.2">
      <c r="D197" s="75"/>
    </row>
    <row r="198" spans="4:4" x14ac:dyDescent="0.2">
      <c r="D198" s="75"/>
    </row>
    <row r="199" spans="4:4" x14ac:dyDescent="0.2">
      <c r="D199" s="75"/>
    </row>
    <row r="200" spans="4:4" x14ac:dyDescent="0.2">
      <c r="D200" s="75"/>
    </row>
    <row r="201" spans="4:4" x14ac:dyDescent="0.2">
      <c r="D201" s="75"/>
    </row>
    <row r="202" spans="4:4" x14ac:dyDescent="0.2">
      <c r="D202" s="75"/>
    </row>
    <row r="203" spans="4:4" x14ac:dyDescent="0.2">
      <c r="D203" s="75"/>
    </row>
    <row r="204" spans="4:4" x14ac:dyDescent="0.2">
      <c r="D204" s="75"/>
    </row>
    <row r="205" spans="4:4" x14ac:dyDescent="0.2">
      <c r="D205" s="75"/>
    </row>
    <row r="206" spans="4:4" x14ac:dyDescent="0.2">
      <c r="D206" s="75"/>
    </row>
    <row r="207" spans="4:4" x14ac:dyDescent="0.2">
      <c r="D207" s="75"/>
    </row>
    <row r="208" spans="4:4" x14ac:dyDescent="0.2">
      <c r="D208" s="75"/>
    </row>
    <row r="209" spans="4:4" x14ac:dyDescent="0.2">
      <c r="D209" s="75"/>
    </row>
    <row r="210" spans="4:4" x14ac:dyDescent="0.2">
      <c r="D210" s="75"/>
    </row>
    <row r="211" spans="4:4" x14ac:dyDescent="0.2">
      <c r="D211" s="75"/>
    </row>
    <row r="212" spans="4:4" x14ac:dyDescent="0.2">
      <c r="D212" s="75"/>
    </row>
    <row r="213" spans="4:4" x14ac:dyDescent="0.2">
      <c r="D213" s="75"/>
    </row>
    <row r="214" spans="4:4" x14ac:dyDescent="0.2">
      <c r="D214" s="75"/>
    </row>
    <row r="215" spans="4:4" x14ac:dyDescent="0.2">
      <c r="D215" s="75"/>
    </row>
    <row r="216" spans="4:4" x14ac:dyDescent="0.2">
      <c r="D216" s="75"/>
    </row>
    <row r="217" spans="4:4" x14ac:dyDescent="0.2">
      <c r="D217" s="75"/>
    </row>
    <row r="218" spans="4:4" x14ac:dyDescent="0.2">
      <c r="D218" s="75"/>
    </row>
    <row r="219" spans="4:4" x14ac:dyDescent="0.2">
      <c r="D219" s="75"/>
    </row>
    <row r="220" spans="4:4" x14ac:dyDescent="0.2">
      <c r="D220" s="75"/>
    </row>
    <row r="221" spans="4:4" x14ac:dyDescent="0.2">
      <c r="D221" s="75"/>
    </row>
    <row r="222" spans="4:4" x14ac:dyDescent="0.2">
      <c r="D222" s="75"/>
    </row>
    <row r="223" spans="4:4" x14ac:dyDescent="0.2">
      <c r="D223" s="75"/>
    </row>
    <row r="224" spans="4:4" x14ac:dyDescent="0.2">
      <c r="D224" s="75"/>
    </row>
    <row r="225" spans="4:4" x14ac:dyDescent="0.2">
      <c r="D225" s="75"/>
    </row>
    <row r="226" spans="4:4" x14ac:dyDescent="0.2">
      <c r="D226" s="75"/>
    </row>
    <row r="227" spans="4:4" x14ac:dyDescent="0.2">
      <c r="D227" s="75"/>
    </row>
    <row r="228" spans="4:4" x14ac:dyDescent="0.2">
      <c r="D228" s="75"/>
    </row>
    <row r="229" spans="4:4" x14ac:dyDescent="0.2">
      <c r="D229" s="75"/>
    </row>
    <row r="230" spans="4:4" x14ac:dyDescent="0.2">
      <c r="D230" s="75"/>
    </row>
    <row r="231" spans="4:4" x14ac:dyDescent="0.2">
      <c r="D231" s="75"/>
    </row>
    <row r="232" spans="4:4" x14ac:dyDescent="0.2">
      <c r="D232" s="75"/>
    </row>
    <row r="233" spans="4:4" x14ac:dyDescent="0.2">
      <c r="D233" s="75"/>
    </row>
    <row r="234" spans="4:4" x14ac:dyDescent="0.2">
      <c r="D234" s="75"/>
    </row>
    <row r="235" spans="4:4" x14ac:dyDescent="0.2">
      <c r="D235" s="75"/>
    </row>
    <row r="236" spans="4:4" x14ac:dyDescent="0.2">
      <c r="D236" s="75"/>
    </row>
    <row r="237" spans="4:4" x14ac:dyDescent="0.2">
      <c r="D237" s="75"/>
    </row>
    <row r="238" spans="4:4" x14ac:dyDescent="0.2">
      <c r="D238" s="75"/>
    </row>
    <row r="239" spans="4:4" x14ac:dyDescent="0.2">
      <c r="D239" s="75"/>
    </row>
    <row r="240" spans="4:4" x14ac:dyDescent="0.2">
      <c r="D240" s="75"/>
    </row>
    <row r="241" spans="4:4" x14ac:dyDescent="0.2">
      <c r="D241" s="75"/>
    </row>
    <row r="242" spans="4:4" x14ac:dyDescent="0.2">
      <c r="D242" s="75"/>
    </row>
    <row r="243" spans="4:4" x14ac:dyDescent="0.2">
      <c r="D243" s="75"/>
    </row>
    <row r="244" spans="4:4" x14ac:dyDescent="0.2">
      <c r="D244" s="75"/>
    </row>
    <row r="245" spans="4:4" x14ac:dyDescent="0.2">
      <c r="D245" s="75"/>
    </row>
    <row r="246" spans="4:4" x14ac:dyDescent="0.2">
      <c r="D246" s="75"/>
    </row>
    <row r="247" spans="4:4" x14ac:dyDescent="0.2">
      <c r="D247" s="75"/>
    </row>
    <row r="248" spans="4:4" x14ac:dyDescent="0.2">
      <c r="D248" s="75"/>
    </row>
    <row r="249" spans="4:4" x14ac:dyDescent="0.2">
      <c r="D249" s="75"/>
    </row>
    <row r="250" spans="4:4" x14ac:dyDescent="0.2">
      <c r="D250" s="75"/>
    </row>
    <row r="251" spans="4:4" x14ac:dyDescent="0.2">
      <c r="D251" s="75"/>
    </row>
    <row r="252" spans="4:4" x14ac:dyDescent="0.2">
      <c r="D252" s="75"/>
    </row>
    <row r="253" spans="4:4" x14ac:dyDescent="0.2">
      <c r="D253" s="75"/>
    </row>
    <row r="254" spans="4:4" x14ac:dyDescent="0.2">
      <c r="D254" s="75"/>
    </row>
    <row r="255" spans="4:4" x14ac:dyDescent="0.2">
      <c r="D255" s="75"/>
    </row>
    <row r="256" spans="4:4" x14ac:dyDescent="0.2">
      <c r="D256" s="75"/>
    </row>
    <row r="257" spans="4:4" x14ac:dyDescent="0.2">
      <c r="D257" s="75"/>
    </row>
    <row r="258" spans="4:4" x14ac:dyDescent="0.2">
      <c r="D258" s="75"/>
    </row>
    <row r="259" spans="4:4" x14ac:dyDescent="0.2">
      <c r="D259" s="75"/>
    </row>
    <row r="260" spans="4:4" x14ac:dyDescent="0.2">
      <c r="D260" s="75"/>
    </row>
    <row r="261" spans="4:4" x14ac:dyDescent="0.2">
      <c r="D261" s="75"/>
    </row>
    <row r="262" spans="4:4" x14ac:dyDescent="0.2">
      <c r="D262" s="75"/>
    </row>
    <row r="263" spans="4:4" x14ac:dyDescent="0.2">
      <c r="D263" s="75"/>
    </row>
    <row r="264" spans="4:4" x14ac:dyDescent="0.2">
      <c r="D264" s="75"/>
    </row>
    <row r="265" spans="4:4" x14ac:dyDescent="0.2">
      <c r="D265" s="75"/>
    </row>
    <row r="266" spans="4:4" x14ac:dyDescent="0.2">
      <c r="D266" s="75"/>
    </row>
    <row r="267" spans="4:4" x14ac:dyDescent="0.2">
      <c r="D267" s="75"/>
    </row>
    <row r="268" spans="4:4" x14ac:dyDescent="0.2">
      <c r="D268" s="75"/>
    </row>
    <row r="269" spans="4:4" x14ac:dyDescent="0.2">
      <c r="D269" s="75"/>
    </row>
    <row r="270" spans="4:4" x14ac:dyDescent="0.2">
      <c r="D270" s="75"/>
    </row>
    <row r="271" spans="4:4" x14ac:dyDescent="0.2">
      <c r="D271" s="75"/>
    </row>
    <row r="272" spans="4:4" x14ac:dyDescent="0.2">
      <c r="D272" s="75"/>
    </row>
    <row r="273" spans="4:4" x14ac:dyDescent="0.2">
      <c r="D273" s="75"/>
    </row>
    <row r="274" spans="4:4" x14ac:dyDescent="0.2">
      <c r="D274" s="75"/>
    </row>
    <row r="275" spans="4:4" x14ac:dyDescent="0.2">
      <c r="D275" s="75"/>
    </row>
    <row r="276" spans="4:4" x14ac:dyDescent="0.2">
      <c r="D276" s="75"/>
    </row>
    <row r="277" spans="4:4" x14ac:dyDescent="0.2">
      <c r="D277" s="75"/>
    </row>
    <row r="278" spans="4:4" x14ac:dyDescent="0.2">
      <c r="D278" s="75"/>
    </row>
    <row r="279" spans="4:4" x14ac:dyDescent="0.2">
      <c r="D279" s="75"/>
    </row>
    <row r="280" spans="4:4" x14ac:dyDescent="0.2">
      <c r="D280" s="75"/>
    </row>
    <row r="281" spans="4:4" x14ac:dyDescent="0.2">
      <c r="D281" s="75"/>
    </row>
    <row r="282" spans="4:4" x14ac:dyDescent="0.2">
      <c r="D282" s="75"/>
    </row>
    <row r="283" spans="4:4" x14ac:dyDescent="0.2">
      <c r="D283" s="75"/>
    </row>
    <row r="284" spans="4:4" x14ac:dyDescent="0.2">
      <c r="D284" s="75"/>
    </row>
    <row r="285" spans="4:4" x14ac:dyDescent="0.2">
      <c r="D285" s="75"/>
    </row>
    <row r="286" spans="4:4" x14ac:dyDescent="0.2">
      <c r="D286" s="75"/>
    </row>
    <row r="287" spans="4:4" x14ac:dyDescent="0.2">
      <c r="D287" s="75"/>
    </row>
    <row r="288" spans="4:4" x14ac:dyDescent="0.2">
      <c r="D288" s="75"/>
    </row>
    <row r="289" spans="4:4" x14ac:dyDescent="0.2">
      <c r="D289" s="75"/>
    </row>
    <row r="290" spans="4:4" x14ac:dyDescent="0.2">
      <c r="D290" s="75"/>
    </row>
    <row r="291" spans="4:4" x14ac:dyDescent="0.2">
      <c r="D291" s="75"/>
    </row>
    <row r="292" spans="4:4" x14ac:dyDescent="0.2">
      <c r="D292" s="75"/>
    </row>
    <row r="293" spans="4:4" x14ac:dyDescent="0.2">
      <c r="D293" s="75"/>
    </row>
    <row r="294" spans="4:4" x14ac:dyDescent="0.2">
      <c r="D294" s="75"/>
    </row>
    <row r="295" spans="4:4" x14ac:dyDescent="0.2">
      <c r="D295" s="75"/>
    </row>
    <row r="296" spans="4:4" x14ac:dyDescent="0.2">
      <c r="D296" s="75"/>
    </row>
    <row r="297" spans="4:4" x14ac:dyDescent="0.2">
      <c r="D297" s="75"/>
    </row>
    <row r="298" spans="4:4" x14ac:dyDescent="0.2">
      <c r="D298" s="75"/>
    </row>
    <row r="299" spans="4:4" x14ac:dyDescent="0.2">
      <c r="D299" s="75"/>
    </row>
    <row r="300" spans="4:4" x14ac:dyDescent="0.2">
      <c r="D300" s="75"/>
    </row>
    <row r="301" spans="4:4" x14ac:dyDescent="0.2">
      <c r="D301" s="75"/>
    </row>
    <row r="302" spans="4:4" x14ac:dyDescent="0.2">
      <c r="D302" s="75"/>
    </row>
    <row r="303" spans="4:4" x14ac:dyDescent="0.2">
      <c r="D303" s="75"/>
    </row>
    <row r="304" spans="4:4" x14ac:dyDescent="0.2">
      <c r="D304" s="75"/>
    </row>
    <row r="305" spans="4:4" x14ac:dyDescent="0.2">
      <c r="D305" s="75"/>
    </row>
    <row r="306" spans="4:4" x14ac:dyDescent="0.2">
      <c r="D306" s="75"/>
    </row>
    <row r="307" spans="4:4" x14ac:dyDescent="0.2">
      <c r="D307" s="75"/>
    </row>
    <row r="308" spans="4:4" x14ac:dyDescent="0.2">
      <c r="D308" s="75"/>
    </row>
    <row r="309" spans="4:4" x14ac:dyDescent="0.2">
      <c r="D309" s="75"/>
    </row>
  </sheetData>
  <sheetProtection algorithmName="SHA-512" hashValue="wIJ2uasyj1RkOttp3C9fv9/oXAyO4ELkMtm1wS0LQZVFORQteqQ9q8HhxKHfPvYMo15QIVzcU47qAW1aAthvGA==" saltValue="X9ZsIYPtU/bDXpvaISU49g==" spinCount="100000" sheet="1" objects="1" scenarios="1"/>
  <mergeCells count="47">
    <mergeCell ref="A73:D73"/>
    <mergeCell ref="A77:B77"/>
    <mergeCell ref="C77:D77"/>
    <mergeCell ref="H67:I67"/>
    <mergeCell ref="B67:C67"/>
    <mergeCell ref="D67:D71"/>
    <mergeCell ref="B65:C65"/>
    <mergeCell ref="H65:I65"/>
    <mergeCell ref="A66:D66"/>
    <mergeCell ref="B72:C72"/>
    <mergeCell ref="H72:I72"/>
    <mergeCell ref="B60:C60"/>
    <mergeCell ref="D60:D64"/>
    <mergeCell ref="H60:I60"/>
    <mergeCell ref="B54:C54"/>
    <mergeCell ref="B45:C45"/>
    <mergeCell ref="H45:I45"/>
    <mergeCell ref="A46:D46"/>
    <mergeCell ref="B47:C47"/>
    <mergeCell ref="H47:I47"/>
    <mergeCell ref="A48:D48"/>
    <mergeCell ref="A51:D51"/>
    <mergeCell ref="B52:C52"/>
    <mergeCell ref="A53:D53"/>
    <mergeCell ref="H54:I54"/>
    <mergeCell ref="C55:C59"/>
    <mergeCell ref="B37:D37"/>
    <mergeCell ref="B49:C49"/>
    <mergeCell ref="H49:I49"/>
    <mergeCell ref="B50:C50"/>
    <mergeCell ref="B39:C39"/>
    <mergeCell ref="H39:I39"/>
    <mergeCell ref="A40:D40"/>
    <mergeCell ref="A42:D42"/>
    <mergeCell ref="H43:I43"/>
    <mergeCell ref="A44:D44"/>
    <mergeCell ref="A13:D13"/>
    <mergeCell ref="B18:D18"/>
    <mergeCell ref="B27:D27"/>
    <mergeCell ref="B29:D29"/>
    <mergeCell ref="C30:C35"/>
    <mergeCell ref="D30:D35"/>
    <mergeCell ref="A1:D1"/>
    <mergeCell ref="F1:G1"/>
    <mergeCell ref="H1:I1"/>
    <mergeCell ref="A3:B3"/>
    <mergeCell ref="C3:D3"/>
  </mergeCells>
  <dataValidations count="17">
    <dataValidation type="list" allowBlank="1" showInputMessage="1" showErrorMessage="1" sqref="B14" xr:uid="{24305C68-D8AB-3848-9DEF-0FBFD7A3E777}">
      <formula1>More_than_5_days</formula1>
    </dataValidation>
    <dataValidation type="list" allowBlank="1" showInputMessage="1" showErrorMessage="1" sqref="A13" xr:uid="{3F0A694F-220D-314B-87FA-B0475F59BB20}">
      <formula1>CourtChange</formula1>
    </dataValidation>
    <dataValidation type="list" allowBlank="1" showInputMessage="1" showErrorMessage="1" sqref="B5" xr:uid="{4E7A8A49-B1BB-4A40-9A21-6FF37594C3A9}">
      <formula1>ЗП</formula1>
    </dataValidation>
    <dataValidation type="list" allowBlank="1" showInputMessage="1" showErrorMessage="1" sqref="B9:B11 B29 B31:B35 B7 A66 B61:B62 D9:D11 B74 B68:B69" xr:uid="{306108FC-5BC7-6349-AD89-CA0485210B84}">
      <formula1>ТакНі</formula1>
    </dataValidation>
    <dataValidation type="list" allowBlank="1" showInputMessage="1" showErrorMessage="1" sqref="B55:B59 B20:B25" xr:uid="{1A3C7FB6-8B79-4245-99F1-07F1743627EA}">
      <formula1>NumEpisodesCrim</formula1>
    </dataValidation>
    <dataValidation type="list" allowBlank="1" showInputMessage="1" showErrorMessage="1" sqref="B27" xr:uid="{14C928EC-2B29-DD40-873C-2792559F27C7}">
      <formula1>NumPartnersCrim</formula1>
    </dataValidation>
    <dataValidation type="list" allowBlank="1" showInputMessage="1" showErrorMessage="1" sqref="B37" xr:uid="{2FA67353-5DB9-084D-9CB6-1AC320222A10}">
      <formula1>Num_Episodes</formula1>
    </dataValidation>
    <dataValidation type="list" allowBlank="1" showInputMessage="1" showErrorMessage="1" sqref="A42:D42" xr:uid="{CAF08EC6-3E01-EE44-ABCD-9C439A96AA3D}">
      <formula1>Krez2</formula1>
    </dataValidation>
    <dataValidation type="list" allowBlank="1" showInputMessage="1" showErrorMessage="1" sqref="A46:D46" xr:uid="{932EFA89-0EAC-4F4E-A682-F741DC3BC822}">
      <formula1>Krez4</formula1>
    </dataValidation>
    <dataValidation type="list" allowBlank="1" showInputMessage="1" showErrorMessage="1" sqref="A51:D51" xr:uid="{35AA59DF-47F6-0C4E-B36B-37AE21FF9494}">
      <formula1>Krez6a</formula1>
    </dataValidation>
    <dataValidation type="list" allowBlank="1" showInputMessage="1" showErrorMessage="1" sqref="A40:D40" xr:uid="{6DFE5361-2EB3-324A-A5C9-321B0C0AB8B0}">
      <formula1>Krez1</formula1>
    </dataValidation>
    <dataValidation type="list" allowBlank="1" showInputMessage="1" showErrorMessage="1" sqref="B75" xr:uid="{0A4F5D12-27F2-8149-9974-FABF8ECF5710}">
      <formula1>Zvit</formula1>
    </dataValidation>
    <dataValidation type="list" allowBlank="1" showInputMessage="1" showErrorMessage="1" sqref="A44" xr:uid="{C2A1694F-E38E-0A40-9CF3-2286003459B6}">
      <formula1>Krez3</formula1>
    </dataValidation>
    <dataValidation type="list" allowBlank="1" showInputMessage="1" showErrorMessage="1" sqref="A48:D48" xr:uid="{BE30A71E-18B7-7E4F-BADF-46DE4CDB74D8}">
      <formula1>Krez5</formula1>
    </dataValidation>
    <dataValidation type="list" allowBlank="1" showInputMessage="1" showErrorMessage="1" sqref="A53:D53" xr:uid="{99092EAE-AE5F-9A42-895F-DE5326C83643}">
      <formula1>Krez6b</formula1>
    </dataValidation>
    <dataValidation type="list" allowBlank="1" showInputMessage="1" showErrorMessage="1" sqref="A73" xr:uid="{B4EB9E0E-B3EF-7A4D-8DA6-7B11EA52703C}">
      <formula1>Krez11</formula1>
    </dataValidation>
    <dataValidation type="list" allowBlank="1" showInputMessage="1" showErrorMessage="1" sqref="B18:D18" xr:uid="{CB5E0A2C-ADAB-2E48-94BF-3E853D748E67}">
      <formula1>TrialGravity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D869-6C2F-0C4B-8AD5-A5A6C3CFEF8B}">
  <sheetPr>
    <tabColor theme="8" tint="-0.499984740745262"/>
  </sheetPr>
  <dimension ref="A1:J307"/>
  <sheetViews>
    <sheetView showGridLines="0" workbookViewId="0">
      <pane ySplit="1" topLeftCell="A2" activePane="bottomLeft" state="frozen"/>
      <selection activeCell="B21" sqref="B21"/>
      <selection pane="bottomLeft" sqref="A1:D1"/>
    </sheetView>
  </sheetViews>
  <sheetFormatPr baseColWidth="10" defaultColWidth="11.33203125" defaultRowHeight="15" x14ac:dyDescent="0.2"/>
  <cols>
    <col min="1" max="1" width="85.33203125" style="3" customWidth="1"/>
    <col min="2" max="2" width="12" style="3" customWidth="1"/>
    <col min="3" max="3" width="16.33203125" style="3" customWidth="1"/>
    <col min="4" max="4" width="11.33203125" style="4" customWidth="1"/>
    <col min="5" max="6" width="11.33203125" style="2" customWidth="1"/>
    <col min="7" max="7" width="13" style="2" customWidth="1"/>
    <col min="8" max="9" width="12.33203125" style="2" customWidth="1"/>
    <col min="10" max="16384" width="11.33203125" style="2"/>
  </cols>
  <sheetData>
    <row r="1" spans="1:10" ht="36" customHeight="1" x14ac:dyDescent="0.2">
      <c r="A1" s="173" t="s">
        <v>278</v>
      </c>
      <c r="B1" s="173"/>
      <c r="C1" s="173"/>
      <c r="D1" s="217"/>
      <c r="E1" s="1"/>
      <c r="F1" s="218" t="s">
        <v>245</v>
      </c>
      <c r="G1" s="218"/>
      <c r="H1" s="219" t="s">
        <v>252</v>
      </c>
      <c r="I1" s="219"/>
      <c r="J1" s="1"/>
    </row>
    <row r="2" spans="1:10" x14ac:dyDescent="0.2">
      <c r="E2" s="1"/>
      <c r="F2" s="1"/>
      <c r="G2" s="1"/>
      <c r="H2" s="1"/>
      <c r="I2" s="1"/>
      <c r="J2" s="1"/>
    </row>
    <row r="3" spans="1:10" ht="31.5" customHeight="1" x14ac:dyDescent="0.2">
      <c r="A3" s="220" t="str">
        <f>TEXT( "Рк = 20 х Огод х Ксп х Кскл х Кос х Крез х Кзвіт = 20 x "&amp;D5&amp;" x "&amp;D6&amp;" x "&amp;D13&amp;" x "&amp;D34&amp;" x "&amp;D36&amp;" х "&amp;D73&amp;" = ",0)</f>
        <v xml:space="preserve">Рк = 20 х Огод х Ксп х Кскл х Кос х Крез х Кзвіт = 20 x 166,4 x 0,35 x 1 x 1 x 1 х 1 = </v>
      </c>
      <c r="B3" s="221"/>
      <c r="C3" s="171">
        <f>20*D5*D6*D13*D34*D36*D73</f>
        <v>1164.8</v>
      </c>
      <c r="D3" s="171"/>
      <c r="E3" s="1"/>
      <c r="F3" s="1"/>
      <c r="G3" s="1"/>
      <c r="H3" s="1"/>
      <c r="I3" s="1"/>
      <c r="J3" s="1"/>
    </row>
    <row r="4" spans="1:10" ht="12.75" customHeight="1" x14ac:dyDescent="0.2">
      <c r="D4" s="5"/>
      <c r="E4" s="1"/>
      <c r="F4" s="1"/>
      <c r="G4" s="1"/>
      <c r="H4" s="1"/>
      <c r="I4" s="1"/>
      <c r="J4" s="1"/>
    </row>
    <row r="5" spans="1:10" ht="35.25" customHeight="1" x14ac:dyDescent="0.2">
      <c r="A5" s="6" t="s">
        <v>194</v>
      </c>
      <c r="B5" s="7">
        <v>3328</v>
      </c>
      <c r="C5" s="8" t="s">
        <v>200</v>
      </c>
      <c r="D5" s="9">
        <f>ROUND(B5*0.05,3)</f>
        <v>166.4</v>
      </c>
      <c r="E5" s="1"/>
      <c r="F5" s="1"/>
      <c r="G5" s="1"/>
      <c r="H5" s="1"/>
      <c r="I5" s="1"/>
      <c r="J5" s="1"/>
    </row>
    <row r="6" spans="1:10" ht="24" customHeight="1" x14ac:dyDescent="0.2">
      <c r="A6" s="10" t="s">
        <v>195</v>
      </c>
      <c r="B6" s="11"/>
      <c r="C6" s="12" t="s">
        <v>201</v>
      </c>
      <c r="D6" s="13">
        <f>IF(B7="так",0.2,D8+D12)</f>
        <v>0.35</v>
      </c>
      <c r="E6" s="1"/>
      <c r="F6" s="1"/>
      <c r="G6" s="1"/>
      <c r="H6" s="1"/>
      <c r="I6" s="1"/>
      <c r="J6" s="1"/>
    </row>
    <row r="7" spans="1:10" ht="47.25" customHeight="1" x14ac:dyDescent="0.2">
      <c r="A7" s="14" t="s">
        <v>279</v>
      </c>
      <c r="B7" s="15" t="s">
        <v>1</v>
      </c>
      <c r="C7" s="12"/>
      <c r="D7" s="13"/>
      <c r="E7" s="1"/>
      <c r="F7" s="1"/>
      <c r="G7" s="1"/>
      <c r="H7" s="1"/>
      <c r="I7" s="1"/>
      <c r="J7" s="1"/>
    </row>
    <row r="8" spans="1:10" ht="20.25" customHeight="1" x14ac:dyDescent="0.2">
      <c r="A8" s="16" t="s">
        <v>196</v>
      </c>
      <c r="B8" s="17"/>
      <c r="C8" s="18" t="s">
        <v>202</v>
      </c>
      <c r="D8" s="18">
        <f>VLOOKUP(B9&amp;B10&amp;B11,KspKas_res,4,0)</f>
        <v>0.35</v>
      </c>
      <c r="E8" s="1"/>
      <c r="F8" s="1"/>
      <c r="G8" s="1"/>
      <c r="H8" s="1"/>
      <c r="I8" s="1"/>
      <c r="J8" s="1"/>
    </row>
    <row r="9" spans="1:10" x14ac:dyDescent="0.2">
      <c r="A9" s="19" t="s">
        <v>135</v>
      </c>
      <c r="B9" s="15" t="s">
        <v>1</v>
      </c>
      <c r="C9" s="20"/>
      <c r="D9" s="21"/>
      <c r="E9" s="1"/>
      <c r="F9" s="1"/>
      <c r="G9" s="1"/>
      <c r="H9" s="1"/>
      <c r="I9" s="1"/>
      <c r="J9" s="1"/>
    </row>
    <row r="10" spans="1:10" x14ac:dyDescent="0.2">
      <c r="A10" s="19" t="s">
        <v>133</v>
      </c>
      <c r="B10" s="15" t="s">
        <v>1</v>
      </c>
      <c r="C10" s="20"/>
      <c r="D10" s="21"/>
      <c r="E10" s="1"/>
      <c r="F10" s="1"/>
      <c r="G10" s="1"/>
      <c r="H10" s="1"/>
      <c r="I10" s="1"/>
      <c r="J10" s="1"/>
    </row>
    <row r="11" spans="1:10" x14ac:dyDescent="0.2">
      <c r="A11" s="19" t="s">
        <v>276</v>
      </c>
      <c r="B11" s="15" t="s">
        <v>1</v>
      </c>
      <c r="C11" s="20"/>
      <c r="D11" s="21"/>
      <c r="E11" s="1"/>
      <c r="F11" s="1"/>
      <c r="G11" s="1"/>
      <c r="H11" s="1"/>
      <c r="I11" s="1"/>
      <c r="J11" s="1"/>
    </row>
    <row r="12" spans="1:10" ht="30" x14ac:dyDescent="0.2">
      <c r="A12" s="25" t="s">
        <v>280</v>
      </c>
      <c r="B12" s="26" t="s">
        <v>269</v>
      </c>
      <c r="C12" s="27" t="s">
        <v>270</v>
      </c>
      <c r="D12" s="27">
        <f>IF(B12="5 і менше днів",0,B12*0.017)</f>
        <v>0</v>
      </c>
      <c r="E12" s="1"/>
      <c r="F12" s="1"/>
      <c r="G12" s="1"/>
    </row>
    <row r="13" spans="1:10" ht="24.75" customHeight="1" x14ac:dyDescent="0.2">
      <c r="A13" s="11" t="s">
        <v>207</v>
      </c>
      <c r="B13" s="28"/>
      <c r="C13" s="13" t="s">
        <v>206</v>
      </c>
      <c r="D13" s="29">
        <f>IF(B7="так",1,D14*D24*D26*D28)</f>
        <v>1</v>
      </c>
      <c r="E13" s="1"/>
      <c r="F13" s="30"/>
      <c r="G13" s="1"/>
      <c r="H13" s="1"/>
      <c r="I13" s="1"/>
      <c r="J13" s="1"/>
    </row>
    <row r="14" spans="1:10" ht="37.5" customHeight="1" x14ac:dyDescent="0.2">
      <c r="A14" s="25" t="s">
        <v>362</v>
      </c>
      <c r="B14" s="25"/>
      <c r="C14" s="18" t="s">
        <v>204</v>
      </c>
      <c r="D14" s="31">
        <f>D15+D17</f>
        <v>1</v>
      </c>
      <c r="E14" s="1"/>
      <c r="F14" s="1"/>
      <c r="G14" s="1"/>
      <c r="H14" s="1"/>
      <c r="I14" s="1"/>
      <c r="J14" s="1"/>
    </row>
    <row r="15" spans="1:10" ht="35.25" customHeight="1" x14ac:dyDescent="0.2">
      <c r="A15" s="25" t="s">
        <v>363</v>
      </c>
      <c r="B15" s="25"/>
      <c r="C15" s="32" t="s">
        <v>208</v>
      </c>
      <c r="D15" s="32">
        <f>VLOOKUP(B16,TrialGravity_res,2,0)</f>
        <v>1</v>
      </c>
      <c r="E15" s="1"/>
      <c r="F15" s="1"/>
      <c r="G15" s="1"/>
      <c r="H15" s="1"/>
      <c r="I15" s="1"/>
      <c r="J15" s="1"/>
    </row>
    <row r="16" spans="1:10" x14ac:dyDescent="0.2">
      <c r="A16" s="19" t="s">
        <v>205</v>
      </c>
      <c r="B16" s="222" t="s">
        <v>364</v>
      </c>
      <c r="C16" s="222"/>
      <c r="D16" s="222"/>
      <c r="E16" s="1"/>
      <c r="F16" s="1"/>
      <c r="G16" s="1"/>
      <c r="H16" s="1"/>
      <c r="I16" s="30"/>
      <c r="J16" s="1"/>
    </row>
    <row r="17" spans="1:10" ht="48" customHeight="1" x14ac:dyDescent="0.2">
      <c r="A17" s="16" t="s">
        <v>361</v>
      </c>
      <c r="B17" s="17"/>
      <c r="C17" s="33" t="s">
        <v>209</v>
      </c>
      <c r="D17" s="34">
        <f>SUM(H18:H23)</f>
        <v>0</v>
      </c>
      <c r="E17" s="1"/>
      <c r="F17" s="1"/>
      <c r="G17" s="1"/>
      <c r="H17" s="1"/>
      <c r="I17" s="1"/>
      <c r="J17" s="1"/>
    </row>
    <row r="18" spans="1:10" x14ac:dyDescent="0.2">
      <c r="A18" s="135" t="s">
        <v>364</v>
      </c>
      <c r="B18" s="36">
        <v>0</v>
      </c>
      <c r="C18" s="37"/>
      <c r="D18" s="38"/>
      <c r="E18" s="1">
        <f>VLOOKUP(SUM(B18:B23),NumEpisodesCrim_res,2,0)</f>
        <v>0</v>
      </c>
      <c r="F18" s="1">
        <f>E18-E19</f>
        <v>0</v>
      </c>
      <c r="G18" s="1">
        <v>1</v>
      </c>
      <c r="H18" s="1">
        <f t="shared" ref="H18:H23" si="0">G18*F18</f>
        <v>0</v>
      </c>
    </row>
    <row r="19" spans="1:10" x14ac:dyDescent="0.2">
      <c r="A19" s="135" t="s">
        <v>365</v>
      </c>
      <c r="B19" s="36">
        <v>0</v>
      </c>
      <c r="C19" s="37"/>
      <c r="D19" s="39"/>
      <c r="E19" s="1">
        <f>VLOOKUP(SUM(B19:B23),NumEpisodesCrim_res,2,0)</f>
        <v>0</v>
      </c>
      <c r="F19" s="1">
        <f>E19-E20</f>
        <v>0</v>
      </c>
      <c r="G19" s="1">
        <v>1.5</v>
      </c>
      <c r="H19" s="1">
        <f t="shared" si="0"/>
        <v>0</v>
      </c>
    </row>
    <row r="20" spans="1:10" x14ac:dyDescent="0.2">
      <c r="A20" s="135" t="s">
        <v>366</v>
      </c>
      <c r="B20" s="36">
        <v>0</v>
      </c>
      <c r="C20" s="37"/>
      <c r="D20" s="39"/>
      <c r="E20" s="1">
        <f>VLOOKUP(SUM(B20:B23),NumEpisodesCrim_res,2,0)</f>
        <v>0</v>
      </c>
      <c r="F20" s="1">
        <f>E20-E21</f>
        <v>0</v>
      </c>
      <c r="G20" s="1">
        <v>2</v>
      </c>
      <c r="H20" s="1">
        <f t="shared" si="0"/>
        <v>0</v>
      </c>
    </row>
    <row r="21" spans="1:10" x14ac:dyDescent="0.2">
      <c r="A21" s="135" t="s">
        <v>367</v>
      </c>
      <c r="B21" s="36">
        <v>0</v>
      </c>
      <c r="C21" s="37"/>
      <c r="D21" s="39"/>
      <c r="E21" s="1">
        <f>VLOOKUP(SUM(B21:B23),NumEpisodesCrim_res,2,0)</f>
        <v>0</v>
      </c>
      <c r="F21" s="1">
        <f>E21-E22</f>
        <v>0</v>
      </c>
      <c r="G21" s="1">
        <v>3</v>
      </c>
      <c r="H21" s="1">
        <f t="shared" si="0"/>
        <v>0</v>
      </c>
    </row>
    <row r="22" spans="1:10" x14ac:dyDescent="0.15">
      <c r="A22" s="35" t="s">
        <v>380</v>
      </c>
      <c r="B22" s="36">
        <v>0</v>
      </c>
      <c r="C22" s="37"/>
      <c r="D22" s="39"/>
      <c r="E22" s="1">
        <f>VLOOKUP(SUM(B22:B23),NumEpisodesCrim_res,2,0)</f>
        <v>0</v>
      </c>
      <c r="F22" s="1">
        <f>E22-E23</f>
        <v>0</v>
      </c>
      <c r="G22" s="1">
        <v>3.6</v>
      </c>
      <c r="H22" s="1">
        <f t="shared" si="0"/>
        <v>0</v>
      </c>
    </row>
    <row r="23" spans="1:10" x14ac:dyDescent="0.2">
      <c r="A23" s="135" t="s">
        <v>368</v>
      </c>
      <c r="B23" s="36">
        <v>0</v>
      </c>
      <c r="C23" s="37"/>
      <c r="D23" s="40"/>
      <c r="E23" s="1">
        <f>VLOOKUP(B23,NumEpisodesCrim_res,2,0)</f>
        <v>0</v>
      </c>
      <c r="F23" s="1">
        <f>E23</f>
        <v>0</v>
      </c>
      <c r="G23" s="1">
        <v>5</v>
      </c>
      <c r="H23" s="1">
        <f t="shared" si="0"/>
        <v>0</v>
      </c>
    </row>
    <row r="24" spans="1:10" ht="36" customHeight="1" x14ac:dyDescent="0.2">
      <c r="A24" s="16" t="s">
        <v>211</v>
      </c>
      <c r="B24" s="16"/>
      <c r="C24" s="41" t="s">
        <v>210</v>
      </c>
      <c r="D24" s="41">
        <f>VLOOKUP(B25,NumPartnersCrim_res,2,0)</f>
        <v>1</v>
      </c>
      <c r="E24" s="1"/>
      <c r="F24" s="1"/>
      <c r="G24" s="1"/>
      <c r="H24" s="1"/>
      <c r="I24" s="1"/>
      <c r="J24" s="1"/>
    </row>
    <row r="25" spans="1:10" x14ac:dyDescent="0.2">
      <c r="A25" s="19" t="s">
        <v>212</v>
      </c>
      <c r="B25" s="225">
        <v>1</v>
      </c>
      <c r="C25" s="226"/>
      <c r="D25" s="227"/>
      <c r="E25" s="1"/>
      <c r="F25" s="1"/>
      <c r="G25" s="1"/>
      <c r="H25" s="1"/>
      <c r="I25" s="1"/>
      <c r="J25" s="1"/>
    </row>
    <row r="26" spans="1:10" x14ac:dyDescent="0.2">
      <c r="A26" s="16" t="s">
        <v>213</v>
      </c>
      <c r="B26" s="25"/>
      <c r="C26" s="18" t="s">
        <v>214</v>
      </c>
      <c r="D26" s="18">
        <f>VLOOKUP(B27,PrevMeasure_res,2,0)</f>
        <v>1</v>
      </c>
      <c r="E26" s="1"/>
      <c r="F26" s="1"/>
      <c r="G26" s="1"/>
      <c r="H26" s="1"/>
      <c r="I26" s="1"/>
      <c r="J26" s="1"/>
    </row>
    <row r="27" spans="1:10" x14ac:dyDescent="0.2">
      <c r="A27" s="19" t="s">
        <v>237</v>
      </c>
      <c r="B27" s="225" t="s">
        <v>1</v>
      </c>
      <c r="C27" s="226"/>
      <c r="D27" s="227"/>
      <c r="E27" s="1"/>
      <c r="F27" s="1"/>
      <c r="G27" s="1"/>
      <c r="H27" s="1"/>
      <c r="I27" s="1"/>
      <c r="J27" s="1"/>
    </row>
    <row r="28" spans="1:10" ht="33.75" customHeight="1" x14ac:dyDescent="0.2">
      <c r="A28" s="16" t="s">
        <v>238</v>
      </c>
      <c r="B28" s="16"/>
      <c r="C28" s="228" t="s">
        <v>216</v>
      </c>
      <c r="D28" s="228">
        <f>IF(SUM(E29:E33)=1,1.1,IF(SUM(E29:E33)&gt;=2,1.2,1))</f>
        <v>1</v>
      </c>
      <c r="E28" s="1"/>
      <c r="F28" s="1"/>
      <c r="G28" s="1"/>
      <c r="H28" s="1"/>
      <c r="I28" s="1"/>
      <c r="J28" s="1"/>
    </row>
    <row r="29" spans="1:10" x14ac:dyDescent="0.2">
      <c r="A29" s="42" t="s">
        <v>217</v>
      </c>
      <c r="B29" s="43" t="s">
        <v>1</v>
      </c>
      <c r="C29" s="229"/>
      <c r="D29" s="229"/>
      <c r="E29" s="1">
        <f>IF(B29="так",1,0)</f>
        <v>0</v>
      </c>
      <c r="F29" s="1"/>
      <c r="G29" s="1"/>
      <c r="H29" s="1"/>
      <c r="I29" s="1"/>
      <c r="J29" s="1"/>
    </row>
    <row r="30" spans="1:10" ht="30" x14ac:dyDescent="0.2">
      <c r="A30" s="42" t="s">
        <v>38</v>
      </c>
      <c r="B30" s="43" t="s">
        <v>1</v>
      </c>
      <c r="C30" s="229"/>
      <c r="D30" s="229"/>
      <c r="E30" s="1">
        <f>IF(B30="так",1,0)</f>
        <v>0</v>
      </c>
      <c r="F30" s="1"/>
      <c r="G30" s="1"/>
      <c r="H30" s="1"/>
      <c r="I30" s="1"/>
      <c r="J30" s="1"/>
    </row>
    <row r="31" spans="1:10" x14ac:dyDescent="0.2">
      <c r="A31" s="42" t="s">
        <v>218</v>
      </c>
      <c r="B31" s="43" t="s">
        <v>1</v>
      </c>
      <c r="C31" s="229"/>
      <c r="D31" s="229"/>
      <c r="E31" s="1">
        <f>IF(B31="так",1,0)</f>
        <v>0</v>
      </c>
      <c r="F31" s="1"/>
      <c r="G31" s="1"/>
      <c r="H31" s="1"/>
      <c r="I31" s="1"/>
      <c r="J31" s="1"/>
    </row>
    <row r="32" spans="1:10" x14ac:dyDescent="0.2">
      <c r="A32" s="42" t="s">
        <v>39</v>
      </c>
      <c r="B32" s="43" t="s">
        <v>1</v>
      </c>
      <c r="C32" s="229"/>
      <c r="D32" s="229"/>
      <c r="E32" s="1">
        <f>IF(B32="так",1,0)</f>
        <v>0</v>
      </c>
      <c r="F32" s="1"/>
      <c r="G32" s="1"/>
      <c r="H32" s="1"/>
      <c r="I32" s="1"/>
      <c r="J32" s="1"/>
    </row>
    <row r="33" spans="1:10" ht="30" x14ac:dyDescent="0.2">
      <c r="A33" s="42" t="s">
        <v>422</v>
      </c>
      <c r="B33" s="43" t="s">
        <v>1</v>
      </c>
      <c r="C33" s="229"/>
      <c r="D33" s="229"/>
      <c r="E33" s="1">
        <f>IF(B33="так",1,0)</f>
        <v>0</v>
      </c>
      <c r="F33" s="1"/>
      <c r="G33" s="1"/>
      <c r="H33" s="1"/>
      <c r="I33" s="1"/>
      <c r="J33" s="1"/>
    </row>
    <row r="34" spans="1:10" ht="24.75" customHeight="1" x14ac:dyDescent="0.2">
      <c r="A34" s="44" t="s">
        <v>239</v>
      </c>
      <c r="B34" s="44"/>
      <c r="C34" s="45" t="s">
        <v>240</v>
      </c>
      <c r="D34" s="46">
        <f>IF(B7="так",1,(1+0.1*B35))</f>
        <v>1</v>
      </c>
      <c r="E34" s="1"/>
      <c r="F34" s="1"/>
      <c r="G34" s="1"/>
      <c r="H34" s="1"/>
      <c r="I34" s="1"/>
      <c r="J34" s="1"/>
    </row>
    <row r="35" spans="1:10" ht="75" x14ac:dyDescent="0.2">
      <c r="A35" s="47" t="s">
        <v>371</v>
      </c>
      <c r="B35" s="222">
        <v>0</v>
      </c>
      <c r="C35" s="222"/>
      <c r="D35" s="222"/>
      <c r="E35" s="1"/>
      <c r="F35" s="1"/>
      <c r="G35" s="1"/>
      <c r="H35" s="1"/>
      <c r="I35" s="1"/>
      <c r="J35" s="1"/>
    </row>
    <row r="36" spans="1:10" ht="35.25" customHeight="1" x14ac:dyDescent="0.2">
      <c r="A36" s="44" t="s">
        <v>242</v>
      </c>
      <c r="B36" s="44"/>
      <c r="C36" s="45" t="s">
        <v>241</v>
      </c>
      <c r="D36" s="46">
        <f>IF(B7="так",1,1+D37+D39+D41+D43+D45+D47+D52+D58+D63+D65+D70+D72)</f>
        <v>1</v>
      </c>
      <c r="E36" s="1"/>
      <c r="F36" s="1"/>
      <c r="G36" s="1"/>
      <c r="H36" s="1"/>
      <c r="I36" s="1"/>
      <c r="J36" s="1"/>
    </row>
    <row r="37" spans="1:10" ht="47.25" customHeight="1" x14ac:dyDescent="0.2">
      <c r="A37" s="20" t="s">
        <v>243</v>
      </c>
      <c r="B37" s="230"/>
      <c r="C37" s="231"/>
      <c r="D37" s="48">
        <f>VLOOKUP(A38,Krez1_rez,2,0)</f>
        <v>0</v>
      </c>
      <c r="E37" s="1"/>
      <c r="F37" s="1"/>
      <c r="G37" s="1"/>
      <c r="H37" s="232"/>
      <c r="I37" s="232"/>
      <c r="J37" s="1"/>
    </row>
    <row r="38" spans="1:10" x14ac:dyDescent="0.2">
      <c r="A38" s="233" t="s">
        <v>102</v>
      </c>
      <c r="B38" s="233"/>
      <c r="C38" s="233"/>
      <c r="D38" s="234"/>
      <c r="E38" s="1"/>
      <c r="F38" s="1"/>
      <c r="G38" s="1"/>
      <c r="H38" s="1"/>
      <c r="I38" s="1"/>
      <c r="J38" s="1"/>
    </row>
    <row r="39" spans="1:10" ht="34.5" customHeight="1" x14ac:dyDescent="0.2">
      <c r="A39" s="49" t="s">
        <v>244</v>
      </c>
      <c r="B39" s="50"/>
      <c r="C39" s="51"/>
      <c r="D39" s="32">
        <f>VLOOKUP(A40,Krez2_rez,2,0)</f>
        <v>0</v>
      </c>
      <c r="E39" s="1"/>
      <c r="F39" s="1"/>
      <c r="G39" s="1"/>
      <c r="H39" s="1"/>
      <c r="I39" s="1"/>
      <c r="J39" s="1"/>
    </row>
    <row r="40" spans="1:10" x14ac:dyDescent="0.2">
      <c r="A40" s="233" t="s">
        <v>102</v>
      </c>
      <c r="B40" s="233"/>
      <c r="C40" s="233"/>
      <c r="D40" s="234"/>
      <c r="E40" s="1"/>
      <c r="F40" s="1"/>
      <c r="G40" s="1"/>
      <c r="H40" s="1"/>
      <c r="I40" s="1"/>
      <c r="J40" s="1"/>
    </row>
    <row r="41" spans="1:10" ht="78" customHeight="1" x14ac:dyDescent="0.2">
      <c r="A41" s="52" t="s">
        <v>377</v>
      </c>
      <c r="B41" s="22"/>
      <c r="C41" s="53"/>
      <c r="D41" s="32">
        <f>IF(AND(D43=0,D45=0,D47=0,D52=0,D58=0,D63=0,D65=0,D70=0,D72=0),VLOOKUP(A42,Krez3_rez,2,0),0)</f>
        <v>0</v>
      </c>
      <c r="E41" s="1"/>
      <c r="F41" s="1"/>
      <c r="G41" s="54"/>
      <c r="H41" s="235" t="s">
        <v>272</v>
      </c>
      <c r="I41" s="235"/>
    </row>
    <row r="42" spans="1:10" x14ac:dyDescent="0.2">
      <c r="A42" s="241" t="s">
        <v>102</v>
      </c>
      <c r="B42" s="242"/>
      <c r="C42" s="242"/>
      <c r="D42" s="243"/>
      <c r="E42" s="1"/>
      <c r="F42" s="1"/>
      <c r="G42" s="1"/>
      <c r="H42" s="55"/>
      <c r="I42" s="55"/>
    </row>
    <row r="43" spans="1:10" ht="81" customHeight="1" x14ac:dyDescent="0.2">
      <c r="A43" s="16" t="s">
        <v>376</v>
      </c>
      <c r="B43" s="230"/>
      <c r="C43" s="231"/>
      <c r="D43" s="48">
        <f>IF(AND(D45=0,D47=0,D52=0,D58=0,D63=0,D65=0,D70=0,D72=0),VLOOKUP(A44,Krez4_rez,2,0),0)</f>
        <v>0</v>
      </c>
      <c r="F43" s="30"/>
      <c r="G43" s="1"/>
      <c r="H43" s="235" t="s">
        <v>273</v>
      </c>
      <c r="I43" s="235"/>
      <c r="J43" s="1"/>
    </row>
    <row r="44" spans="1:10" x14ac:dyDescent="0.2">
      <c r="A44" s="223" t="s">
        <v>102</v>
      </c>
      <c r="B44" s="223"/>
      <c r="C44" s="223"/>
      <c r="D44" s="224"/>
      <c r="E44" s="1"/>
      <c r="F44" s="1"/>
      <c r="G44" s="1"/>
      <c r="H44" s="56"/>
      <c r="I44" s="56"/>
      <c r="J44" s="1"/>
    </row>
    <row r="45" spans="1:10" ht="21" customHeight="1" x14ac:dyDescent="0.2">
      <c r="A45" s="57" t="s">
        <v>246</v>
      </c>
      <c r="B45" s="179"/>
      <c r="C45" s="180"/>
      <c r="D45" s="58">
        <f>IF(AND(D47=0,D52=0,D58=0,D63=0,D65=0,D70=0,D72=0),VLOOKUP(A46,Krez5_rez,2,0),0)</f>
        <v>0</v>
      </c>
      <c r="E45" s="1"/>
      <c r="F45" s="1"/>
      <c r="G45" s="1"/>
      <c r="H45" s="235" t="s">
        <v>274</v>
      </c>
      <c r="I45" s="235"/>
      <c r="J45" s="1"/>
    </row>
    <row r="46" spans="1:10" x14ac:dyDescent="0.2">
      <c r="A46" s="223" t="s">
        <v>102</v>
      </c>
      <c r="B46" s="223"/>
      <c r="C46" s="223"/>
      <c r="D46" s="224"/>
      <c r="E46" s="1"/>
      <c r="F46" s="1"/>
      <c r="G46" s="1"/>
      <c r="H46" s="1"/>
      <c r="I46" s="1"/>
      <c r="J46" s="1"/>
    </row>
    <row r="47" spans="1:10" ht="21" customHeight="1" x14ac:dyDescent="0.2">
      <c r="A47" s="52" t="s">
        <v>247</v>
      </c>
      <c r="B47" s="236"/>
      <c r="C47" s="236"/>
      <c r="D47" s="58">
        <f>D48+D50</f>
        <v>0</v>
      </c>
      <c r="E47" s="1"/>
      <c r="F47" s="1"/>
      <c r="G47" s="1"/>
      <c r="H47" s="238" t="s">
        <v>254</v>
      </c>
      <c r="I47" s="238"/>
      <c r="J47" s="1"/>
    </row>
    <row r="48" spans="1:10" ht="33.75" customHeight="1" x14ac:dyDescent="0.2">
      <c r="A48" s="117" t="s">
        <v>373</v>
      </c>
      <c r="B48" s="181"/>
      <c r="C48" s="183"/>
      <c r="D48" s="18">
        <f>IF(D50&gt;0,0,VLOOKUP(A49,Krez6a_rez,2,0))</f>
        <v>0</v>
      </c>
      <c r="E48" s="1"/>
      <c r="F48" s="1"/>
      <c r="G48" s="1"/>
      <c r="H48" s="1"/>
      <c r="I48" s="1"/>
      <c r="J48" s="1"/>
    </row>
    <row r="49" spans="1:10" x14ac:dyDescent="0.2">
      <c r="A49" s="223" t="s">
        <v>102</v>
      </c>
      <c r="B49" s="223"/>
      <c r="C49" s="223"/>
      <c r="D49" s="224"/>
      <c r="E49" s="1"/>
      <c r="F49" s="1"/>
      <c r="G49" s="1"/>
      <c r="H49" s="1"/>
      <c r="I49" s="1"/>
      <c r="J49" s="1"/>
    </row>
    <row r="50" spans="1:10" ht="49.5" customHeight="1" x14ac:dyDescent="0.2">
      <c r="A50" s="119" t="s">
        <v>234</v>
      </c>
      <c r="B50" s="230"/>
      <c r="C50" s="231"/>
      <c r="D50" s="18">
        <f>VLOOKUP(A51,Krez6b_rez,2,0)</f>
        <v>0</v>
      </c>
      <c r="E50" s="1"/>
      <c r="F50" s="1"/>
      <c r="G50" s="1"/>
      <c r="H50" s="1"/>
      <c r="I50" s="1"/>
      <c r="J50" s="1"/>
    </row>
    <row r="51" spans="1:10" x14ac:dyDescent="0.2">
      <c r="A51" s="223" t="s">
        <v>102</v>
      </c>
      <c r="B51" s="223"/>
      <c r="C51" s="223"/>
      <c r="D51" s="224"/>
      <c r="E51" s="1"/>
      <c r="F51" s="1"/>
      <c r="G51" s="1"/>
      <c r="H51" s="1"/>
      <c r="I51" s="1"/>
      <c r="J51" s="1"/>
    </row>
    <row r="52" spans="1:10" ht="36" customHeight="1" x14ac:dyDescent="0.2">
      <c r="A52" s="16" t="s">
        <v>248</v>
      </c>
      <c r="B52" s="236"/>
      <c r="C52" s="236"/>
      <c r="D52" s="32">
        <f>IF(D47=0,MAX(D53:D57),0)</f>
        <v>0</v>
      </c>
      <c r="E52" s="1"/>
      <c r="F52" s="1"/>
      <c r="G52" s="1"/>
      <c r="H52" s="237" t="s">
        <v>255</v>
      </c>
      <c r="I52" s="237"/>
      <c r="J52" s="1"/>
    </row>
    <row r="53" spans="1:10" x14ac:dyDescent="0.2">
      <c r="A53" s="61" t="s">
        <v>97</v>
      </c>
      <c r="B53" s="43">
        <v>0</v>
      </c>
      <c r="C53" s="211"/>
      <c r="D53" s="62">
        <f>IF(B53*0.16&lt;=0.8,B53*0.16,0.8)</f>
        <v>0</v>
      </c>
      <c r="E53" s="1"/>
      <c r="F53" s="1"/>
      <c r="G53" s="1"/>
      <c r="H53" s="56"/>
      <c r="I53" s="56"/>
      <c r="J53" s="1"/>
    </row>
    <row r="54" spans="1:10" x14ac:dyDescent="0.2">
      <c r="A54" s="61" t="s">
        <v>98</v>
      </c>
      <c r="B54" s="43">
        <v>0</v>
      </c>
      <c r="C54" s="212"/>
      <c r="D54" s="62">
        <f>IF(B54*0.1&lt;=0.5,B54*0.1,0.5)</f>
        <v>0</v>
      </c>
      <c r="E54" s="1"/>
      <c r="F54" s="1"/>
      <c r="G54" s="1"/>
      <c r="H54" s="56"/>
      <c r="I54" s="56"/>
      <c r="J54" s="1"/>
    </row>
    <row r="55" spans="1:10" x14ac:dyDescent="0.2">
      <c r="A55" s="61" t="s">
        <v>99</v>
      </c>
      <c r="B55" s="43">
        <v>0</v>
      </c>
      <c r="C55" s="212"/>
      <c r="D55" s="62">
        <f>IF(B55*0.07&lt;=0.35,B55*0.07,0.35)</f>
        <v>0</v>
      </c>
      <c r="E55" s="1"/>
      <c r="F55" s="1"/>
      <c r="G55" s="1"/>
      <c r="H55" s="56"/>
      <c r="I55" s="56"/>
      <c r="J55" s="1"/>
    </row>
    <row r="56" spans="1:10" x14ac:dyDescent="0.2">
      <c r="A56" s="61" t="s">
        <v>374</v>
      </c>
      <c r="B56" s="43">
        <v>0</v>
      </c>
      <c r="C56" s="212"/>
      <c r="D56" s="62">
        <f>IF(B56*0.05&lt;=0.25,B56*0.05,0.25)</f>
        <v>0</v>
      </c>
      <c r="E56" s="1"/>
      <c r="F56" s="1"/>
      <c r="G56" s="1"/>
      <c r="H56" s="56"/>
      <c r="I56" s="56"/>
      <c r="J56" s="1"/>
    </row>
    <row r="57" spans="1:10" x14ac:dyDescent="0.2">
      <c r="A57" s="61" t="s">
        <v>375</v>
      </c>
      <c r="B57" s="63">
        <v>0</v>
      </c>
      <c r="C57" s="213"/>
      <c r="D57" s="64">
        <f>IF(B57*0.03&lt;=0.15,B57*0.03,0.15)</f>
        <v>0</v>
      </c>
      <c r="E57" s="1"/>
      <c r="F57" s="1"/>
      <c r="G57" s="1"/>
      <c r="H57" s="56"/>
      <c r="I57" s="56"/>
      <c r="J57" s="1"/>
    </row>
    <row r="58" spans="1:10" ht="36.75" customHeight="1" x14ac:dyDescent="0.2">
      <c r="A58" s="16" t="s">
        <v>250</v>
      </c>
      <c r="B58" s="245"/>
      <c r="C58" s="245"/>
      <c r="D58" s="246">
        <f>MAX(C59:C60)</f>
        <v>0</v>
      </c>
      <c r="E58" s="1"/>
      <c r="F58" s="1"/>
      <c r="G58" s="1"/>
      <c r="H58" s="244" t="s">
        <v>256</v>
      </c>
      <c r="I58" s="244"/>
    </row>
    <row r="59" spans="1:10" x14ac:dyDescent="0.2">
      <c r="A59" s="61" t="s">
        <v>110</v>
      </c>
      <c r="B59" s="43" t="s">
        <v>1</v>
      </c>
      <c r="C59" s="65">
        <f>IF(B59="так",0.13,0)</f>
        <v>0</v>
      </c>
      <c r="D59" s="247"/>
      <c r="F59" s="1"/>
      <c r="G59" s="1"/>
      <c r="H59" s="55"/>
      <c r="I59" s="55"/>
    </row>
    <row r="60" spans="1:10" x14ac:dyDescent="0.2">
      <c r="A60" s="61" t="s">
        <v>112</v>
      </c>
      <c r="B60" s="43" t="s">
        <v>1</v>
      </c>
      <c r="C60" s="65">
        <f>IF(B60="так",0.2,0)</f>
        <v>0</v>
      </c>
      <c r="D60" s="247"/>
      <c r="F60" s="1"/>
      <c r="G60" s="1"/>
      <c r="H60" s="55"/>
      <c r="I60" s="55"/>
    </row>
    <row r="61" spans="1:10" x14ac:dyDescent="0.2">
      <c r="A61" s="65"/>
      <c r="B61" s="65"/>
      <c r="C61" s="65"/>
      <c r="D61" s="247"/>
      <c r="F61" s="1"/>
      <c r="G61" s="1"/>
      <c r="H61" s="55"/>
      <c r="I61" s="55"/>
    </row>
    <row r="62" spans="1:10" x14ac:dyDescent="0.2">
      <c r="A62" s="66"/>
      <c r="B62" s="66"/>
      <c r="C62" s="66"/>
      <c r="D62" s="248"/>
      <c r="F62" s="1"/>
      <c r="G62" s="1"/>
      <c r="H62" s="55"/>
      <c r="I62" s="55"/>
    </row>
    <row r="63" spans="1:10" ht="105" customHeight="1" x14ac:dyDescent="0.2">
      <c r="A63" s="67" t="s">
        <v>249</v>
      </c>
      <c r="B63" s="249"/>
      <c r="C63" s="250"/>
      <c r="D63" s="32">
        <f>IF(D65&gt;0,0,IF(A64="так",0.27,0))</f>
        <v>0</v>
      </c>
      <c r="E63" s="1"/>
      <c r="F63" s="1"/>
      <c r="G63" s="1"/>
      <c r="H63" s="244" t="s">
        <v>257</v>
      </c>
      <c r="I63" s="244"/>
    </row>
    <row r="64" spans="1:10" x14ac:dyDescent="0.2">
      <c r="A64" s="223" t="s">
        <v>1</v>
      </c>
      <c r="B64" s="223"/>
      <c r="C64" s="223"/>
      <c r="D64" s="224"/>
      <c r="E64" s="1"/>
      <c r="F64" s="1"/>
      <c r="G64" s="1"/>
    </row>
    <row r="65" spans="1:9" ht="21" customHeight="1" x14ac:dyDescent="0.2">
      <c r="A65" s="16" t="s">
        <v>251</v>
      </c>
      <c r="B65" s="249"/>
      <c r="C65" s="250"/>
      <c r="D65" s="246">
        <f>MAX(C66:C67)</f>
        <v>0</v>
      </c>
      <c r="E65" s="1"/>
      <c r="F65" s="1"/>
      <c r="G65" s="1"/>
      <c r="H65" s="244" t="s">
        <v>258</v>
      </c>
      <c r="I65" s="244"/>
    </row>
    <row r="66" spans="1:9" x14ac:dyDescent="0.2">
      <c r="A66" s="61" t="s">
        <v>110</v>
      </c>
      <c r="B66" s="43" t="s">
        <v>1</v>
      </c>
      <c r="C66" s="65">
        <f>IF(B66="так",0.07,0)</f>
        <v>0</v>
      </c>
      <c r="D66" s="247"/>
      <c r="F66" s="1"/>
      <c r="G66" s="1"/>
    </row>
    <row r="67" spans="1:9" x14ac:dyDescent="0.2">
      <c r="A67" s="61" t="s">
        <v>112</v>
      </c>
      <c r="B67" s="43" t="s">
        <v>1</v>
      </c>
      <c r="C67" s="65">
        <f>IF(B67="так",0.1,0)</f>
        <v>0</v>
      </c>
      <c r="D67" s="247"/>
      <c r="F67" s="1"/>
      <c r="G67" s="1"/>
    </row>
    <row r="68" spans="1:9" x14ac:dyDescent="0.2">
      <c r="A68" s="65"/>
      <c r="B68" s="65"/>
      <c r="C68" s="65"/>
      <c r="D68" s="247"/>
      <c r="F68" s="1"/>
      <c r="G68" s="1"/>
    </row>
    <row r="69" spans="1:9" x14ac:dyDescent="0.2">
      <c r="A69" s="66"/>
      <c r="B69" s="66"/>
      <c r="C69" s="66"/>
      <c r="D69" s="248"/>
      <c r="F69" s="1"/>
      <c r="G69" s="1"/>
    </row>
    <row r="70" spans="1:9" ht="48.75" customHeight="1" x14ac:dyDescent="0.2">
      <c r="A70" s="16" t="s">
        <v>379</v>
      </c>
      <c r="B70" s="249"/>
      <c r="C70" s="250"/>
      <c r="D70" s="68">
        <f>VLOOKUP(A71,Krez11_rez,2,0)</f>
        <v>0</v>
      </c>
      <c r="E70" s="1"/>
      <c r="F70" s="1"/>
      <c r="G70" s="1"/>
      <c r="H70" s="244" t="s">
        <v>256</v>
      </c>
      <c r="I70" s="244"/>
    </row>
    <row r="71" spans="1:9" x14ac:dyDescent="0.2">
      <c r="A71" s="223" t="s">
        <v>102</v>
      </c>
      <c r="B71" s="223"/>
      <c r="C71" s="223"/>
      <c r="D71" s="224"/>
      <c r="E71" s="1"/>
      <c r="F71" s="1"/>
      <c r="G71" s="1"/>
    </row>
    <row r="72" spans="1:9" ht="30" x14ac:dyDescent="0.2">
      <c r="A72" s="17" t="s">
        <v>253</v>
      </c>
      <c r="B72" s="69" t="s">
        <v>1</v>
      </c>
      <c r="C72" s="70"/>
      <c r="D72" s="32">
        <f>IF(B72="так",0.33,0)</f>
        <v>0</v>
      </c>
      <c r="E72" s="1"/>
      <c r="F72" s="1"/>
      <c r="G72" s="1"/>
    </row>
    <row r="73" spans="1:9" ht="35.25" customHeight="1" x14ac:dyDescent="0.2">
      <c r="A73" s="44" t="s">
        <v>215</v>
      </c>
      <c r="B73" s="26" t="s">
        <v>139</v>
      </c>
      <c r="C73" s="45" t="s">
        <v>235</v>
      </c>
      <c r="D73" s="71">
        <f>VLOOKUP(B73,Kzvit,2,0)</f>
        <v>1</v>
      </c>
      <c r="E73" s="72"/>
    </row>
    <row r="74" spans="1:9" ht="11.25" customHeight="1" x14ac:dyDescent="0.2">
      <c r="C74" s="73"/>
      <c r="D74" s="74"/>
    </row>
    <row r="75" spans="1:9" ht="33.75" customHeight="1" x14ac:dyDescent="0.2">
      <c r="A75" s="221" t="str">
        <f>A3</f>
        <v xml:space="preserve">Рк = 20 х Огод х Ксп х Кскл х Кос х Крез х Кзвіт = 20 x 166,4 x 0,35 x 1 x 1 x 1 х 1 = </v>
      </c>
      <c r="B75" s="221"/>
      <c r="C75" s="171">
        <f>C3</f>
        <v>1164.8</v>
      </c>
      <c r="D75" s="171"/>
    </row>
    <row r="76" spans="1:9" x14ac:dyDescent="0.2">
      <c r="D76" s="75"/>
    </row>
    <row r="77" spans="1:9" x14ac:dyDescent="0.2">
      <c r="D77" s="75"/>
    </row>
    <row r="78" spans="1:9" x14ac:dyDescent="0.2">
      <c r="D78" s="75"/>
    </row>
    <row r="79" spans="1:9" x14ac:dyDescent="0.2">
      <c r="D79" s="75"/>
    </row>
    <row r="80" spans="1:9" x14ac:dyDescent="0.2">
      <c r="D80" s="75"/>
    </row>
    <row r="81" spans="4:4" x14ac:dyDescent="0.2">
      <c r="D81" s="75"/>
    </row>
    <row r="82" spans="4:4" x14ac:dyDescent="0.2">
      <c r="D82" s="75"/>
    </row>
    <row r="83" spans="4:4" x14ac:dyDescent="0.2">
      <c r="D83" s="75"/>
    </row>
    <row r="84" spans="4:4" x14ac:dyDescent="0.2">
      <c r="D84" s="75"/>
    </row>
    <row r="85" spans="4:4" x14ac:dyDescent="0.2">
      <c r="D85" s="75"/>
    </row>
    <row r="86" spans="4:4" x14ac:dyDescent="0.2">
      <c r="D86" s="75"/>
    </row>
    <row r="87" spans="4:4" x14ac:dyDescent="0.2">
      <c r="D87" s="75"/>
    </row>
    <row r="88" spans="4:4" x14ac:dyDescent="0.2">
      <c r="D88" s="75"/>
    </row>
    <row r="89" spans="4:4" x14ac:dyDescent="0.2">
      <c r="D89" s="75"/>
    </row>
    <row r="90" spans="4:4" x14ac:dyDescent="0.2">
      <c r="D90" s="75"/>
    </row>
    <row r="91" spans="4:4" x14ac:dyDescent="0.2">
      <c r="D91" s="75"/>
    </row>
    <row r="92" spans="4:4" x14ac:dyDescent="0.2">
      <c r="D92" s="75"/>
    </row>
    <row r="93" spans="4:4" x14ac:dyDescent="0.2">
      <c r="D93" s="75"/>
    </row>
    <row r="94" spans="4:4" x14ac:dyDescent="0.2">
      <c r="D94" s="75"/>
    </row>
    <row r="95" spans="4:4" x14ac:dyDescent="0.2">
      <c r="D95" s="75"/>
    </row>
    <row r="96" spans="4:4" x14ac:dyDescent="0.2">
      <c r="D96" s="75"/>
    </row>
    <row r="97" spans="4:4" x14ac:dyDescent="0.2">
      <c r="D97" s="75"/>
    </row>
    <row r="98" spans="4:4" x14ac:dyDescent="0.2">
      <c r="D98" s="75"/>
    </row>
    <row r="99" spans="4:4" x14ac:dyDescent="0.2">
      <c r="D99" s="75"/>
    </row>
    <row r="100" spans="4:4" x14ac:dyDescent="0.2">
      <c r="D100" s="75"/>
    </row>
    <row r="101" spans="4:4" x14ac:dyDescent="0.2">
      <c r="D101" s="75"/>
    </row>
    <row r="102" spans="4:4" x14ac:dyDescent="0.2">
      <c r="D102" s="75"/>
    </row>
    <row r="103" spans="4:4" x14ac:dyDescent="0.2">
      <c r="D103" s="75"/>
    </row>
    <row r="104" spans="4:4" x14ac:dyDescent="0.2">
      <c r="D104" s="75"/>
    </row>
    <row r="105" spans="4:4" x14ac:dyDescent="0.2">
      <c r="D105" s="75"/>
    </row>
    <row r="106" spans="4:4" x14ac:dyDescent="0.2">
      <c r="D106" s="75"/>
    </row>
    <row r="107" spans="4:4" x14ac:dyDescent="0.2">
      <c r="D107" s="75"/>
    </row>
    <row r="108" spans="4:4" x14ac:dyDescent="0.2">
      <c r="D108" s="75"/>
    </row>
    <row r="109" spans="4:4" x14ac:dyDescent="0.2">
      <c r="D109" s="75"/>
    </row>
    <row r="110" spans="4:4" x14ac:dyDescent="0.2">
      <c r="D110" s="75"/>
    </row>
    <row r="111" spans="4:4" x14ac:dyDescent="0.2">
      <c r="D111" s="75"/>
    </row>
    <row r="112" spans="4:4" x14ac:dyDescent="0.2">
      <c r="D112" s="75"/>
    </row>
    <row r="113" spans="4:4" x14ac:dyDescent="0.2">
      <c r="D113" s="75"/>
    </row>
    <row r="114" spans="4:4" x14ac:dyDescent="0.2">
      <c r="D114" s="75"/>
    </row>
    <row r="115" spans="4:4" x14ac:dyDescent="0.2">
      <c r="D115" s="75"/>
    </row>
    <row r="116" spans="4:4" x14ac:dyDescent="0.2">
      <c r="D116" s="75"/>
    </row>
    <row r="117" spans="4:4" x14ac:dyDescent="0.2">
      <c r="D117" s="75"/>
    </row>
    <row r="118" spans="4:4" x14ac:dyDescent="0.2">
      <c r="D118" s="75"/>
    </row>
    <row r="119" spans="4:4" x14ac:dyDescent="0.2">
      <c r="D119" s="75"/>
    </row>
    <row r="120" spans="4:4" x14ac:dyDescent="0.2">
      <c r="D120" s="75"/>
    </row>
    <row r="121" spans="4:4" x14ac:dyDescent="0.2">
      <c r="D121" s="75"/>
    </row>
    <row r="122" spans="4:4" x14ac:dyDescent="0.2">
      <c r="D122" s="75"/>
    </row>
    <row r="123" spans="4:4" x14ac:dyDescent="0.2">
      <c r="D123" s="75"/>
    </row>
    <row r="124" spans="4:4" x14ac:dyDescent="0.2">
      <c r="D124" s="75"/>
    </row>
    <row r="125" spans="4:4" x14ac:dyDescent="0.2">
      <c r="D125" s="75"/>
    </row>
    <row r="126" spans="4:4" x14ac:dyDescent="0.2">
      <c r="D126" s="75"/>
    </row>
    <row r="127" spans="4:4" x14ac:dyDescent="0.2">
      <c r="D127" s="75"/>
    </row>
    <row r="128" spans="4:4" x14ac:dyDescent="0.2">
      <c r="D128" s="75"/>
    </row>
    <row r="129" spans="4:4" x14ac:dyDescent="0.2">
      <c r="D129" s="75"/>
    </row>
    <row r="130" spans="4:4" x14ac:dyDescent="0.2">
      <c r="D130" s="75"/>
    </row>
    <row r="131" spans="4:4" x14ac:dyDescent="0.2">
      <c r="D131" s="75"/>
    </row>
    <row r="132" spans="4:4" x14ac:dyDescent="0.2">
      <c r="D132" s="75"/>
    </row>
    <row r="133" spans="4:4" x14ac:dyDescent="0.2">
      <c r="D133" s="75"/>
    </row>
    <row r="134" spans="4:4" x14ac:dyDescent="0.2">
      <c r="D134" s="75"/>
    </row>
    <row r="135" spans="4:4" x14ac:dyDescent="0.2">
      <c r="D135" s="75"/>
    </row>
    <row r="136" spans="4:4" x14ac:dyDescent="0.2">
      <c r="D136" s="75"/>
    </row>
    <row r="137" spans="4:4" x14ac:dyDescent="0.2">
      <c r="D137" s="75"/>
    </row>
    <row r="138" spans="4:4" x14ac:dyDescent="0.2">
      <c r="D138" s="75"/>
    </row>
    <row r="139" spans="4:4" x14ac:dyDescent="0.2">
      <c r="D139" s="75"/>
    </row>
    <row r="140" spans="4:4" x14ac:dyDescent="0.2">
      <c r="D140" s="75"/>
    </row>
    <row r="141" spans="4:4" x14ac:dyDescent="0.2">
      <c r="D141" s="75"/>
    </row>
    <row r="142" spans="4:4" x14ac:dyDescent="0.2">
      <c r="D142" s="75"/>
    </row>
    <row r="143" spans="4:4" x14ac:dyDescent="0.2">
      <c r="D143" s="75"/>
    </row>
    <row r="144" spans="4:4" x14ac:dyDescent="0.2">
      <c r="D144" s="75"/>
    </row>
    <row r="145" spans="4:4" x14ac:dyDescent="0.2">
      <c r="D145" s="75"/>
    </row>
    <row r="146" spans="4:4" x14ac:dyDescent="0.2">
      <c r="D146" s="75"/>
    </row>
    <row r="147" spans="4:4" x14ac:dyDescent="0.2">
      <c r="D147" s="75"/>
    </row>
    <row r="148" spans="4:4" x14ac:dyDescent="0.2">
      <c r="D148" s="75"/>
    </row>
    <row r="149" spans="4:4" x14ac:dyDescent="0.2">
      <c r="D149" s="75"/>
    </row>
    <row r="150" spans="4:4" x14ac:dyDescent="0.2">
      <c r="D150" s="75"/>
    </row>
    <row r="151" spans="4:4" x14ac:dyDescent="0.2">
      <c r="D151" s="75"/>
    </row>
    <row r="152" spans="4:4" x14ac:dyDescent="0.2">
      <c r="D152" s="75"/>
    </row>
    <row r="153" spans="4:4" x14ac:dyDescent="0.2">
      <c r="D153" s="75"/>
    </row>
    <row r="154" spans="4:4" x14ac:dyDescent="0.2">
      <c r="D154" s="75"/>
    </row>
    <row r="155" spans="4:4" x14ac:dyDescent="0.2">
      <c r="D155" s="75"/>
    </row>
    <row r="156" spans="4:4" x14ac:dyDescent="0.2">
      <c r="D156" s="75"/>
    </row>
    <row r="157" spans="4:4" x14ac:dyDescent="0.2">
      <c r="D157" s="75"/>
    </row>
    <row r="158" spans="4:4" x14ac:dyDescent="0.2">
      <c r="D158" s="75"/>
    </row>
    <row r="159" spans="4:4" x14ac:dyDescent="0.2">
      <c r="D159" s="75"/>
    </row>
    <row r="160" spans="4:4" x14ac:dyDescent="0.2">
      <c r="D160" s="75"/>
    </row>
    <row r="161" spans="4:4" x14ac:dyDescent="0.2">
      <c r="D161" s="75"/>
    </row>
    <row r="162" spans="4:4" x14ac:dyDescent="0.2">
      <c r="D162" s="75"/>
    </row>
    <row r="163" spans="4:4" x14ac:dyDescent="0.2">
      <c r="D163" s="75"/>
    </row>
    <row r="164" spans="4:4" x14ac:dyDescent="0.2">
      <c r="D164" s="75"/>
    </row>
    <row r="165" spans="4:4" x14ac:dyDescent="0.2">
      <c r="D165" s="75"/>
    </row>
    <row r="166" spans="4:4" x14ac:dyDescent="0.2">
      <c r="D166" s="75"/>
    </row>
    <row r="167" spans="4:4" x14ac:dyDescent="0.2">
      <c r="D167" s="75"/>
    </row>
    <row r="168" spans="4:4" x14ac:dyDescent="0.2">
      <c r="D168" s="75"/>
    </row>
    <row r="169" spans="4:4" x14ac:dyDescent="0.2">
      <c r="D169" s="75"/>
    </row>
    <row r="170" spans="4:4" x14ac:dyDescent="0.2">
      <c r="D170" s="75"/>
    </row>
    <row r="171" spans="4:4" x14ac:dyDescent="0.2">
      <c r="D171" s="75"/>
    </row>
    <row r="172" spans="4:4" x14ac:dyDescent="0.2">
      <c r="D172" s="75"/>
    </row>
    <row r="173" spans="4:4" x14ac:dyDescent="0.2">
      <c r="D173" s="75"/>
    </row>
    <row r="174" spans="4:4" x14ac:dyDescent="0.2">
      <c r="D174" s="75"/>
    </row>
    <row r="175" spans="4:4" x14ac:dyDescent="0.2">
      <c r="D175" s="75"/>
    </row>
    <row r="176" spans="4:4" x14ac:dyDescent="0.2">
      <c r="D176" s="75"/>
    </row>
    <row r="177" spans="4:4" x14ac:dyDescent="0.2">
      <c r="D177" s="75"/>
    </row>
    <row r="178" spans="4:4" x14ac:dyDescent="0.2">
      <c r="D178" s="75"/>
    </row>
    <row r="179" spans="4:4" x14ac:dyDescent="0.2">
      <c r="D179" s="75"/>
    </row>
    <row r="180" spans="4:4" x14ac:dyDescent="0.2">
      <c r="D180" s="75"/>
    </row>
    <row r="181" spans="4:4" x14ac:dyDescent="0.2">
      <c r="D181" s="75"/>
    </row>
    <row r="182" spans="4:4" x14ac:dyDescent="0.2">
      <c r="D182" s="75"/>
    </row>
    <row r="183" spans="4:4" x14ac:dyDescent="0.2">
      <c r="D183" s="75"/>
    </row>
    <row r="184" spans="4:4" x14ac:dyDescent="0.2">
      <c r="D184" s="75"/>
    </row>
    <row r="185" spans="4:4" x14ac:dyDescent="0.2">
      <c r="D185" s="75"/>
    </row>
    <row r="186" spans="4:4" x14ac:dyDescent="0.2">
      <c r="D186" s="75"/>
    </row>
    <row r="187" spans="4:4" x14ac:dyDescent="0.2">
      <c r="D187" s="75"/>
    </row>
    <row r="188" spans="4:4" x14ac:dyDescent="0.2">
      <c r="D188" s="75"/>
    </row>
    <row r="189" spans="4:4" x14ac:dyDescent="0.2">
      <c r="D189" s="75"/>
    </row>
    <row r="190" spans="4:4" x14ac:dyDescent="0.2">
      <c r="D190" s="75"/>
    </row>
    <row r="191" spans="4:4" x14ac:dyDescent="0.2">
      <c r="D191" s="75"/>
    </row>
    <row r="192" spans="4:4" x14ac:dyDescent="0.2">
      <c r="D192" s="75"/>
    </row>
    <row r="193" spans="4:4" x14ac:dyDescent="0.2">
      <c r="D193" s="75"/>
    </row>
    <row r="194" spans="4:4" x14ac:dyDescent="0.2">
      <c r="D194" s="75"/>
    </row>
    <row r="195" spans="4:4" x14ac:dyDescent="0.2">
      <c r="D195" s="75"/>
    </row>
    <row r="196" spans="4:4" x14ac:dyDescent="0.2">
      <c r="D196" s="75"/>
    </row>
    <row r="197" spans="4:4" x14ac:dyDescent="0.2">
      <c r="D197" s="75"/>
    </row>
    <row r="198" spans="4:4" x14ac:dyDescent="0.2">
      <c r="D198" s="75"/>
    </row>
    <row r="199" spans="4:4" x14ac:dyDescent="0.2">
      <c r="D199" s="75"/>
    </row>
    <row r="200" spans="4:4" x14ac:dyDescent="0.2">
      <c r="D200" s="75"/>
    </row>
    <row r="201" spans="4:4" x14ac:dyDescent="0.2">
      <c r="D201" s="75"/>
    </row>
    <row r="202" spans="4:4" x14ac:dyDescent="0.2">
      <c r="D202" s="75"/>
    </row>
    <row r="203" spans="4:4" x14ac:dyDescent="0.2">
      <c r="D203" s="75"/>
    </row>
    <row r="204" spans="4:4" x14ac:dyDescent="0.2">
      <c r="D204" s="75"/>
    </row>
    <row r="205" spans="4:4" x14ac:dyDescent="0.2">
      <c r="D205" s="75"/>
    </row>
    <row r="206" spans="4:4" x14ac:dyDescent="0.2">
      <c r="D206" s="75"/>
    </row>
    <row r="207" spans="4:4" x14ac:dyDescent="0.2">
      <c r="D207" s="75"/>
    </row>
    <row r="208" spans="4:4" x14ac:dyDescent="0.2">
      <c r="D208" s="75"/>
    </row>
    <row r="209" spans="4:4" x14ac:dyDescent="0.2">
      <c r="D209" s="75"/>
    </row>
    <row r="210" spans="4:4" x14ac:dyDescent="0.2">
      <c r="D210" s="75"/>
    </row>
    <row r="211" spans="4:4" x14ac:dyDescent="0.2">
      <c r="D211" s="75"/>
    </row>
    <row r="212" spans="4:4" x14ac:dyDescent="0.2">
      <c r="D212" s="75"/>
    </row>
    <row r="213" spans="4:4" x14ac:dyDescent="0.2">
      <c r="D213" s="75"/>
    </row>
    <row r="214" spans="4:4" x14ac:dyDescent="0.2">
      <c r="D214" s="75"/>
    </row>
    <row r="215" spans="4:4" x14ac:dyDescent="0.2">
      <c r="D215" s="75"/>
    </row>
    <row r="216" spans="4:4" x14ac:dyDescent="0.2">
      <c r="D216" s="75"/>
    </row>
    <row r="217" spans="4:4" x14ac:dyDescent="0.2">
      <c r="D217" s="75"/>
    </row>
    <row r="218" spans="4:4" x14ac:dyDescent="0.2">
      <c r="D218" s="75"/>
    </row>
    <row r="219" spans="4:4" x14ac:dyDescent="0.2">
      <c r="D219" s="75"/>
    </row>
    <row r="220" spans="4:4" x14ac:dyDescent="0.2">
      <c r="D220" s="75"/>
    </row>
    <row r="221" spans="4:4" x14ac:dyDescent="0.2">
      <c r="D221" s="75"/>
    </row>
    <row r="222" spans="4:4" x14ac:dyDescent="0.2">
      <c r="D222" s="75"/>
    </row>
    <row r="223" spans="4:4" x14ac:dyDescent="0.2">
      <c r="D223" s="75"/>
    </row>
    <row r="224" spans="4:4" x14ac:dyDescent="0.2">
      <c r="D224" s="75"/>
    </row>
    <row r="225" spans="4:4" x14ac:dyDescent="0.2">
      <c r="D225" s="75"/>
    </row>
    <row r="226" spans="4:4" x14ac:dyDescent="0.2">
      <c r="D226" s="75"/>
    </row>
    <row r="227" spans="4:4" x14ac:dyDescent="0.2">
      <c r="D227" s="75"/>
    </row>
    <row r="228" spans="4:4" x14ac:dyDescent="0.2">
      <c r="D228" s="75"/>
    </row>
    <row r="229" spans="4:4" x14ac:dyDescent="0.2">
      <c r="D229" s="75"/>
    </row>
    <row r="230" spans="4:4" x14ac:dyDescent="0.2">
      <c r="D230" s="75"/>
    </row>
    <row r="231" spans="4:4" x14ac:dyDescent="0.2">
      <c r="D231" s="75"/>
    </row>
    <row r="232" spans="4:4" x14ac:dyDescent="0.2">
      <c r="D232" s="75"/>
    </row>
    <row r="233" spans="4:4" x14ac:dyDescent="0.2">
      <c r="D233" s="75"/>
    </row>
    <row r="234" spans="4:4" x14ac:dyDescent="0.2">
      <c r="D234" s="75"/>
    </row>
    <row r="235" spans="4:4" x14ac:dyDescent="0.2">
      <c r="D235" s="75"/>
    </row>
    <row r="236" spans="4:4" x14ac:dyDescent="0.2">
      <c r="D236" s="75"/>
    </row>
    <row r="237" spans="4:4" x14ac:dyDescent="0.2">
      <c r="D237" s="75"/>
    </row>
    <row r="238" spans="4:4" x14ac:dyDescent="0.2">
      <c r="D238" s="75"/>
    </row>
    <row r="239" spans="4:4" x14ac:dyDescent="0.2">
      <c r="D239" s="75"/>
    </row>
    <row r="240" spans="4:4" x14ac:dyDescent="0.2">
      <c r="D240" s="75"/>
    </row>
    <row r="241" spans="4:4" x14ac:dyDescent="0.2">
      <c r="D241" s="75"/>
    </row>
    <row r="242" spans="4:4" x14ac:dyDescent="0.2">
      <c r="D242" s="75"/>
    </row>
    <row r="243" spans="4:4" x14ac:dyDescent="0.2">
      <c r="D243" s="75"/>
    </row>
    <row r="244" spans="4:4" x14ac:dyDescent="0.2">
      <c r="D244" s="75"/>
    </row>
    <row r="245" spans="4:4" x14ac:dyDescent="0.2">
      <c r="D245" s="75"/>
    </row>
    <row r="246" spans="4:4" x14ac:dyDescent="0.2">
      <c r="D246" s="75"/>
    </row>
    <row r="247" spans="4:4" x14ac:dyDescent="0.2">
      <c r="D247" s="75"/>
    </row>
    <row r="248" spans="4:4" x14ac:dyDescent="0.2">
      <c r="D248" s="75"/>
    </row>
    <row r="249" spans="4:4" x14ac:dyDescent="0.2">
      <c r="D249" s="75"/>
    </row>
    <row r="250" spans="4:4" x14ac:dyDescent="0.2">
      <c r="D250" s="75"/>
    </row>
    <row r="251" spans="4:4" x14ac:dyDescent="0.2">
      <c r="D251" s="75"/>
    </row>
    <row r="252" spans="4:4" x14ac:dyDescent="0.2">
      <c r="D252" s="75"/>
    </row>
    <row r="253" spans="4:4" x14ac:dyDescent="0.2">
      <c r="D253" s="75"/>
    </row>
    <row r="254" spans="4:4" x14ac:dyDescent="0.2">
      <c r="D254" s="75"/>
    </row>
    <row r="255" spans="4:4" x14ac:dyDescent="0.2">
      <c r="D255" s="75"/>
    </row>
    <row r="256" spans="4:4" x14ac:dyDescent="0.2">
      <c r="D256" s="75"/>
    </row>
    <row r="257" spans="4:4" x14ac:dyDescent="0.2">
      <c r="D257" s="75"/>
    </row>
    <row r="258" spans="4:4" x14ac:dyDescent="0.2">
      <c r="D258" s="75"/>
    </row>
    <row r="259" spans="4:4" x14ac:dyDescent="0.2">
      <c r="D259" s="75"/>
    </row>
    <row r="260" spans="4:4" x14ac:dyDescent="0.2">
      <c r="D260" s="75"/>
    </row>
    <row r="261" spans="4:4" x14ac:dyDescent="0.2">
      <c r="D261" s="75"/>
    </row>
    <row r="262" spans="4:4" x14ac:dyDescent="0.2">
      <c r="D262" s="75"/>
    </row>
    <row r="263" spans="4:4" x14ac:dyDescent="0.2">
      <c r="D263" s="75"/>
    </row>
    <row r="264" spans="4:4" x14ac:dyDescent="0.2">
      <c r="D264" s="75"/>
    </row>
    <row r="265" spans="4:4" x14ac:dyDescent="0.2">
      <c r="D265" s="75"/>
    </row>
    <row r="266" spans="4:4" x14ac:dyDescent="0.2">
      <c r="D266" s="75"/>
    </row>
    <row r="267" spans="4:4" x14ac:dyDescent="0.2">
      <c r="D267" s="75"/>
    </row>
    <row r="268" spans="4:4" x14ac:dyDescent="0.2">
      <c r="D268" s="75"/>
    </row>
    <row r="269" spans="4:4" x14ac:dyDescent="0.2">
      <c r="D269" s="75"/>
    </row>
    <row r="270" spans="4:4" x14ac:dyDescent="0.2">
      <c r="D270" s="75"/>
    </row>
    <row r="271" spans="4:4" x14ac:dyDescent="0.2">
      <c r="D271" s="75"/>
    </row>
    <row r="272" spans="4:4" x14ac:dyDescent="0.2">
      <c r="D272" s="75"/>
    </row>
    <row r="273" spans="4:4" x14ac:dyDescent="0.2">
      <c r="D273" s="75"/>
    </row>
    <row r="274" spans="4:4" x14ac:dyDescent="0.2">
      <c r="D274" s="75"/>
    </row>
    <row r="275" spans="4:4" x14ac:dyDescent="0.2">
      <c r="D275" s="75"/>
    </row>
    <row r="276" spans="4:4" x14ac:dyDescent="0.2">
      <c r="D276" s="75"/>
    </row>
    <row r="277" spans="4:4" x14ac:dyDescent="0.2">
      <c r="D277" s="75"/>
    </row>
    <row r="278" spans="4:4" x14ac:dyDescent="0.2">
      <c r="D278" s="75"/>
    </row>
    <row r="279" spans="4:4" x14ac:dyDescent="0.2">
      <c r="D279" s="75"/>
    </row>
    <row r="280" spans="4:4" x14ac:dyDescent="0.2">
      <c r="D280" s="75"/>
    </row>
    <row r="281" spans="4:4" x14ac:dyDescent="0.2">
      <c r="D281" s="75"/>
    </row>
    <row r="282" spans="4:4" x14ac:dyDescent="0.2">
      <c r="D282" s="75"/>
    </row>
    <row r="283" spans="4:4" x14ac:dyDescent="0.2">
      <c r="D283" s="75"/>
    </row>
    <row r="284" spans="4:4" x14ac:dyDescent="0.2">
      <c r="D284" s="75"/>
    </row>
    <row r="285" spans="4:4" x14ac:dyDescent="0.2">
      <c r="D285" s="75"/>
    </row>
    <row r="286" spans="4:4" x14ac:dyDescent="0.2">
      <c r="D286" s="75"/>
    </row>
    <row r="287" spans="4:4" x14ac:dyDescent="0.2">
      <c r="D287" s="75"/>
    </row>
    <row r="288" spans="4:4" x14ac:dyDescent="0.2">
      <c r="D288" s="75"/>
    </row>
    <row r="289" spans="4:4" x14ac:dyDescent="0.2">
      <c r="D289" s="75"/>
    </row>
    <row r="290" spans="4:4" x14ac:dyDescent="0.2">
      <c r="D290" s="75"/>
    </row>
    <row r="291" spans="4:4" x14ac:dyDescent="0.2">
      <c r="D291" s="75"/>
    </row>
    <row r="292" spans="4:4" x14ac:dyDescent="0.2">
      <c r="D292" s="75"/>
    </row>
    <row r="293" spans="4:4" x14ac:dyDescent="0.2">
      <c r="D293" s="75"/>
    </row>
    <row r="294" spans="4:4" x14ac:dyDescent="0.2">
      <c r="D294" s="75"/>
    </row>
    <row r="295" spans="4:4" x14ac:dyDescent="0.2">
      <c r="D295" s="75"/>
    </row>
    <row r="296" spans="4:4" x14ac:dyDescent="0.2">
      <c r="D296" s="75"/>
    </row>
    <row r="297" spans="4:4" x14ac:dyDescent="0.2">
      <c r="D297" s="75"/>
    </row>
    <row r="298" spans="4:4" x14ac:dyDescent="0.2">
      <c r="D298" s="75"/>
    </row>
    <row r="299" spans="4:4" x14ac:dyDescent="0.2">
      <c r="D299" s="75"/>
    </row>
    <row r="300" spans="4:4" x14ac:dyDescent="0.2">
      <c r="D300" s="75"/>
    </row>
    <row r="301" spans="4:4" x14ac:dyDescent="0.2">
      <c r="D301" s="75"/>
    </row>
    <row r="302" spans="4:4" x14ac:dyDescent="0.2">
      <c r="D302" s="75"/>
    </row>
    <row r="303" spans="4:4" x14ac:dyDescent="0.2">
      <c r="D303" s="75"/>
    </row>
    <row r="304" spans="4:4" x14ac:dyDescent="0.2">
      <c r="D304" s="75"/>
    </row>
    <row r="305" spans="4:4" x14ac:dyDescent="0.2">
      <c r="D305" s="75"/>
    </row>
    <row r="306" spans="4:4" x14ac:dyDescent="0.2">
      <c r="D306" s="75"/>
    </row>
    <row r="307" spans="4:4" x14ac:dyDescent="0.2">
      <c r="D307" s="75"/>
    </row>
  </sheetData>
  <sheetProtection algorithmName="SHA-512" hashValue="jR4osj9xPxhV9vxdSYMXcGKSvrRxIpU/Ea+8qKnFHNmdWHJh+4uiYClK629Cj6ExvydrDtqL0tZckXjBLpBqEg==" saltValue="ng/u4gHLvbU8m6JwbT7tVw==" spinCount="100000" sheet="1" objects="1" scenarios="1"/>
  <mergeCells count="46">
    <mergeCell ref="B70:C70"/>
    <mergeCell ref="H70:I70"/>
    <mergeCell ref="A71:D71"/>
    <mergeCell ref="A75:B75"/>
    <mergeCell ref="C75:D75"/>
    <mergeCell ref="C53:C57"/>
    <mergeCell ref="B58:C58"/>
    <mergeCell ref="D65:D69"/>
    <mergeCell ref="H58:I58"/>
    <mergeCell ref="B63:C63"/>
    <mergeCell ref="H63:I63"/>
    <mergeCell ref="A64:D64"/>
    <mergeCell ref="B65:C65"/>
    <mergeCell ref="D58:D62"/>
    <mergeCell ref="H65:I65"/>
    <mergeCell ref="B45:C45"/>
    <mergeCell ref="H45:I45"/>
    <mergeCell ref="A46:D46"/>
    <mergeCell ref="B47:C47"/>
    <mergeCell ref="B52:C52"/>
    <mergeCell ref="H52:I52"/>
    <mergeCell ref="B48:C48"/>
    <mergeCell ref="A49:D49"/>
    <mergeCell ref="B50:C50"/>
    <mergeCell ref="H47:I47"/>
    <mergeCell ref="A51:D51"/>
    <mergeCell ref="H41:I41"/>
    <mergeCell ref="A42:D42"/>
    <mergeCell ref="B43:C43"/>
    <mergeCell ref="H43:I43"/>
    <mergeCell ref="A44:D44"/>
    <mergeCell ref="B35:D35"/>
    <mergeCell ref="B37:C37"/>
    <mergeCell ref="H37:I37"/>
    <mergeCell ref="A38:D38"/>
    <mergeCell ref="A40:D40"/>
    <mergeCell ref="B16:D16"/>
    <mergeCell ref="B25:D25"/>
    <mergeCell ref="B27:D27"/>
    <mergeCell ref="C28:C33"/>
    <mergeCell ref="D28:D33"/>
    <mergeCell ref="A1:D1"/>
    <mergeCell ref="F1:G1"/>
    <mergeCell ref="H1:I1"/>
    <mergeCell ref="A3:B3"/>
    <mergeCell ref="C3:D3"/>
  </mergeCells>
  <dataValidations count="16">
    <dataValidation type="list" allowBlank="1" showInputMessage="1" showErrorMessage="1" sqref="A71" xr:uid="{3EC755A5-DB41-3642-8F27-CC484C18892E}">
      <formula1>Krez11</formula1>
    </dataValidation>
    <dataValidation type="list" allowBlank="1" showInputMessage="1" showErrorMessage="1" sqref="A51:D51" xr:uid="{C383EC04-1BF2-F443-B770-B35A893BBF53}">
      <formula1>Krez6b</formula1>
    </dataValidation>
    <dataValidation type="list" allowBlank="1" showInputMessage="1" showErrorMessage="1" sqref="A46:D46" xr:uid="{4C52DC2A-CBEB-6548-9B47-B96C1420067E}">
      <formula1>Krez5</formula1>
    </dataValidation>
    <dataValidation type="list" allowBlank="1" showInputMessage="1" showErrorMessage="1" sqref="A42" xr:uid="{B7AE214B-19FF-ED4A-83A1-6B1C95A86D20}">
      <formula1>Krez3</formula1>
    </dataValidation>
    <dataValidation type="list" allowBlank="1" showInputMessage="1" showErrorMessage="1" sqref="B73" xr:uid="{9C861465-2BD9-B349-AC9D-1136A969BF87}">
      <formula1>Zvit</formula1>
    </dataValidation>
    <dataValidation type="list" allowBlank="1" showInputMessage="1" showErrorMessage="1" sqref="A38:D38" xr:uid="{A3275E3F-61A1-344A-A8B9-2AD6756DF69D}">
      <formula1>Krez1</formula1>
    </dataValidation>
    <dataValidation type="list" allowBlank="1" showInputMessage="1" showErrorMessage="1" sqref="A49:D49" xr:uid="{9D1996B3-AE85-B14E-B7ED-66EAC470FC03}">
      <formula1>Krez6a</formula1>
    </dataValidation>
    <dataValidation type="list" allowBlank="1" showInputMessage="1" showErrorMessage="1" sqref="A44:D44" xr:uid="{58430F02-B8CD-D340-80C6-77BAF87A9AAA}">
      <formula1>Krez4</formula1>
    </dataValidation>
    <dataValidation type="list" allowBlank="1" showInputMessage="1" showErrorMessage="1" sqref="A40:D40" xr:uid="{D70AF392-B1CC-5C44-80C1-D512C0920CCC}">
      <formula1>Krez2</formula1>
    </dataValidation>
    <dataValidation type="list" allowBlank="1" showInputMessage="1" showErrorMessage="1" sqref="B35" xr:uid="{A2E62165-F3E9-144B-A80F-9FBCB5E37880}">
      <formula1>Num_Episodes</formula1>
    </dataValidation>
    <dataValidation type="list" allowBlank="1" showInputMessage="1" showErrorMessage="1" sqref="B25" xr:uid="{3B776123-7918-8941-8E6B-C37F9E08D115}">
      <formula1>NumPartnersCrim</formula1>
    </dataValidation>
    <dataValidation type="list" allowBlank="1" showInputMessage="1" showErrorMessage="1" sqref="B53:B57 B18:B23" xr:uid="{0A976823-F3DE-B741-8FA4-E9698741BFBE}">
      <formula1>NumEpisodesCrim</formula1>
    </dataValidation>
    <dataValidation type="list" allowBlank="1" showInputMessage="1" showErrorMessage="1" sqref="B9:B11 B27 B29:B33 B7 A64 B59:B60 D9:D11 B72 B66:B67" xr:uid="{5FE2014F-B6E6-2B4C-BBC5-7728C4E40A84}">
      <formula1>ТакНі</formula1>
    </dataValidation>
    <dataValidation type="list" allowBlank="1" showInputMessage="1" showErrorMessage="1" sqref="B5" xr:uid="{C9B76554-7F47-704A-A094-D505676607F9}">
      <formula1>ЗП</formula1>
    </dataValidation>
    <dataValidation type="list" allowBlank="1" showInputMessage="1" showErrorMessage="1" sqref="B12" xr:uid="{0F0A8465-3CAA-AF4A-80D0-257447270B0E}">
      <formula1>More_than_5_days</formula1>
    </dataValidation>
    <dataValidation type="list" allowBlank="1" showInputMessage="1" showErrorMessage="1" sqref="B16:D16" xr:uid="{382DC866-9248-C645-8F6F-DB1C3DB59349}">
      <formula1>TrialGravity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109</vt:i4>
      </vt:variant>
    </vt:vector>
  </HeadingPairs>
  <TitlesOfParts>
    <vt:vector size="122" baseType="lpstr">
      <vt:lpstr>Техн_інформація</vt:lpstr>
      <vt:lpstr>АЗ_ОПД</vt:lpstr>
      <vt:lpstr>ЗЗ</vt:lpstr>
      <vt:lpstr>ЕКС</vt:lpstr>
      <vt:lpstr>ЗМХ</vt:lpstr>
      <vt:lpstr>КП_досудове</vt:lpstr>
      <vt:lpstr>КП_суд І інст.</vt:lpstr>
      <vt:lpstr>КП_суд апел. інст.</vt:lpstr>
      <vt:lpstr>КП_суд кас. інст.</vt:lpstr>
      <vt:lpstr>ЦАС</vt:lpstr>
      <vt:lpstr>ВСР та СК</vt:lpstr>
      <vt:lpstr>ПД</vt:lpstr>
      <vt:lpstr>ІНШЕ</vt:lpstr>
      <vt:lpstr>ActReturn</vt:lpstr>
      <vt:lpstr>CAS_list</vt:lpstr>
      <vt:lpstr>CourtChange</vt:lpstr>
      <vt:lpstr>Duration</vt:lpstr>
      <vt:lpstr>Duration_res</vt:lpstr>
      <vt:lpstr>EpisodesMean</vt:lpstr>
      <vt:lpstr>EXTR</vt:lpstr>
      <vt:lpstr>EXTR_res</vt:lpstr>
      <vt:lpstr>Form1</vt:lpstr>
      <vt:lpstr>Form7</vt:lpstr>
      <vt:lpstr>Gravity</vt:lpstr>
      <vt:lpstr>GravityMean</vt:lpstr>
      <vt:lpstr>K_ot_dosud</vt:lpstr>
      <vt:lpstr>Kacts</vt:lpstr>
      <vt:lpstr>Kactsres</vt:lpstr>
      <vt:lpstr>KOsProv</vt:lpstr>
      <vt:lpstr>KRes1</vt:lpstr>
      <vt:lpstr>KRes1_res</vt:lpstr>
      <vt:lpstr>KRes10</vt:lpstr>
      <vt:lpstr>KRes10_res</vt:lpstr>
      <vt:lpstr>KRes2</vt:lpstr>
      <vt:lpstr>KRes2_res</vt:lpstr>
      <vt:lpstr>KRes3</vt:lpstr>
      <vt:lpstr>KRes3_res</vt:lpstr>
      <vt:lpstr>KRes4</vt:lpstr>
      <vt:lpstr>KRes4_res</vt:lpstr>
      <vt:lpstr>KRes5</vt:lpstr>
      <vt:lpstr>KRes5_res</vt:lpstr>
      <vt:lpstr>Kres6</vt:lpstr>
      <vt:lpstr>KRes6_res</vt:lpstr>
      <vt:lpstr>KRes7</vt:lpstr>
      <vt:lpstr>KRes7_res</vt:lpstr>
      <vt:lpstr>Krez1</vt:lpstr>
      <vt:lpstr>Krez1_rez</vt:lpstr>
      <vt:lpstr>Krez10</vt:lpstr>
      <vt:lpstr>Krez10_rez</vt:lpstr>
      <vt:lpstr>Krez11</vt:lpstr>
      <vt:lpstr>Krez11_rez</vt:lpstr>
      <vt:lpstr>Krez2</vt:lpstr>
      <vt:lpstr>Krez2_rez</vt:lpstr>
      <vt:lpstr>Krez3</vt:lpstr>
      <vt:lpstr>Krez3_rez</vt:lpstr>
      <vt:lpstr>Krez4</vt:lpstr>
      <vt:lpstr>Krez4_rez</vt:lpstr>
      <vt:lpstr>Krez5</vt:lpstr>
      <vt:lpstr>Krez5_rez</vt:lpstr>
      <vt:lpstr>Krez6a</vt:lpstr>
      <vt:lpstr>Krez6a_rez</vt:lpstr>
      <vt:lpstr>Krez6b</vt:lpstr>
      <vt:lpstr>Krez6b_rez</vt:lpstr>
      <vt:lpstr>Krez7</vt:lpstr>
      <vt:lpstr>Krez7_rez</vt:lpstr>
      <vt:lpstr>Krez8</vt:lpstr>
      <vt:lpstr>Krez8_rez</vt:lpstr>
      <vt:lpstr>Krouts</vt:lpstr>
      <vt:lpstr>KspApel_res</vt:lpstr>
      <vt:lpstr>Kspcat</vt:lpstr>
      <vt:lpstr>KspKas_res</vt:lpstr>
      <vt:lpstr>Kstop</vt:lpstr>
      <vt:lpstr>KStPr_res</vt:lpstr>
      <vt:lpstr>KStPrPreTrial_res</vt:lpstr>
      <vt:lpstr>Kzvit</vt:lpstr>
      <vt:lpstr>Kzzz</vt:lpstr>
      <vt:lpstr>MED</vt:lpstr>
      <vt:lpstr>MedRes</vt:lpstr>
      <vt:lpstr>More_than_5_days</vt:lpstr>
      <vt:lpstr>NightAA</vt:lpstr>
      <vt:lpstr>NightAD</vt:lpstr>
      <vt:lpstr>Num_Episodes</vt:lpstr>
      <vt:lpstr>NumEpisodes</vt:lpstr>
      <vt:lpstr>NumEpisodesCrim</vt:lpstr>
      <vt:lpstr>NumEpisodesCrim_res</vt:lpstr>
      <vt:lpstr>NumPartners</vt:lpstr>
      <vt:lpstr>NumPartnersCrim</vt:lpstr>
      <vt:lpstr>NumPartnersCrim_res</vt:lpstr>
      <vt:lpstr>PartnersMean</vt:lpstr>
      <vt:lpstr>PreTrialCont</vt:lpstr>
      <vt:lpstr>PreTrialCont_res</vt:lpstr>
      <vt:lpstr>PreTrialGravity</vt:lpstr>
      <vt:lpstr>PreTrialGravity_res</vt:lpstr>
      <vt:lpstr>PrevMeasure</vt:lpstr>
      <vt:lpstr>PrevMeasure_res</vt:lpstr>
      <vt:lpstr>АЗ_ОПД!Print_Area</vt:lpstr>
      <vt:lpstr>ЕКС!Print_Area</vt:lpstr>
      <vt:lpstr>ЗЗ!Print_Area</vt:lpstr>
      <vt:lpstr>ЗМХ!Print_Area</vt:lpstr>
      <vt:lpstr>Process</vt:lpstr>
      <vt:lpstr>Refusal</vt:lpstr>
      <vt:lpstr>SpCatAA</vt:lpstr>
      <vt:lpstr>Trial1Gravity</vt:lpstr>
      <vt:lpstr>Trial1Gravity_res</vt:lpstr>
      <vt:lpstr>TrialGravity</vt:lpstr>
      <vt:lpstr>TrialGravity_res</vt:lpstr>
      <vt:lpstr>ZMH</vt:lpstr>
      <vt:lpstr>ZMH1</vt:lpstr>
      <vt:lpstr>ZMH1_res</vt:lpstr>
      <vt:lpstr>ZMHres</vt:lpstr>
      <vt:lpstr>Zvit</vt:lpstr>
      <vt:lpstr>ЗП</vt:lpstr>
      <vt:lpstr>Коск1</vt:lpstr>
      <vt:lpstr>Коск1_1</vt:lpstr>
      <vt:lpstr>Коск2</vt:lpstr>
      <vt:lpstr>Коск2_1</vt:lpstr>
      <vt:lpstr>Коск3</vt:lpstr>
      <vt:lpstr>Коск3_1</vt:lpstr>
      <vt:lpstr>Коскат</vt:lpstr>
      <vt:lpstr>Кприп</vt:lpstr>
      <vt:lpstr>Прод_ДР_опції</vt:lpstr>
      <vt:lpstr>ТакНі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2026-03-06T09:04:53Z</dcterms:modified>
  <cp:contentStatus/>
</cp:coreProperties>
</file>