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0" yWindow="105" windowWidth="15120" windowHeight="8010" tabRatio="924" firstSheet="43" activeTab="51"/>
  </bookViews>
  <sheets>
    <sheet name="11.01.2016" sheetId="1" r:id="rId1"/>
    <sheet name="18.01.2016" sheetId="2" r:id="rId2"/>
    <sheet name="25.01.2016" sheetId="3" r:id="rId3"/>
    <sheet name="01.02.2016" sheetId="4" r:id="rId4"/>
    <sheet name="08.02.2016" sheetId="5" r:id="rId5"/>
    <sheet name="15.02.2016" sheetId="6" r:id="rId6"/>
    <sheet name="22.02.2016" sheetId="7" r:id="rId7"/>
    <sheet name="29.02.2016" sheetId="10" r:id="rId8"/>
    <sheet name="09.03.2016" sheetId="8" r:id="rId9"/>
    <sheet name="14.03.2016" sheetId="11" r:id="rId10"/>
    <sheet name="21.03.2016" sheetId="12" r:id="rId11"/>
    <sheet name="28.03.2016" sheetId="13" r:id="rId12"/>
    <sheet name="04.04.2016" sheetId="15" r:id="rId13"/>
    <sheet name="11.04.2016" sheetId="14" r:id="rId14"/>
    <sheet name="18.04.2016 " sheetId="16" r:id="rId15"/>
    <sheet name="25.04.2016 " sheetId="17" r:id="rId16"/>
    <sheet name="02.05.2016" sheetId="18" r:id="rId17"/>
    <sheet name="09.05.2016" sheetId="19" r:id="rId18"/>
    <sheet name="16.05.2016 " sheetId="20" r:id="rId19"/>
    <sheet name="23.05.2016" sheetId="21" r:id="rId20"/>
    <sheet name="30.05.2016" sheetId="24" r:id="rId21"/>
    <sheet name="06.06.2016" sheetId="22" r:id="rId22"/>
    <sheet name="13.06.2016" sheetId="25" r:id="rId23"/>
    <sheet name="20.06.2016" sheetId="26" r:id="rId24"/>
    <sheet name="27.06.2016" sheetId="27" r:id="rId25"/>
    <sheet name="04.07.2016" sheetId="28" r:id="rId26"/>
    <sheet name="11.07.2016" sheetId="29" r:id="rId27"/>
    <sheet name="18.07.2016" sheetId="30" r:id="rId28"/>
    <sheet name="25.07.2016 " sheetId="32" r:id="rId29"/>
    <sheet name="01.08.2016" sheetId="33" r:id="rId30"/>
    <sheet name="08.08.2016" sheetId="34" r:id="rId31"/>
    <sheet name="15.08.2016" sheetId="35" r:id="rId32"/>
    <sheet name="22.08.2016" sheetId="36" r:id="rId33"/>
    <sheet name="29.08.2016" sheetId="37" r:id="rId34"/>
    <sheet name="05.09.2016" sheetId="38" r:id="rId35"/>
    <sheet name="12.09.2016 " sheetId="39" r:id="rId36"/>
    <sheet name="19.09.2016" sheetId="40" r:id="rId37"/>
    <sheet name="26.09.2016" sheetId="41" r:id="rId38"/>
    <sheet name="03.10.2016" sheetId="42" r:id="rId39"/>
    <sheet name="10.10.2016" sheetId="43" r:id="rId40"/>
    <sheet name="17.10.2016" sheetId="44" r:id="rId41"/>
    <sheet name="24.10.2016" sheetId="45" r:id="rId42"/>
    <sheet name="31.10.2016" sheetId="46" r:id="rId43"/>
    <sheet name="07.11.2016" sheetId="47" r:id="rId44"/>
    <sheet name="14.11.2016" sheetId="48" r:id="rId45"/>
    <sheet name="21.11.2016" sheetId="49" r:id="rId46"/>
    <sheet name="28.11.2016" sheetId="50" r:id="rId47"/>
    <sheet name="05.12.2016" sheetId="51" r:id="rId48"/>
    <sheet name="12.12.2016" sheetId="52" r:id="rId49"/>
    <sheet name="19.12.2016" sheetId="53" r:id="rId50"/>
    <sheet name="26.12.2016" sheetId="54" r:id="rId51"/>
    <sheet name="31.12.2016" sheetId="55" r:id="rId52"/>
  </sheets>
  <definedNames>
    <definedName name="_xlnm.Print_Area" localSheetId="6">'22.02.2016'!$B$10:$T$102</definedName>
  </definedNames>
  <calcPr calcId="145621"/>
</workbook>
</file>

<file path=xl/calcChain.xml><?xml version="1.0" encoding="utf-8"?>
<calcChain xmlns="http://schemas.openxmlformats.org/spreadsheetml/2006/main">
  <c r="T102" i="55" l="1"/>
  <c r="T101" i="55"/>
  <c r="T100" i="55"/>
  <c r="T99" i="55"/>
  <c r="T98" i="55"/>
  <c r="T95" i="55"/>
  <c r="T94" i="55"/>
  <c r="T93" i="55"/>
  <c r="T91" i="55"/>
  <c r="T90" i="55"/>
  <c r="T89" i="55"/>
  <c r="T87" i="55"/>
  <c r="T85" i="55"/>
  <c r="T84" i="55"/>
  <c r="T83" i="55"/>
  <c r="T82" i="55"/>
  <c r="T80" i="55"/>
  <c r="T79" i="55"/>
  <c r="T78" i="55"/>
  <c r="T76" i="55"/>
  <c r="T75" i="55"/>
  <c r="T73" i="55"/>
  <c r="T72" i="55"/>
  <c r="T71" i="55"/>
  <c r="T70" i="55"/>
  <c r="T67" i="55"/>
  <c r="T65" i="55"/>
  <c r="T64" i="55"/>
  <c r="T63" i="55"/>
  <c r="T60" i="55"/>
  <c r="T56" i="55"/>
  <c r="T55" i="55"/>
  <c r="T54" i="55"/>
  <c r="T52" i="55"/>
  <c r="T51" i="55"/>
  <c r="T50" i="55"/>
  <c r="T49" i="55"/>
  <c r="T48" i="55"/>
  <c r="T47" i="55"/>
  <c r="T44" i="55"/>
  <c r="T41" i="55"/>
  <c r="T40" i="55"/>
  <c r="T38" i="55"/>
  <c r="T37" i="55"/>
  <c r="T36" i="55"/>
  <c r="T35" i="55"/>
  <c r="T31" i="55"/>
  <c r="T29" i="55"/>
  <c r="T26" i="55"/>
  <c r="T25" i="55"/>
  <c r="T23" i="55"/>
  <c r="T22" i="55"/>
  <c r="T21" i="55"/>
  <c r="T20" i="55"/>
  <c r="T19" i="55"/>
  <c r="T18" i="55"/>
  <c r="T15" i="55"/>
  <c r="T14" i="55"/>
  <c r="T13" i="55"/>
  <c r="T11" i="55"/>
  <c r="T10" i="55"/>
  <c r="N103" i="55"/>
  <c r="N102" i="55"/>
  <c r="N101" i="55"/>
  <c r="N100" i="55"/>
  <c r="N99" i="55"/>
  <c r="N98" i="55"/>
  <c r="N97" i="55"/>
  <c r="N96" i="55"/>
  <c r="N95" i="55"/>
  <c r="N94" i="55"/>
  <c r="N93" i="55"/>
  <c r="N92" i="55"/>
  <c r="N91" i="55"/>
  <c r="N90" i="55"/>
  <c r="N89" i="55"/>
  <c r="N87" i="55"/>
  <c r="N86" i="55"/>
  <c r="N85" i="55"/>
  <c r="N84" i="55"/>
  <c r="N83" i="55"/>
  <c r="N82" i="55"/>
  <c r="N81" i="55"/>
  <c r="N80" i="55"/>
  <c r="N79" i="55"/>
  <c r="N77" i="55"/>
  <c r="N76" i="55"/>
  <c r="N75" i="55"/>
  <c r="N73" i="55"/>
  <c r="N72" i="55"/>
  <c r="N71" i="55"/>
  <c r="N70" i="55"/>
  <c r="N69" i="55"/>
  <c r="N68" i="55"/>
  <c r="N67" i="55"/>
  <c r="N66" i="55"/>
  <c r="N65" i="55"/>
  <c r="N64" i="55"/>
  <c r="N62" i="55"/>
  <c r="N61" i="55"/>
  <c r="N60" i="55"/>
  <c r="N57" i="55"/>
  <c r="N56" i="55"/>
  <c r="N55" i="55"/>
  <c r="N54" i="55"/>
  <c r="N53" i="55"/>
  <c r="N52" i="55"/>
  <c r="N51" i="55"/>
  <c r="N50" i="55"/>
  <c r="N49" i="55"/>
  <c r="N48" i="55"/>
  <c r="N47" i="55"/>
  <c r="N46" i="55"/>
  <c r="N44" i="55"/>
  <c r="N43" i="55"/>
  <c r="N42" i="55"/>
  <c r="N41" i="55"/>
  <c r="N40" i="55"/>
  <c r="N39" i="55"/>
  <c r="N38" i="55"/>
  <c r="N37" i="55"/>
  <c r="N36" i="55"/>
  <c r="N35" i="55"/>
  <c r="N34" i="55"/>
  <c r="N33" i="55"/>
  <c r="N30" i="55"/>
  <c r="N29" i="55"/>
  <c r="N27" i="55"/>
  <c r="N26" i="55"/>
  <c r="N25" i="55"/>
  <c r="N24" i="55"/>
  <c r="N23" i="55"/>
  <c r="N22" i="55"/>
  <c r="N21" i="55"/>
  <c r="N20" i="55"/>
  <c r="N19" i="55"/>
  <c r="N18" i="55"/>
  <c r="N17" i="55"/>
  <c r="N15" i="55"/>
  <c r="N14" i="55"/>
  <c r="N13" i="55"/>
  <c r="N11" i="55"/>
  <c r="N10" i="55"/>
  <c r="R105" i="55"/>
  <c r="S102" i="55"/>
  <c r="S101" i="55"/>
  <c r="U101" i="55"/>
  <c r="S100" i="55"/>
  <c r="S99" i="55"/>
  <c r="U99" i="55" s="1"/>
  <c r="S98" i="55"/>
  <c r="S95" i="55"/>
  <c r="S94" i="55"/>
  <c r="S93" i="55"/>
  <c r="S91" i="55"/>
  <c r="S90" i="55"/>
  <c r="U90" i="55"/>
  <c r="S89" i="55"/>
  <c r="S87" i="55"/>
  <c r="U87" i="55" s="1"/>
  <c r="S85" i="55"/>
  <c r="S84" i="55"/>
  <c r="S83" i="55"/>
  <c r="S82" i="55"/>
  <c r="S80" i="55"/>
  <c r="S79" i="55"/>
  <c r="U79" i="55"/>
  <c r="S78" i="55"/>
  <c r="S76" i="55"/>
  <c r="S75" i="55"/>
  <c r="S73" i="55"/>
  <c r="U73" i="55" s="1"/>
  <c r="S72" i="55"/>
  <c r="S71" i="55"/>
  <c r="S70" i="55"/>
  <c r="S67" i="55"/>
  <c r="S65" i="55"/>
  <c r="S64" i="55"/>
  <c r="S63" i="55"/>
  <c r="S60" i="55"/>
  <c r="U60" i="55"/>
  <c r="S56" i="55"/>
  <c r="S55" i="55"/>
  <c r="U55" i="55" s="1"/>
  <c r="S54" i="55"/>
  <c r="S52" i="55"/>
  <c r="U52" i="55"/>
  <c r="S51" i="55"/>
  <c r="S50" i="55"/>
  <c r="U50" i="55" s="1"/>
  <c r="S49" i="55"/>
  <c r="S48" i="55"/>
  <c r="U48" i="55"/>
  <c r="S47" i="55"/>
  <c r="S44" i="55"/>
  <c r="S41" i="55"/>
  <c r="S40" i="55"/>
  <c r="S38" i="55"/>
  <c r="S37" i="55"/>
  <c r="S36" i="55"/>
  <c r="S35" i="55"/>
  <c r="S31" i="55"/>
  <c r="S29" i="55"/>
  <c r="S26" i="55"/>
  <c r="S25" i="55"/>
  <c r="S23" i="55"/>
  <c r="S22" i="55"/>
  <c r="S21" i="55"/>
  <c r="S20" i="55"/>
  <c r="S19" i="55"/>
  <c r="S18" i="55"/>
  <c r="S15" i="55"/>
  <c r="S14" i="55"/>
  <c r="S13" i="55"/>
  <c r="S11" i="55"/>
  <c r="S10" i="55"/>
  <c r="M103" i="55"/>
  <c r="M102" i="55"/>
  <c r="M101" i="55"/>
  <c r="M100" i="55"/>
  <c r="M99" i="55"/>
  <c r="M98" i="55"/>
  <c r="M97" i="55"/>
  <c r="O97" i="55" s="1"/>
  <c r="M96" i="55"/>
  <c r="M95" i="55"/>
  <c r="M94" i="55"/>
  <c r="M93" i="55"/>
  <c r="M92" i="55"/>
  <c r="M91" i="55"/>
  <c r="O91" i="55"/>
  <c r="M90" i="55"/>
  <c r="M89" i="55"/>
  <c r="M87" i="55"/>
  <c r="M86" i="55"/>
  <c r="O86" i="55" s="1"/>
  <c r="M85" i="55"/>
  <c r="M84" i="55"/>
  <c r="M83" i="55"/>
  <c r="M82" i="55"/>
  <c r="M81" i="55"/>
  <c r="M80" i="55"/>
  <c r="O80" i="55"/>
  <c r="M79" i="55"/>
  <c r="M77" i="55"/>
  <c r="O77" i="55" s="1"/>
  <c r="M76" i="55"/>
  <c r="M75" i="55"/>
  <c r="O75" i="55"/>
  <c r="M73" i="55"/>
  <c r="M72" i="55"/>
  <c r="O72" i="55" s="1"/>
  <c r="M71" i="55"/>
  <c r="M70" i="55"/>
  <c r="O70" i="55"/>
  <c r="M69" i="55"/>
  <c r="M68" i="55"/>
  <c r="O68" i="55" s="1"/>
  <c r="M67" i="55"/>
  <c r="M66" i="55"/>
  <c r="M65" i="55"/>
  <c r="M64" i="55"/>
  <c r="M62" i="55"/>
  <c r="M61" i="55"/>
  <c r="O61" i="55"/>
  <c r="M60" i="55"/>
  <c r="M57" i="55"/>
  <c r="M56" i="55"/>
  <c r="M55" i="55"/>
  <c r="M54" i="55"/>
  <c r="M53" i="55"/>
  <c r="M52" i="55"/>
  <c r="M51" i="55"/>
  <c r="M50" i="55"/>
  <c r="M49" i="55"/>
  <c r="M48" i="55"/>
  <c r="M47" i="55"/>
  <c r="M46" i="55"/>
  <c r="M44" i="55"/>
  <c r="M43" i="55"/>
  <c r="M42" i="55"/>
  <c r="M41" i="55"/>
  <c r="M40" i="55"/>
  <c r="M39" i="55"/>
  <c r="M38" i="55"/>
  <c r="M37" i="55"/>
  <c r="M36" i="55"/>
  <c r="M35" i="55"/>
  <c r="M34" i="55"/>
  <c r="M33" i="55"/>
  <c r="M30" i="55"/>
  <c r="M29" i="55"/>
  <c r="M27" i="55"/>
  <c r="M26" i="55"/>
  <c r="M25" i="55"/>
  <c r="M24" i="55"/>
  <c r="M23" i="55"/>
  <c r="M22" i="55"/>
  <c r="M21" i="55"/>
  <c r="M20" i="55"/>
  <c r="M19" i="55"/>
  <c r="M18" i="55"/>
  <c r="M17" i="55"/>
  <c r="M15" i="55"/>
  <c r="M14" i="55"/>
  <c r="M13" i="55"/>
  <c r="M11" i="55"/>
  <c r="M10" i="55"/>
  <c r="Q105" i="55"/>
  <c r="P105" i="55"/>
  <c r="L105" i="55"/>
  <c r="K105" i="55"/>
  <c r="J105" i="55"/>
  <c r="I105" i="55"/>
  <c r="H105" i="55"/>
  <c r="U104" i="55"/>
  <c r="O104" i="55"/>
  <c r="U103" i="55"/>
  <c r="O103" i="55"/>
  <c r="U102" i="55"/>
  <c r="O102" i="55"/>
  <c r="O101" i="55"/>
  <c r="U100" i="55"/>
  <c r="O100" i="55"/>
  <c r="O99" i="55"/>
  <c r="U98" i="55"/>
  <c r="O98" i="55"/>
  <c r="U97" i="55"/>
  <c r="U96" i="55"/>
  <c r="O96" i="55"/>
  <c r="U95" i="55"/>
  <c r="O95" i="55"/>
  <c r="U94" i="55"/>
  <c r="O94" i="55"/>
  <c r="U93" i="55"/>
  <c r="O93" i="55"/>
  <c r="U92" i="55"/>
  <c r="O92" i="55"/>
  <c r="U91" i="55"/>
  <c r="O90" i="55"/>
  <c r="U89" i="55"/>
  <c r="O89" i="55"/>
  <c r="U88" i="55"/>
  <c r="O88" i="55"/>
  <c r="O87" i="55"/>
  <c r="U86" i="55"/>
  <c r="U85" i="55"/>
  <c r="O85" i="55"/>
  <c r="U84" i="55"/>
  <c r="O84" i="55"/>
  <c r="U83" i="55"/>
  <c r="O83" i="55"/>
  <c r="U82" i="55"/>
  <c r="O82" i="55"/>
  <c r="U81" i="55"/>
  <c r="O81" i="55"/>
  <c r="U80" i="55"/>
  <c r="O79" i="55"/>
  <c r="U78" i="55"/>
  <c r="O78" i="55"/>
  <c r="U77" i="55"/>
  <c r="U76" i="55"/>
  <c r="O76" i="55"/>
  <c r="U75" i="55"/>
  <c r="U74" i="55"/>
  <c r="O74" i="55"/>
  <c r="O73" i="55"/>
  <c r="U72" i="55"/>
  <c r="U71" i="55"/>
  <c r="O71" i="55"/>
  <c r="U70" i="55"/>
  <c r="U69" i="55"/>
  <c r="O69" i="55"/>
  <c r="U68" i="55"/>
  <c r="U67" i="55"/>
  <c r="O67" i="55"/>
  <c r="U66" i="55"/>
  <c r="O66" i="55"/>
  <c r="U65" i="55"/>
  <c r="O65" i="55"/>
  <c r="U64" i="55"/>
  <c r="O64" i="55"/>
  <c r="U63" i="55"/>
  <c r="O63" i="55"/>
  <c r="U62" i="55"/>
  <c r="O62" i="55"/>
  <c r="U61" i="55"/>
  <c r="O60" i="55"/>
  <c r="U59" i="55"/>
  <c r="O59" i="55"/>
  <c r="U58" i="55"/>
  <c r="O58" i="55"/>
  <c r="U57" i="55"/>
  <c r="O57" i="55"/>
  <c r="U56" i="55"/>
  <c r="O56" i="55"/>
  <c r="O55" i="55"/>
  <c r="U54" i="55"/>
  <c r="O54" i="55"/>
  <c r="U53" i="55"/>
  <c r="O53" i="55"/>
  <c r="O52" i="55"/>
  <c r="U51" i="55"/>
  <c r="O51" i="55"/>
  <c r="O50" i="55"/>
  <c r="U49" i="55"/>
  <c r="O49" i="55"/>
  <c r="O48" i="55"/>
  <c r="U47" i="55"/>
  <c r="O47" i="55"/>
  <c r="U46" i="55"/>
  <c r="O46" i="55"/>
  <c r="U45" i="55"/>
  <c r="O45" i="55"/>
  <c r="U44" i="55"/>
  <c r="O44" i="55"/>
  <c r="U43" i="55"/>
  <c r="O43" i="55"/>
  <c r="U42" i="55"/>
  <c r="O42" i="55"/>
  <c r="U41" i="55"/>
  <c r="O41" i="55"/>
  <c r="U40" i="55"/>
  <c r="O40" i="55"/>
  <c r="U39" i="55"/>
  <c r="O39" i="55"/>
  <c r="U38" i="55"/>
  <c r="O38" i="55"/>
  <c r="U37" i="55"/>
  <c r="O37" i="55"/>
  <c r="U36" i="55"/>
  <c r="O36" i="55"/>
  <c r="U35" i="55"/>
  <c r="O35" i="55"/>
  <c r="U34" i="55"/>
  <c r="O34" i="55"/>
  <c r="U33" i="55"/>
  <c r="O33" i="55"/>
  <c r="U32" i="55"/>
  <c r="O32" i="55"/>
  <c r="U31" i="55"/>
  <c r="O31" i="55"/>
  <c r="U30" i="55"/>
  <c r="O30" i="55"/>
  <c r="U29" i="55"/>
  <c r="O29" i="55"/>
  <c r="U28" i="55"/>
  <c r="O28" i="55"/>
  <c r="U27" i="55"/>
  <c r="O27" i="55"/>
  <c r="U26" i="55"/>
  <c r="O26" i="55"/>
  <c r="U25" i="55"/>
  <c r="O25" i="55"/>
  <c r="U24" i="55"/>
  <c r="O24" i="55"/>
  <c r="U23" i="55"/>
  <c r="O23" i="55"/>
  <c r="U22" i="55"/>
  <c r="O22" i="55"/>
  <c r="U21" i="55"/>
  <c r="O21" i="55"/>
  <c r="U20" i="55"/>
  <c r="O20" i="55"/>
  <c r="U19" i="55"/>
  <c r="O19" i="55"/>
  <c r="U18" i="55"/>
  <c r="O18" i="55"/>
  <c r="U17" i="55"/>
  <c r="O17" i="55"/>
  <c r="U16" i="55"/>
  <c r="O16" i="55"/>
  <c r="U15" i="55"/>
  <c r="O15" i="55"/>
  <c r="U14" i="55"/>
  <c r="O14" i="55"/>
  <c r="U13" i="55"/>
  <c r="O13" i="55"/>
  <c r="B13" i="55"/>
  <c r="B14" i="55" s="1"/>
  <c r="B15" i="55" s="1"/>
  <c r="B16" i="55" s="1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B31" i="55" s="1"/>
  <c r="B32" i="55" s="1"/>
  <c r="B33" i="55" s="1"/>
  <c r="B34" i="55" s="1"/>
  <c r="B35" i="55" s="1"/>
  <c r="B36" i="55" s="1"/>
  <c r="B37" i="55" s="1"/>
  <c r="B38" i="55" s="1"/>
  <c r="B39" i="55" s="1"/>
  <c r="B40" i="55" s="1"/>
  <c r="B41" i="55" s="1"/>
  <c r="B42" i="55" s="1"/>
  <c r="B43" i="55" s="1"/>
  <c r="B44" i="55" s="1"/>
  <c r="B45" i="55" s="1"/>
  <c r="B46" i="55" s="1"/>
  <c r="B47" i="55" s="1"/>
  <c r="B48" i="55" s="1"/>
  <c r="B49" i="55" s="1"/>
  <c r="B50" i="55" s="1"/>
  <c r="B51" i="55" s="1"/>
  <c r="B52" i="55" s="1"/>
  <c r="B53" i="55" s="1"/>
  <c r="B54" i="55" s="1"/>
  <c r="B55" i="55" s="1"/>
  <c r="B56" i="55" s="1"/>
  <c r="B57" i="55" s="1"/>
  <c r="B58" i="55" s="1"/>
  <c r="B59" i="55" s="1"/>
  <c r="B60" i="55" s="1"/>
  <c r="B61" i="55" s="1"/>
  <c r="B62" i="55" s="1"/>
  <c r="B63" i="55" s="1"/>
  <c r="B64" i="55" s="1"/>
  <c r="B65" i="55" s="1"/>
  <c r="B66" i="55" s="1"/>
  <c r="B67" i="55" s="1"/>
  <c r="B68" i="55" s="1"/>
  <c r="B69" i="55" s="1"/>
  <c r="B70" i="55" s="1"/>
  <c r="B71" i="55" s="1"/>
  <c r="B72" i="55" s="1"/>
  <c r="B73" i="55" s="1"/>
  <c r="B74" i="55" s="1"/>
  <c r="B75" i="55" s="1"/>
  <c r="B76" i="55" s="1"/>
  <c r="B77" i="55" s="1"/>
  <c r="B78" i="55" s="1"/>
  <c r="B79" i="55" s="1"/>
  <c r="B80" i="55" s="1"/>
  <c r="B81" i="55" s="1"/>
  <c r="B82" i="55" s="1"/>
  <c r="B83" i="55" s="1"/>
  <c r="B84" i="55" s="1"/>
  <c r="B85" i="55" s="1"/>
  <c r="B86" i="55" s="1"/>
  <c r="B87" i="55" s="1"/>
  <c r="B88" i="55" s="1"/>
  <c r="B89" i="55" s="1"/>
  <c r="B90" i="55" s="1"/>
  <c r="B91" i="55" s="1"/>
  <c r="B92" i="55" s="1"/>
  <c r="B93" i="55" s="1"/>
  <c r="B94" i="55" s="1"/>
  <c r="B95" i="55" s="1"/>
  <c r="B96" i="55" s="1"/>
  <c r="B97" i="55" s="1"/>
  <c r="B98" i="55" s="1"/>
  <c r="B99" i="55" s="1"/>
  <c r="B100" i="55" s="1"/>
  <c r="B101" i="55" s="1"/>
  <c r="B102" i="55" s="1"/>
  <c r="U12" i="55"/>
  <c r="O12" i="55"/>
  <c r="U11" i="55"/>
  <c r="O11" i="55"/>
  <c r="B11" i="55"/>
  <c r="S105" i="55"/>
  <c r="N105" i="55"/>
  <c r="H9" i="55"/>
  <c r="I9" i="55"/>
  <c r="J9" i="55" s="1"/>
  <c r="K9" i="55" s="1"/>
  <c r="L9" i="55" s="1"/>
  <c r="M9" i="55" s="1"/>
  <c r="N9" i="55" s="1"/>
  <c r="O9" i="55" s="1"/>
  <c r="P9" i="55" s="1"/>
  <c r="Q9" i="55" s="1"/>
  <c r="R9" i="55" s="1"/>
  <c r="S9" i="55" s="1"/>
  <c r="T9" i="55" s="1"/>
  <c r="U9" i="55" s="1"/>
  <c r="T102" i="54"/>
  <c r="T101" i="54"/>
  <c r="T100" i="54"/>
  <c r="T99" i="54"/>
  <c r="T98" i="54"/>
  <c r="T95" i="54"/>
  <c r="T94" i="54"/>
  <c r="T93" i="54"/>
  <c r="T91" i="54"/>
  <c r="T89" i="54"/>
  <c r="T87" i="54"/>
  <c r="T85" i="54"/>
  <c r="T83" i="54"/>
  <c r="T82" i="54"/>
  <c r="T80" i="54"/>
  <c r="T79" i="54"/>
  <c r="T78" i="54"/>
  <c r="T76" i="54"/>
  <c r="T75" i="54"/>
  <c r="T73" i="54"/>
  <c r="T72" i="54"/>
  <c r="T71" i="54"/>
  <c r="T70" i="54"/>
  <c r="T67" i="54"/>
  <c r="T65" i="54"/>
  <c r="T64" i="54"/>
  <c r="T63" i="54"/>
  <c r="T60" i="54"/>
  <c r="T56" i="54"/>
  <c r="T55" i="54"/>
  <c r="T54" i="54"/>
  <c r="T52" i="54"/>
  <c r="T51" i="54"/>
  <c r="T50" i="54"/>
  <c r="T49" i="54"/>
  <c r="T48" i="54"/>
  <c r="T47" i="54"/>
  <c r="T44" i="54"/>
  <c r="T41" i="54"/>
  <c r="T40" i="54"/>
  <c r="T38" i="54"/>
  <c r="T37" i="54"/>
  <c r="T36" i="54"/>
  <c r="T35" i="54"/>
  <c r="T31" i="54"/>
  <c r="T29" i="54"/>
  <c r="T26" i="54"/>
  <c r="T25" i="54"/>
  <c r="T23" i="54"/>
  <c r="T22" i="54"/>
  <c r="T21" i="54"/>
  <c r="T20" i="54"/>
  <c r="T19" i="54"/>
  <c r="T18" i="54"/>
  <c r="T15" i="54"/>
  <c r="T14" i="54"/>
  <c r="T13" i="54"/>
  <c r="T11" i="54"/>
  <c r="T10" i="54"/>
  <c r="N103" i="54"/>
  <c r="N102" i="54"/>
  <c r="N101" i="54"/>
  <c r="N100" i="54"/>
  <c r="N99" i="54"/>
  <c r="N98" i="54"/>
  <c r="N97" i="54"/>
  <c r="N96" i="54"/>
  <c r="N95" i="54"/>
  <c r="N94" i="54"/>
  <c r="N93" i="54"/>
  <c r="N92" i="54"/>
  <c r="N91" i="54"/>
  <c r="N90" i="54"/>
  <c r="N89" i="54"/>
  <c r="N87" i="54"/>
  <c r="N86" i="54"/>
  <c r="N85" i="54"/>
  <c r="N84" i="54"/>
  <c r="N83" i="54"/>
  <c r="N82" i="54"/>
  <c r="N81" i="54"/>
  <c r="N80" i="54"/>
  <c r="N79" i="54"/>
  <c r="N77" i="54"/>
  <c r="N76" i="54"/>
  <c r="N75" i="54"/>
  <c r="N73" i="54"/>
  <c r="N72" i="54"/>
  <c r="N71" i="54"/>
  <c r="N70" i="54"/>
  <c r="N69" i="54"/>
  <c r="N67" i="54"/>
  <c r="N66" i="54"/>
  <c r="N65" i="54"/>
  <c r="N64" i="54"/>
  <c r="N61" i="54"/>
  <c r="N60" i="54"/>
  <c r="N57" i="54"/>
  <c r="N56" i="54"/>
  <c r="N54" i="54"/>
  <c r="N53" i="54"/>
  <c r="N52" i="54"/>
  <c r="N51" i="54"/>
  <c r="N50" i="54"/>
  <c r="N48" i="54"/>
  <c r="N47" i="54"/>
  <c r="N46" i="54"/>
  <c r="N44" i="54"/>
  <c r="N43" i="54"/>
  <c r="N42" i="54"/>
  <c r="N41" i="54"/>
  <c r="N40" i="54"/>
  <c r="N39" i="54"/>
  <c r="N38" i="54"/>
  <c r="N37" i="54"/>
  <c r="N36" i="54"/>
  <c r="N35" i="54"/>
  <c r="N34" i="54"/>
  <c r="N33" i="54"/>
  <c r="N29" i="54"/>
  <c r="N27" i="54"/>
  <c r="N26" i="54"/>
  <c r="N25" i="54"/>
  <c r="N24" i="54"/>
  <c r="N23" i="54"/>
  <c r="N22" i="54"/>
  <c r="N21" i="54"/>
  <c r="N20" i="54"/>
  <c r="N19" i="54"/>
  <c r="N18" i="54"/>
  <c r="N17" i="54"/>
  <c r="N14" i="54"/>
  <c r="N11" i="54"/>
  <c r="N10" i="54"/>
  <c r="R105" i="54"/>
  <c r="Q105" i="54"/>
  <c r="P105" i="54"/>
  <c r="L105" i="54"/>
  <c r="K105" i="54"/>
  <c r="J105" i="54"/>
  <c r="I105" i="54"/>
  <c r="H105" i="54"/>
  <c r="U104" i="54"/>
  <c r="O104" i="54"/>
  <c r="U103" i="54"/>
  <c r="M103" i="54"/>
  <c r="O103" i="54" s="1"/>
  <c r="S102" i="54"/>
  <c r="U102" i="54" s="1"/>
  <c r="M102" i="54"/>
  <c r="O102" i="54" s="1"/>
  <c r="S101" i="54"/>
  <c r="U101" i="54" s="1"/>
  <c r="M101" i="54"/>
  <c r="O101" i="54" s="1"/>
  <c r="S100" i="54"/>
  <c r="U100" i="54" s="1"/>
  <c r="M100" i="54"/>
  <c r="O100" i="54" s="1"/>
  <c r="S99" i="54"/>
  <c r="U99" i="54" s="1"/>
  <c r="M99" i="54"/>
  <c r="O99" i="54" s="1"/>
  <c r="S98" i="54"/>
  <c r="U98" i="54" s="1"/>
  <c r="M98" i="54"/>
  <c r="O98" i="54" s="1"/>
  <c r="U97" i="54"/>
  <c r="M97" i="54"/>
  <c r="O97" i="54"/>
  <c r="U96" i="54"/>
  <c r="M96" i="54"/>
  <c r="O96" i="54" s="1"/>
  <c r="S95" i="54"/>
  <c r="U95" i="54" s="1"/>
  <c r="M95" i="54"/>
  <c r="O95" i="54" s="1"/>
  <c r="S94" i="54"/>
  <c r="U94" i="54" s="1"/>
  <c r="M94" i="54"/>
  <c r="O94" i="54" s="1"/>
  <c r="S93" i="54"/>
  <c r="U93" i="54" s="1"/>
  <c r="M93" i="54"/>
  <c r="O93" i="54" s="1"/>
  <c r="U92" i="54"/>
  <c r="M92" i="54"/>
  <c r="O92" i="54"/>
  <c r="S91" i="54"/>
  <c r="U91" i="54"/>
  <c r="M91" i="54"/>
  <c r="O91" i="54"/>
  <c r="U90" i="54"/>
  <c r="M90" i="54"/>
  <c r="O90" i="54" s="1"/>
  <c r="S89" i="54"/>
  <c r="U89" i="54" s="1"/>
  <c r="M89" i="54"/>
  <c r="O89" i="54" s="1"/>
  <c r="U88" i="54"/>
  <c r="O88" i="54"/>
  <c r="S87" i="54"/>
  <c r="U87" i="54" s="1"/>
  <c r="M87" i="54"/>
  <c r="O87" i="54" s="1"/>
  <c r="U86" i="54"/>
  <c r="M86" i="54"/>
  <c r="O86" i="54"/>
  <c r="S85" i="54"/>
  <c r="U85" i="54"/>
  <c r="M85" i="54"/>
  <c r="O85" i="54"/>
  <c r="U84" i="54"/>
  <c r="M84" i="54"/>
  <c r="O84" i="54" s="1"/>
  <c r="S83" i="54"/>
  <c r="U83" i="54"/>
  <c r="M83" i="54"/>
  <c r="O83" i="54"/>
  <c r="S82" i="54"/>
  <c r="U82" i="54"/>
  <c r="M82" i="54"/>
  <c r="O82" i="54"/>
  <c r="U81" i="54"/>
  <c r="M81" i="54"/>
  <c r="O81" i="54" s="1"/>
  <c r="S80" i="54"/>
  <c r="U80" i="54" s="1"/>
  <c r="M80" i="54"/>
  <c r="O80" i="54" s="1"/>
  <c r="S79" i="54"/>
  <c r="U79" i="54" s="1"/>
  <c r="M79" i="54"/>
  <c r="O79" i="54" s="1"/>
  <c r="S78" i="54"/>
  <c r="U78" i="54" s="1"/>
  <c r="O78" i="54"/>
  <c r="U77" i="54"/>
  <c r="M77" i="54"/>
  <c r="O77" i="54" s="1"/>
  <c r="S76" i="54"/>
  <c r="U76" i="54" s="1"/>
  <c r="M76" i="54"/>
  <c r="O76" i="54" s="1"/>
  <c r="S75" i="54"/>
  <c r="U75" i="54" s="1"/>
  <c r="M75" i="54"/>
  <c r="O75" i="54" s="1"/>
  <c r="U74" i="54"/>
  <c r="O74" i="54"/>
  <c r="S73" i="54"/>
  <c r="U73" i="54" s="1"/>
  <c r="M73" i="54"/>
  <c r="O73" i="54" s="1"/>
  <c r="S72" i="54"/>
  <c r="U72" i="54" s="1"/>
  <c r="M72" i="54"/>
  <c r="O72" i="54" s="1"/>
  <c r="S71" i="54"/>
  <c r="U71" i="54" s="1"/>
  <c r="M71" i="54"/>
  <c r="O71" i="54" s="1"/>
  <c r="S70" i="54"/>
  <c r="U70" i="54" s="1"/>
  <c r="M70" i="54"/>
  <c r="O70" i="54" s="1"/>
  <c r="U69" i="54"/>
  <c r="M69" i="54"/>
  <c r="O69" i="54"/>
  <c r="U68" i="54"/>
  <c r="O68" i="54"/>
  <c r="S67" i="54"/>
  <c r="U67" i="54"/>
  <c r="M67" i="54"/>
  <c r="O67" i="54"/>
  <c r="U66" i="54"/>
  <c r="M66" i="54"/>
  <c r="O66" i="54" s="1"/>
  <c r="S65" i="54"/>
  <c r="U65" i="54" s="1"/>
  <c r="M65" i="54"/>
  <c r="O65" i="54" s="1"/>
  <c r="S64" i="54"/>
  <c r="U64" i="54" s="1"/>
  <c r="M64" i="54"/>
  <c r="O64" i="54" s="1"/>
  <c r="S63" i="54"/>
  <c r="U63" i="54" s="1"/>
  <c r="O63" i="54"/>
  <c r="U62" i="54"/>
  <c r="O62" i="54"/>
  <c r="U61" i="54"/>
  <c r="M61" i="54"/>
  <c r="O61" i="54" s="1"/>
  <c r="S60" i="54"/>
  <c r="U60" i="54" s="1"/>
  <c r="M60" i="54"/>
  <c r="O60" i="54" s="1"/>
  <c r="U59" i="54"/>
  <c r="O59" i="54"/>
  <c r="U58" i="54"/>
  <c r="O58" i="54"/>
  <c r="U57" i="54"/>
  <c r="M57" i="54"/>
  <c r="O57" i="54"/>
  <c r="S56" i="54"/>
  <c r="U56" i="54"/>
  <c r="M56" i="54"/>
  <c r="O56" i="54"/>
  <c r="S55" i="54"/>
  <c r="U55" i="54"/>
  <c r="O55" i="54"/>
  <c r="S54" i="54"/>
  <c r="U54" i="54" s="1"/>
  <c r="M54" i="54"/>
  <c r="O54" i="54" s="1"/>
  <c r="U53" i="54"/>
  <c r="M53" i="54"/>
  <c r="O53" i="54"/>
  <c r="S52" i="54"/>
  <c r="U52" i="54"/>
  <c r="M52" i="54"/>
  <c r="O52" i="54" s="1"/>
  <c r="S51" i="54"/>
  <c r="U51" i="54"/>
  <c r="M51" i="54"/>
  <c r="O51" i="54"/>
  <c r="S50" i="54"/>
  <c r="U50" i="54"/>
  <c r="M50" i="54"/>
  <c r="O50" i="54"/>
  <c r="S49" i="54"/>
  <c r="U49" i="54"/>
  <c r="O49" i="54"/>
  <c r="S48" i="54"/>
  <c r="U48" i="54" s="1"/>
  <c r="M48" i="54"/>
  <c r="O48" i="54" s="1"/>
  <c r="S47" i="54"/>
  <c r="U47" i="54" s="1"/>
  <c r="M47" i="54"/>
  <c r="O47" i="54" s="1"/>
  <c r="U46" i="54"/>
  <c r="M46" i="54"/>
  <c r="O46" i="54"/>
  <c r="U45" i="54"/>
  <c r="O45" i="54"/>
  <c r="S44" i="54"/>
  <c r="U44" i="54"/>
  <c r="M44" i="54"/>
  <c r="O44" i="54"/>
  <c r="U43" i="54"/>
  <c r="M43" i="54"/>
  <c r="O43" i="54" s="1"/>
  <c r="U42" i="54"/>
  <c r="M42" i="54"/>
  <c r="O42" i="54"/>
  <c r="S41" i="54"/>
  <c r="U41" i="54"/>
  <c r="M41" i="54"/>
  <c r="O41" i="54"/>
  <c r="S40" i="54"/>
  <c r="U40" i="54"/>
  <c r="M40" i="54"/>
  <c r="O40" i="54"/>
  <c r="U39" i="54"/>
  <c r="M39" i="54"/>
  <c r="O39" i="54" s="1"/>
  <c r="S38" i="54"/>
  <c r="U38" i="54" s="1"/>
  <c r="M38" i="54"/>
  <c r="O38" i="54" s="1"/>
  <c r="S37" i="54"/>
  <c r="U37" i="54" s="1"/>
  <c r="M37" i="54"/>
  <c r="O37" i="54" s="1"/>
  <c r="S36" i="54"/>
  <c r="U36" i="54" s="1"/>
  <c r="M36" i="54"/>
  <c r="O36" i="54" s="1"/>
  <c r="S35" i="54"/>
  <c r="U35" i="54" s="1"/>
  <c r="M35" i="54"/>
  <c r="O35" i="54" s="1"/>
  <c r="U34" i="54"/>
  <c r="M34" i="54"/>
  <c r="O34" i="54"/>
  <c r="U33" i="54"/>
  <c r="M33" i="54"/>
  <c r="O33" i="54" s="1"/>
  <c r="U32" i="54"/>
  <c r="O32" i="54"/>
  <c r="S31" i="54"/>
  <c r="U31" i="54" s="1"/>
  <c r="O31" i="54"/>
  <c r="U30" i="54"/>
  <c r="O30" i="54"/>
  <c r="S29" i="54"/>
  <c r="U29" i="54"/>
  <c r="M29" i="54"/>
  <c r="O29" i="54"/>
  <c r="U28" i="54"/>
  <c r="O28" i="54"/>
  <c r="U27" i="54"/>
  <c r="M27" i="54"/>
  <c r="O27" i="54" s="1"/>
  <c r="S26" i="54"/>
  <c r="U26" i="54" s="1"/>
  <c r="M26" i="54"/>
  <c r="O26" i="54" s="1"/>
  <c r="S25" i="54"/>
  <c r="U25" i="54" s="1"/>
  <c r="M25" i="54"/>
  <c r="O25" i="54" s="1"/>
  <c r="U24" i="54"/>
  <c r="M24" i="54"/>
  <c r="O24" i="54"/>
  <c r="S23" i="54"/>
  <c r="U23" i="54"/>
  <c r="M23" i="54"/>
  <c r="O23" i="54"/>
  <c r="S22" i="54"/>
  <c r="U22" i="54"/>
  <c r="M22" i="54"/>
  <c r="O22" i="54"/>
  <c r="S21" i="54"/>
  <c r="U21" i="54"/>
  <c r="M21" i="54"/>
  <c r="O21" i="54"/>
  <c r="S20" i="54"/>
  <c r="U20" i="54"/>
  <c r="M20" i="54"/>
  <c r="O20" i="54"/>
  <c r="S19" i="54"/>
  <c r="U19" i="54"/>
  <c r="M19" i="54"/>
  <c r="O19" i="54"/>
  <c r="S18" i="54"/>
  <c r="U18" i="54"/>
  <c r="M18" i="54"/>
  <c r="O18" i="54"/>
  <c r="U17" i="54"/>
  <c r="M17" i="54"/>
  <c r="O17" i="54" s="1"/>
  <c r="U16" i="54"/>
  <c r="O16" i="54"/>
  <c r="S15" i="54"/>
  <c r="U15" i="54" s="1"/>
  <c r="O15" i="54"/>
  <c r="S14" i="54"/>
  <c r="U14" i="54"/>
  <c r="M14" i="54"/>
  <c r="O14" i="54"/>
  <c r="S13" i="54"/>
  <c r="U13" i="54"/>
  <c r="N105" i="54"/>
  <c r="B13" i="54"/>
  <c r="B14" i="54" s="1"/>
  <c r="B15" i="54" s="1"/>
  <c r="B16" i="54" s="1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B31" i="54" s="1"/>
  <c r="B32" i="54" s="1"/>
  <c r="B33" i="54" s="1"/>
  <c r="B34" i="54" s="1"/>
  <c r="B35" i="54" s="1"/>
  <c r="B36" i="54" s="1"/>
  <c r="B37" i="54" s="1"/>
  <c r="B38" i="54" s="1"/>
  <c r="B39" i="54" s="1"/>
  <c r="B40" i="54" s="1"/>
  <c r="B41" i="54" s="1"/>
  <c r="B42" i="54" s="1"/>
  <c r="B43" i="54" s="1"/>
  <c r="B44" i="54" s="1"/>
  <c r="B45" i="54" s="1"/>
  <c r="B46" i="54" s="1"/>
  <c r="B47" i="54" s="1"/>
  <c r="B48" i="54" s="1"/>
  <c r="B49" i="54" s="1"/>
  <c r="B50" i="54" s="1"/>
  <c r="B51" i="54" s="1"/>
  <c r="B52" i="54" s="1"/>
  <c r="B53" i="54" s="1"/>
  <c r="B54" i="54" s="1"/>
  <c r="B55" i="54" s="1"/>
  <c r="B56" i="54" s="1"/>
  <c r="B57" i="54" s="1"/>
  <c r="B58" i="54" s="1"/>
  <c r="B59" i="54" s="1"/>
  <c r="B60" i="54" s="1"/>
  <c r="B61" i="54" s="1"/>
  <c r="B62" i="54" s="1"/>
  <c r="B63" i="54" s="1"/>
  <c r="B64" i="54" s="1"/>
  <c r="B65" i="54" s="1"/>
  <c r="B66" i="54" s="1"/>
  <c r="B67" i="54" s="1"/>
  <c r="B68" i="54" s="1"/>
  <c r="B69" i="54" s="1"/>
  <c r="B70" i="54" s="1"/>
  <c r="B71" i="54" s="1"/>
  <c r="B72" i="54" s="1"/>
  <c r="B73" i="54" s="1"/>
  <c r="B74" i="54" s="1"/>
  <c r="B75" i="54" s="1"/>
  <c r="B76" i="54" s="1"/>
  <c r="B77" i="54" s="1"/>
  <c r="B78" i="54" s="1"/>
  <c r="B79" i="54" s="1"/>
  <c r="B80" i="54" s="1"/>
  <c r="B81" i="54" s="1"/>
  <c r="B82" i="54" s="1"/>
  <c r="B83" i="54" s="1"/>
  <c r="B84" i="54" s="1"/>
  <c r="B85" i="54" s="1"/>
  <c r="B86" i="54" s="1"/>
  <c r="B87" i="54" s="1"/>
  <c r="B88" i="54" s="1"/>
  <c r="B89" i="54" s="1"/>
  <c r="B90" i="54" s="1"/>
  <c r="B91" i="54" s="1"/>
  <c r="B92" i="54" s="1"/>
  <c r="B93" i="54" s="1"/>
  <c r="B94" i="54" s="1"/>
  <c r="B95" i="54" s="1"/>
  <c r="B96" i="54" s="1"/>
  <c r="B97" i="54" s="1"/>
  <c r="B98" i="54" s="1"/>
  <c r="B99" i="54" s="1"/>
  <c r="B100" i="54" s="1"/>
  <c r="B101" i="54" s="1"/>
  <c r="B102" i="54" s="1"/>
  <c r="U12" i="54"/>
  <c r="O12" i="54"/>
  <c r="S11" i="54"/>
  <c r="U11" i="54" s="1"/>
  <c r="M11" i="54"/>
  <c r="O11" i="54" s="1"/>
  <c r="B11" i="54"/>
  <c r="S10" i="54"/>
  <c r="S105" i="54"/>
  <c r="M10" i="54"/>
  <c r="M105" i="54"/>
  <c r="H9" i="54"/>
  <c r="I9" i="54"/>
  <c r="J9" i="54" s="1"/>
  <c r="K9" i="54" s="1"/>
  <c r="L9" i="54" s="1"/>
  <c r="M9" i="54" s="1"/>
  <c r="N9" i="54" s="1"/>
  <c r="O9" i="54" s="1"/>
  <c r="P9" i="54" s="1"/>
  <c r="Q9" i="54" s="1"/>
  <c r="R9" i="54" s="1"/>
  <c r="S9" i="54" s="1"/>
  <c r="T9" i="54" s="1"/>
  <c r="U9" i="54" s="1"/>
  <c r="R105" i="53"/>
  <c r="Q105" i="53"/>
  <c r="P105" i="53"/>
  <c r="L105" i="53"/>
  <c r="K105" i="53"/>
  <c r="J105" i="53"/>
  <c r="I105" i="53"/>
  <c r="H105" i="53"/>
  <c r="U104" i="53"/>
  <c r="O104" i="53"/>
  <c r="U103" i="53"/>
  <c r="N103" i="53"/>
  <c r="M103" i="53"/>
  <c r="O103" i="53"/>
  <c r="T102" i="53"/>
  <c r="S102" i="53"/>
  <c r="U102" i="53" s="1"/>
  <c r="N102" i="53"/>
  <c r="M102" i="53"/>
  <c r="O102" i="53"/>
  <c r="T101" i="53"/>
  <c r="S101" i="53"/>
  <c r="U101" i="53" s="1"/>
  <c r="N101" i="53"/>
  <c r="M101" i="53"/>
  <c r="O101" i="53"/>
  <c r="T100" i="53"/>
  <c r="S100" i="53"/>
  <c r="U100" i="53" s="1"/>
  <c r="N100" i="53"/>
  <c r="M100" i="53"/>
  <c r="O100" i="53"/>
  <c r="T99" i="53"/>
  <c r="S99" i="53"/>
  <c r="U99" i="53" s="1"/>
  <c r="N99" i="53"/>
  <c r="M99" i="53"/>
  <c r="O99" i="53"/>
  <c r="T98" i="53"/>
  <c r="S98" i="53"/>
  <c r="U98" i="53" s="1"/>
  <c r="N98" i="53"/>
  <c r="M98" i="53"/>
  <c r="O98" i="53"/>
  <c r="U97" i="53"/>
  <c r="N97" i="53"/>
  <c r="M97" i="53"/>
  <c r="O97" i="53"/>
  <c r="U96" i="53"/>
  <c r="N96" i="53"/>
  <c r="M96" i="53"/>
  <c r="O96" i="53"/>
  <c r="T95" i="53"/>
  <c r="S95" i="53"/>
  <c r="U95" i="53" s="1"/>
  <c r="N95" i="53"/>
  <c r="M95" i="53"/>
  <c r="O95" i="53"/>
  <c r="T94" i="53"/>
  <c r="S94" i="53"/>
  <c r="U94" i="53" s="1"/>
  <c r="N94" i="53"/>
  <c r="M94" i="53"/>
  <c r="O94" i="53"/>
  <c r="T93" i="53"/>
  <c r="S93" i="53"/>
  <c r="U93" i="53" s="1"/>
  <c r="N93" i="53"/>
  <c r="M93" i="53"/>
  <c r="O93" i="53"/>
  <c r="U92" i="53"/>
  <c r="N92" i="53"/>
  <c r="M92" i="53"/>
  <c r="O92" i="53"/>
  <c r="T91" i="53"/>
  <c r="S91" i="53"/>
  <c r="U91" i="53" s="1"/>
  <c r="N91" i="53"/>
  <c r="M91" i="53"/>
  <c r="O91" i="53"/>
  <c r="U90" i="53"/>
  <c r="N90" i="53"/>
  <c r="M90" i="53"/>
  <c r="O90" i="53"/>
  <c r="T89" i="53"/>
  <c r="S89" i="53"/>
  <c r="U89" i="53" s="1"/>
  <c r="N89" i="53"/>
  <c r="M89" i="53"/>
  <c r="O89" i="53"/>
  <c r="U88" i="53"/>
  <c r="O88" i="53"/>
  <c r="T87" i="53"/>
  <c r="S87" i="53"/>
  <c r="U87" i="53" s="1"/>
  <c r="N87" i="53"/>
  <c r="M87" i="53"/>
  <c r="O87" i="53"/>
  <c r="U86" i="53"/>
  <c r="N86" i="53"/>
  <c r="M86" i="53"/>
  <c r="O86" i="53"/>
  <c r="T85" i="53"/>
  <c r="S85" i="53"/>
  <c r="U85" i="53" s="1"/>
  <c r="N85" i="53"/>
  <c r="M85" i="53"/>
  <c r="O85" i="53"/>
  <c r="U84" i="53"/>
  <c r="N84" i="53"/>
  <c r="M84" i="53"/>
  <c r="O84" i="53"/>
  <c r="T83" i="53"/>
  <c r="S83" i="53"/>
  <c r="U83" i="53" s="1"/>
  <c r="N83" i="53"/>
  <c r="M83" i="53"/>
  <c r="O83" i="53"/>
  <c r="T82" i="53"/>
  <c r="S82" i="53"/>
  <c r="U82" i="53" s="1"/>
  <c r="N82" i="53"/>
  <c r="M82" i="53"/>
  <c r="O82" i="53"/>
  <c r="U81" i="53"/>
  <c r="N81" i="53"/>
  <c r="M81" i="53"/>
  <c r="O81" i="53"/>
  <c r="T80" i="53"/>
  <c r="S80" i="53"/>
  <c r="U80" i="53" s="1"/>
  <c r="N80" i="53"/>
  <c r="M80" i="53"/>
  <c r="O80" i="53"/>
  <c r="T79" i="53"/>
  <c r="S79" i="53"/>
  <c r="U79" i="53" s="1"/>
  <c r="N79" i="53"/>
  <c r="M79" i="53"/>
  <c r="O79" i="53"/>
  <c r="T78" i="53"/>
  <c r="S78" i="53"/>
  <c r="U78" i="53" s="1"/>
  <c r="O78" i="53"/>
  <c r="U77" i="53"/>
  <c r="M77" i="53"/>
  <c r="O77" i="53" s="1"/>
  <c r="S76" i="53"/>
  <c r="U76" i="53" s="1"/>
  <c r="N76" i="53"/>
  <c r="M76" i="53"/>
  <c r="O76" i="53"/>
  <c r="T75" i="53"/>
  <c r="S75" i="53"/>
  <c r="U75" i="53" s="1"/>
  <c r="N75" i="53"/>
  <c r="M75" i="53"/>
  <c r="O75" i="53"/>
  <c r="U74" i="53"/>
  <c r="O74" i="53"/>
  <c r="S73" i="53"/>
  <c r="U73" i="53"/>
  <c r="M73" i="53"/>
  <c r="O73" i="53"/>
  <c r="T72" i="53"/>
  <c r="S72" i="53"/>
  <c r="U72" i="53" s="1"/>
  <c r="N72" i="53"/>
  <c r="M72" i="53"/>
  <c r="O72" i="53"/>
  <c r="T71" i="53"/>
  <c r="S71" i="53"/>
  <c r="U71" i="53" s="1"/>
  <c r="N71" i="53"/>
  <c r="M71" i="53"/>
  <c r="O71" i="53"/>
  <c r="S70" i="53"/>
  <c r="U70" i="53"/>
  <c r="N70" i="53"/>
  <c r="M70" i="53"/>
  <c r="O70" i="53" s="1"/>
  <c r="U69" i="53"/>
  <c r="N69" i="53"/>
  <c r="M69" i="53"/>
  <c r="O69" i="53" s="1"/>
  <c r="U68" i="53"/>
  <c r="N68" i="53"/>
  <c r="O68" i="53"/>
  <c r="T67" i="53"/>
  <c r="S67" i="53"/>
  <c r="U67" i="53" s="1"/>
  <c r="N67" i="53"/>
  <c r="M67" i="53"/>
  <c r="O67" i="53"/>
  <c r="U66" i="53"/>
  <c r="N66" i="53"/>
  <c r="M66" i="53"/>
  <c r="O66" i="53"/>
  <c r="T65" i="53"/>
  <c r="S65" i="53"/>
  <c r="U65" i="53" s="1"/>
  <c r="N65" i="53"/>
  <c r="M65" i="53"/>
  <c r="O65" i="53"/>
  <c r="T64" i="53"/>
  <c r="S64" i="53"/>
  <c r="U64" i="53" s="1"/>
  <c r="N64" i="53"/>
  <c r="M64" i="53"/>
  <c r="O64" i="53"/>
  <c r="T63" i="53"/>
  <c r="S63" i="53"/>
  <c r="U63" i="53" s="1"/>
  <c r="O63" i="53"/>
  <c r="U62" i="53"/>
  <c r="O62" i="53"/>
  <c r="U61" i="53"/>
  <c r="N61" i="53"/>
  <c r="M61" i="53"/>
  <c r="O61" i="53"/>
  <c r="T60" i="53"/>
  <c r="S60" i="53"/>
  <c r="U60" i="53" s="1"/>
  <c r="N60" i="53"/>
  <c r="M60" i="53"/>
  <c r="O60" i="53"/>
  <c r="U59" i="53"/>
  <c r="O59" i="53"/>
  <c r="U58" i="53"/>
  <c r="O58" i="53"/>
  <c r="U57" i="53"/>
  <c r="N57" i="53"/>
  <c r="M57" i="53"/>
  <c r="O57" i="53"/>
  <c r="T56" i="53"/>
  <c r="S56" i="53"/>
  <c r="U56" i="53" s="1"/>
  <c r="N56" i="53"/>
  <c r="M56" i="53"/>
  <c r="O56" i="53"/>
  <c r="T55" i="53"/>
  <c r="S55" i="53"/>
  <c r="U55" i="53" s="1"/>
  <c r="O55" i="53"/>
  <c r="T54" i="53"/>
  <c r="S54" i="53"/>
  <c r="U54" i="53" s="1"/>
  <c r="N54" i="53"/>
  <c r="M54" i="53"/>
  <c r="O54" i="53"/>
  <c r="U53" i="53"/>
  <c r="N53" i="53"/>
  <c r="M53" i="53"/>
  <c r="O53" i="53"/>
  <c r="T52" i="53"/>
  <c r="S52" i="53"/>
  <c r="U52" i="53" s="1"/>
  <c r="M52" i="53"/>
  <c r="O52" i="53" s="1"/>
  <c r="T51" i="53"/>
  <c r="S51" i="53"/>
  <c r="U51" i="53"/>
  <c r="N51" i="53"/>
  <c r="M51" i="53"/>
  <c r="O51" i="53" s="1"/>
  <c r="T50" i="53"/>
  <c r="S50" i="53"/>
  <c r="U50" i="53"/>
  <c r="N50" i="53"/>
  <c r="M50" i="53"/>
  <c r="O50" i="53" s="1"/>
  <c r="T49" i="53"/>
  <c r="S49" i="53"/>
  <c r="U49" i="53"/>
  <c r="N49" i="53"/>
  <c r="O49" i="53"/>
  <c r="T48" i="53"/>
  <c r="S48" i="53"/>
  <c r="U48" i="53" s="1"/>
  <c r="N48" i="53"/>
  <c r="M48" i="53"/>
  <c r="O48" i="53"/>
  <c r="S47" i="53"/>
  <c r="U47" i="53"/>
  <c r="N47" i="53"/>
  <c r="M47" i="53"/>
  <c r="O47" i="53" s="1"/>
  <c r="U46" i="53"/>
  <c r="N46" i="53"/>
  <c r="M46" i="53"/>
  <c r="O46" i="53" s="1"/>
  <c r="U45" i="53"/>
  <c r="O45" i="53"/>
  <c r="T44" i="53"/>
  <c r="S44" i="53"/>
  <c r="U44" i="53"/>
  <c r="N44" i="53"/>
  <c r="M44" i="53"/>
  <c r="O44" i="53" s="1"/>
  <c r="U43" i="53"/>
  <c r="N43" i="53"/>
  <c r="M43" i="53"/>
  <c r="O43" i="53" s="1"/>
  <c r="U42" i="53"/>
  <c r="N42" i="53"/>
  <c r="M42" i="53"/>
  <c r="O42" i="53" s="1"/>
  <c r="T41" i="53"/>
  <c r="S41" i="53"/>
  <c r="U41" i="53"/>
  <c r="N41" i="53"/>
  <c r="M41" i="53"/>
  <c r="O41" i="53" s="1"/>
  <c r="T40" i="53"/>
  <c r="S40" i="53"/>
  <c r="U40" i="53"/>
  <c r="N40" i="53"/>
  <c r="M40" i="53"/>
  <c r="O40" i="53" s="1"/>
  <c r="U39" i="53"/>
  <c r="M39" i="53"/>
  <c r="O39" i="53"/>
  <c r="T38" i="53"/>
  <c r="S38" i="53"/>
  <c r="U38" i="53" s="1"/>
  <c r="N38" i="53"/>
  <c r="M38" i="53"/>
  <c r="O38" i="53"/>
  <c r="T37" i="53"/>
  <c r="S37" i="53"/>
  <c r="U37" i="53" s="1"/>
  <c r="N37" i="53"/>
  <c r="M37" i="53"/>
  <c r="O37" i="53"/>
  <c r="S36" i="53"/>
  <c r="U36" i="53"/>
  <c r="N36" i="53"/>
  <c r="M36" i="53"/>
  <c r="O36" i="53" s="1"/>
  <c r="T35" i="53"/>
  <c r="S35" i="53"/>
  <c r="U35" i="53"/>
  <c r="N35" i="53"/>
  <c r="M35" i="53"/>
  <c r="O35" i="53" s="1"/>
  <c r="U34" i="53"/>
  <c r="N34" i="53"/>
  <c r="M34" i="53"/>
  <c r="O34" i="53" s="1"/>
  <c r="U33" i="53"/>
  <c r="N33" i="53"/>
  <c r="M33" i="53"/>
  <c r="O33" i="53" s="1"/>
  <c r="U32" i="53"/>
  <c r="O32" i="53"/>
  <c r="T31" i="53"/>
  <c r="S31" i="53"/>
  <c r="U31" i="53"/>
  <c r="O31" i="53"/>
  <c r="T30" i="53"/>
  <c r="U30" i="53" s="1"/>
  <c r="N30" i="53"/>
  <c r="O30" i="53" s="1"/>
  <c r="T29" i="53"/>
  <c r="S29" i="53"/>
  <c r="U29" i="53"/>
  <c r="N29" i="53"/>
  <c r="M29" i="53"/>
  <c r="O29" i="53" s="1"/>
  <c r="U28" i="53"/>
  <c r="O28" i="53"/>
  <c r="T27" i="53"/>
  <c r="U27" i="53" s="1"/>
  <c r="N27" i="53"/>
  <c r="M27" i="53"/>
  <c r="O27" i="53"/>
  <c r="T26" i="53"/>
  <c r="S26" i="53"/>
  <c r="U26" i="53" s="1"/>
  <c r="N26" i="53"/>
  <c r="M26" i="53"/>
  <c r="O26" i="53"/>
  <c r="T25" i="53"/>
  <c r="S25" i="53"/>
  <c r="U25" i="53" s="1"/>
  <c r="N25" i="53"/>
  <c r="M25" i="53"/>
  <c r="O25" i="53"/>
  <c r="U24" i="53"/>
  <c r="N24" i="53"/>
  <c r="M24" i="53"/>
  <c r="O24" i="53"/>
  <c r="T23" i="53"/>
  <c r="S23" i="53"/>
  <c r="U23" i="53" s="1"/>
  <c r="N23" i="53"/>
  <c r="M23" i="53"/>
  <c r="O23" i="53"/>
  <c r="T22" i="53"/>
  <c r="S22" i="53"/>
  <c r="U22" i="53" s="1"/>
  <c r="N22" i="53"/>
  <c r="M22" i="53"/>
  <c r="O22" i="53"/>
  <c r="T21" i="53"/>
  <c r="S21" i="53"/>
  <c r="U21" i="53" s="1"/>
  <c r="N21" i="53"/>
  <c r="M21" i="53"/>
  <c r="O21" i="53"/>
  <c r="T20" i="53"/>
  <c r="S20" i="53"/>
  <c r="U20" i="53" s="1"/>
  <c r="N20" i="53"/>
  <c r="M20" i="53"/>
  <c r="O20" i="53"/>
  <c r="T19" i="53"/>
  <c r="S19" i="53"/>
  <c r="U19" i="53" s="1"/>
  <c r="N19" i="53"/>
  <c r="M19" i="53"/>
  <c r="O19" i="53"/>
  <c r="T18" i="53"/>
  <c r="S18" i="53"/>
  <c r="U18" i="53" s="1"/>
  <c r="N18" i="53"/>
  <c r="M18" i="53"/>
  <c r="O18" i="53"/>
  <c r="U17" i="53"/>
  <c r="N17" i="53"/>
  <c r="M17" i="53"/>
  <c r="O17" i="53"/>
  <c r="U16" i="53"/>
  <c r="O16" i="53"/>
  <c r="T15" i="53"/>
  <c r="S15" i="53"/>
  <c r="U15" i="53" s="1"/>
  <c r="N15" i="53"/>
  <c r="O15" i="53" s="1"/>
  <c r="T14" i="53"/>
  <c r="S14" i="53"/>
  <c r="U14" i="53"/>
  <c r="N14" i="53"/>
  <c r="M14" i="53"/>
  <c r="O14" i="53" s="1"/>
  <c r="T13" i="53"/>
  <c r="S13" i="53"/>
  <c r="U13" i="53"/>
  <c r="N13" i="53"/>
  <c r="B13" i="53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B63" i="53" s="1"/>
  <c r="B64" i="53" s="1"/>
  <c r="B65" i="53" s="1"/>
  <c r="B66" i="53" s="1"/>
  <c r="B67" i="53" s="1"/>
  <c r="B68" i="53" s="1"/>
  <c r="B69" i="53" s="1"/>
  <c r="B70" i="53" s="1"/>
  <c r="B71" i="53" s="1"/>
  <c r="B72" i="53" s="1"/>
  <c r="B73" i="53" s="1"/>
  <c r="B74" i="53" s="1"/>
  <c r="B75" i="53" s="1"/>
  <c r="B76" i="53" s="1"/>
  <c r="B77" i="53" s="1"/>
  <c r="B78" i="53" s="1"/>
  <c r="B79" i="53" s="1"/>
  <c r="B80" i="53" s="1"/>
  <c r="B81" i="53" s="1"/>
  <c r="B82" i="53" s="1"/>
  <c r="B83" i="53" s="1"/>
  <c r="B84" i="53" s="1"/>
  <c r="B85" i="53" s="1"/>
  <c r="B86" i="53" s="1"/>
  <c r="B87" i="53" s="1"/>
  <c r="B88" i="53" s="1"/>
  <c r="B89" i="53" s="1"/>
  <c r="B90" i="53" s="1"/>
  <c r="B91" i="53" s="1"/>
  <c r="B92" i="53" s="1"/>
  <c r="B93" i="53" s="1"/>
  <c r="B94" i="53" s="1"/>
  <c r="B95" i="53" s="1"/>
  <c r="B96" i="53" s="1"/>
  <c r="B97" i="53" s="1"/>
  <c r="B98" i="53" s="1"/>
  <c r="B99" i="53" s="1"/>
  <c r="B100" i="53" s="1"/>
  <c r="B101" i="53" s="1"/>
  <c r="B102" i="53" s="1"/>
  <c r="U12" i="53"/>
  <c r="O12" i="53"/>
  <c r="T11" i="53"/>
  <c r="S11" i="53"/>
  <c r="U11" i="53"/>
  <c r="M11" i="53"/>
  <c r="O11" i="53"/>
  <c r="B11" i="53"/>
  <c r="T10" i="53"/>
  <c r="T105" i="53" s="1"/>
  <c r="S10" i="53"/>
  <c r="S105" i="53" s="1"/>
  <c r="M10" i="53"/>
  <c r="M105" i="53" s="1"/>
  <c r="H9" i="53"/>
  <c r="I9" i="53" s="1"/>
  <c r="J9" i="53" s="1"/>
  <c r="K9" i="53" s="1"/>
  <c r="L9" i="53" s="1"/>
  <c r="M9" i="53" s="1"/>
  <c r="N9" i="53" s="1"/>
  <c r="O9" i="53" s="1"/>
  <c r="P9" i="53" s="1"/>
  <c r="Q9" i="53" s="1"/>
  <c r="R9" i="53" s="1"/>
  <c r="S9" i="53" s="1"/>
  <c r="T9" i="53" s="1"/>
  <c r="U9" i="53" s="1"/>
  <c r="M93" i="52"/>
  <c r="M54" i="52"/>
  <c r="M21" i="52"/>
  <c r="M50" i="52"/>
  <c r="M100" i="52"/>
  <c r="O100" i="52" s="1"/>
  <c r="S100" i="52"/>
  <c r="S102" i="52"/>
  <c r="M102" i="52"/>
  <c r="M67" i="52"/>
  <c r="O67" i="52" s="1"/>
  <c r="M90" i="52"/>
  <c r="S56" i="52"/>
  <c r="M56" i="52"/>
  <c r="M98" i="52"/>
  <c r="M95" i="52"/>
  <c r="M92" i="52"/>
  <c r="O92" i="52" s="1"/>
  <c r="M91" i="52"/>
  <c r="M79" i="52"/>
  <c r="M77" i="52"/>
  <c r="O77" i="52"/>
  <c r="M75" i="52"/>
  <c r="M70" i="52"/>
  <c r="M69" i="52"/>
  <c r="M64" i="52"/>
  <c r="S52" i="52"/>
  <c r="M52" i="52"/>
  <c r="O52" i="52" s="1"/>
  <c r="M48" i="52"/>
  <c r="O48" i="52" s="1"/>
  <c r="M47" i="52"/>
  <c r="S44" i="52"/>
  <c r="M44" i="52"/>
  <c r="M43" i="52"/>
  <c r="S41" i="52"/>
  <c r="S40" i="52"/>
  <c r="M40" i="52"/>
  <c r="M37" i="52"/>
  <c r="M33" i="52"/>
  <c r="M101" i="52"/>
  <c r="M94" i="52"/>
  <c r="S93" i="52"/>
  <c r="M84" i="52"/>
  <c r="M65" i="52"/>
  <c r="O65" i="52" s="1"/>
  <c r="S71" i="52"/>
  <c r="M71" i="52"/>
  <c r="M61" i="52"/>
  <c r="M42" i="52"/>
  <c r="O42" i="52" s="1"/>
  <c r="M41" i="52"/>
  <c r="S38" i="52"/>
  <c r="M39" i="52"/>
  <c r="M38" i="52"/>
  <c r="M35" i="52"/>
  <c r="M29" i="52"/>
  <c r="M23" i="52"/>
  <c r="S21" i="52"/>
  <c r="M20" i="52"/>
  <c r="M14" i="52"/>
  <c r="M17" i="52"/>
  <c r="M11" i="52"/>
  <c r="M10" i="52"/>
  <c r="O10" i="52"/>
  <c r="N93" i="51"/>
  <c r="N77" i="51"/>
  <c r="R105" i="52"/>
  <c r="Q105" i="52"/>
  <c r="P105" i="52"/>
  <c r="L105" i="52"/>
  <c r="K105" i="52"/>
  <c r="J105" i="52"/>
  <c r="I105" i="52"/>
  <c r="H105" i="52"/>
  <c r="U104" i="52"/>
  <c r="O104" i="52"/>
  <c r="U103" i="52"/>
  <c r="N103" i="52"/>
  <c r="M103" i="52"/>
  <c r="O103" i="52"/>
  <c r="T102" i="52"/>
  <c r="U102" i="52"/>
  <c r="N102" i="52"/>
  <c r="T101" i="52"/>
  <c r="S101" i="52"/>
  <c r="U101" i="52"/>
  <c r="N101" i="52"/>
  <c r="O101" i="52"/>
  <c r="T100" i="52"/>
  <c r="N100" i="52"/>
  <c r="T99" i="52"/>
  <c r="S99" i="52"/>
  <c r="U99" i="52"/>
  <c r="N99" i="52"/>
  <c r="M99" i="52"/>
  <c r="O99" i="52" s="1"/>
  <c r="T98" i="52"/>
  <c r="S98" i="52"/>
  <c r="U98" i="52"/>
  <c r="N98" i="52"/>
  <c r="O98" i="52"/>
  <c r="U97" i="52"/>
  <c r="N97" i="52"/>
  <c r="M97" i="52"/>
  <c r="O97" i="52"/>
  <c r="U96" i="52"/>
  <c r="N96" i="52"/>
  <c r="M96" i="52"/>
  <c r="O96" i="52"/>
  <c r="T95" i="52"/>
  <c r="S95" i="52"/>
  <c r="U95" i="52" s="1"/>
  <c r="N95" i="52"/>
  <c r="T94" i="52"/>
  <c r="S94" i="52"/>
  <c r="U94" i="52" s="1"/>
  <c r="N94" i="52"/>
  <c r="T93" i="52"/>
  <c r="U93" i="52"/>
  <c r="N93" i="52"/>
  <c r="O93" i="52"/>
  <c r="U92" i="52"/>
  <c r="N92" i="52"/>
  <c r="T91" i="52"/>
  <c r="S91" i="52"/>
  <c r="U91" i="52"/>
  <c r="N91" i="52"/>
  <c r="U90" i="52"/>
  <c r="N90" i="52"/>
  <c r="T89" i="52"/>
  <c r="S89" i="52"/>
  <c r="U89" i="52"/>
  <c r="N89" i="52"/>
  <c r="M89" i="52"/>
  <c r="O89" i="52" s="1"/>
  <c r="U88" i="52"/>
  <c r="O88" i="52"/>
  <c r="T87" i="52"/>
  <c r="S87" i="52"/>
  <c r="U87" i="52"/>
  <c r="N87" i="52"/>
  <c r="M87" i="52"/>
  <c r="U86" i="52"/>
  <c r="N86" i="52"/>
  <c r="M86" i="52"/>
  <c r="O86" i="52"/>
  <c r="T85" i="52"/>
  <c r="S85" i="52"/>
  <c r="U85" i="52" s="1"/>
  <c r="N85" i="52"/>
  <c r="M85" i="52"/>
  <c r="U84" i="52"/>
  <c r="N84" i="52"/>
  <c r="T83" i="52"/>
  <c r="S83" i="52"/>
  <c r="U83" i="52"/>
  <c r="N83" i="52"/>
  <c r="M83" i="52"/>
  <c r="T82" i="52"/>
  <c r="S82" i="52"/>
  <c r="U82" i="52" s="1"/>
  <c r="N82" i="52"/>
  <c r="M82" i="52"/>
  <c r="O82" i="52"/>
  <c r="U81" i="52"/>
  <c r="N81" i="52"/>
  <c r="M81" i="52"/>
  <c r="O81" i="52"/>
  <c r="T80" i="52"/>
  <c r="S80" i="52"/>
  <c r="N80" i="52"/>
  <c r="M80" i="52"/>
  <c r="O80" i="52" s="1"/>
  <c r="T79" i="52"/>
  <c r="S79" i="52"/>
  <c r="U79" i="52"/>
  <c r="N79" i="52"/>
  <c r="T78" i="52"/>
  <c r="S78" i="52"/>
  <c r="U78" i="52"/>
  <c r="O78" i="52"/>
  <c r="U77" i="52"/>
  <c r="S76" i="52"/>
  <c r="U76" i="52"/>
  <c r="N76" i="52"/>
  <c r="M76" i="52"/>
  <c r="T75" i="52"/>
  <c r="S75" i="52"/>
  <c r="U75" i="52" s="1"/>
  <c r="N75" i="52"/>
  <c r="U74" i="52"/>
  <c r="O74" i="52"/>
  <c r="S73" i="52"/>
  <c r="U73" i="52"/>
  <c r="M73" i="52"/>
  <c r="O73" i="52"/>
  <c r="T72" i="52"/>
  <c r="S72" i="52"/>
  <c r="U72" i="52" s="1"/>
  <c r="N72" i="52"/>
  <c r="M72" i="52"/>
  <c r="T71" i="52"/>
  <c r="N71" i="52"/>
  <c r="O71" i="52"/>
  <c r="S70" i="52"/>
  <c r="U70" i="52"/>
  <c r="N70" i="52"/>
  <c r="U69" i="52"/>
  <c r="N69" i="52"/>
  <c r="U68" i="52"/>
  <c r="N68" i="52"/>
  <c r="O68" i="52"/>
  <c r="T67" i="52"/>
  <c r="S67" i="52"/>
  <c r="U67" i="52" s="1"/>
  <c r="N67" i="52"/>
  <c r="U66" i="52"/>
  <c r="N66" i="52"/>
  <c r="M66" i="52"/>
  <c r="O66" i="52" s="1"/>
  <c r="T65" i="52"/>
  <c r="S65" i="52"/>
  <c r="N65" i="52"/>
  <c r="T64" i="52"/>
  <c r="S64" i="52"/>
  <c r="U64" i="52"/>
  <c r="N64" i="52"/>
  <c r="T63" i="52"/>
  <c r="S63" i="52"/>
  <c r="U63" i="52"/>
  <c r="O63" i="52"/>
  <c r="U62" i="52"/>
  <c r="O62" i="52"/>
  <c r="U61" i="52"/>
  <c r="N61" i="52"/>
  <c r="T60" i="52"/>
  <c r="S60" i="52"/>
  <c r="U60" i="52"/>
  <c r="N60" i="52"/>
  <c r="M60" i="52"/>
  <c r="U59" i="52"/>
  <c r="O59" i="52"/>
  <c r="U58" i="52"/>
  <c r="O58" i="52"/>
  <c r="U57" i="52"/>
  <c r="N57" i="52"/>
  <c r="M57" i="52"/>
  <c r="O57" i="52"/>
  <c r="T56" i="52"/>
  <c r="U56" i="52"/>
  <c r="N56" i="52"/>
  <c r="T55" i="52"/>
  <c r="S55" i="52"/>
  <c r="O55" i="52"/>
  <c r="T54" i="52"/>
  <c r="S54" i="52"/>
  <c r="U54" i="52" s="1"/>
  <c r="N54" i="52"/>
  <c r="U53" i="52"/>
  <c r="N53" i="52"/>
  <c r="M53" i="52"/>
  <c r="O53" i="52"/>
  <c r="T52" i="52"/>
  <c r="U52" i="52"/>
  <c r="T51" i="52"/>
  <c r="S51" i="52"/>
  <c r="U51" i="52" s="1"/>
  <c r="N51" i="52"/>
  <c r="M51" i="52"/>
  <c r="T50" i="52"/>
  <c r="S50" i="52"/>
  <c r="U50" i="52"/>
  <c r="N50" i="52"/>
  <c r="T49" i="52"/>
  <c r="S49" i="52"/>
  <c r="U49" i="52"/>
  <c r="N49" i="52"/>
  <c r="O49" i="52"/>
  <c r="T48" i="52"/>
  <c r="S48" i="52"/>
  <c r="U48" i="52" s="1"/>
  <c r="N48" i="52"/>
  <c r="S47" i="52"/>
  <c r="U47" i="52" s="1"/>
  <c r="N47" i="52"/>
  <c r="U46" i="52"/>
  <c r="N46" i="52"/>
  <c r="M46" i="52"/>
  <c r="O46" i="52"/>
  <c r="U45" i="52"/>
  <c r="O45" i="52"/>
  <c r="T44" i="52"/>
  <c r="U44" i="52"/>
  <c r="N44" i="52"/>
  <c r="U43" i="52"/>
  <c r="N43" i="52"/>
  <c r="O43" i="52"/>
  <c r="U42" i="52"/>
  <c r="N42" i="52"/>
  <c r="T41" i="52"/>
  <c r="N41" i="52"/>
  <c r="T40" i="52"/>
  <c r="N40" i="52"/>
  <c r="O40" i="52"/>
  <c r="U39" i="52"/>
  <c r="O39" i="52"/>
  <c r="T38" i="52"/>
  <c r="U38" i="52"/>
  <c r="N38" i="52"/>
  <c r="O38" i="52"/>
  <c r="T37" i="52"/>
  <c r="S37" i="52"/>
  <c r="U37" i="52" s="1"/>
  <c r="N37" i="52"/>
  <c r="O37" i="52" s="1"/>
  <c r="S36" i="52"/>
  <c r="U36" i="52" s="1"/>
  <c r="N36" i="52"/>
  <c r="M36" i="52"/>
  <c r="O36" i="52"/>
  <c r="T35" i="52"/>
  <c r="S35" i="52"/>
  <c r="U35" i="52" s="1"/>
  <c r="N35" i="52"/>
  <c r="U34" i="52"/>
  <c r="N34" i="52"/>
  <c r="M34" i="52"/>
  <c r="O34" i="52"/>
  <c r="U33" i="52"/>
  <c r="N33" i="52"/>
  <c r="U32" i="52"/>
  <c r="O32" i="52"/>
  <c r="T31" i="52"/>
  <c r="S31" i="52"/>
  <c r="U31" i="52" s="1"/>
  <c r="O31" i="52"/>
  <c r="T30" i="52"/>
  <c r="U30" i="52"/>
  <c r="N30" i="52"/>
  <c r="O30" i="52"/>
  <c r="T29" i="52"/>
  <c r="S29" i="52"/>
  <c r="U29" i="52" s="1"/>
  <c r="N29" i="52"/>
  <c r="O29" i="52" s="1"/>
  <c r="U28" i="52"/>
  <c r="O28" i="52"/>
  <c r="T27" i="52"/>
  <c r="U27" i="52" s="1"/>
  <c r="N27" i="52"/>
  <c r="M27" i="52"/>
  <c r="O27" i="52"/>
  <c r="T26" i="52"/>
  <c r="S26" i="52"/>
  <c r="U26" i="52" s="1"/>
  <c r="N26" i="52"/>
  <c r="M26" i="52"/>
  <c r="O26" i="52"/>
  <c r="T25" i="52"/>
  <c r="S25" i="52"/>
  <c r="U25" i="52" s="1"/>
  <c r="N25" i="52"/>
  <c r="M25" i="52"/>
  <c r="O25" i="52"/>
  <c r="U24" i="52"/>
  <c r="N24" i="52"/>
  <c r="M24" i="52"/>
  <c r="O24" i="52"/>
  <c r="T23" i="52"/>
  <c r="S23" i="52"/>
  <c r="U23" i="52" s="1"/>
  <c r="N23" i="52"/>
  <c r="T22" i="52"/>
  <c r="S22" i="52"/>
  <c r="U22" i="52" s="1"/>
  <c r="N22" i="52"/>
  <c r="M22" i="52"/>
  <c r="O22" i="52"/>
  <c r="T21" i="52"/>
  <c r="U21" i="52"/>
  <c r="N21" i="52"/>
  <c r="O21" i="52"/>
  <c r="T20" i="52"/>
  <c r="S20" i="52"/>
  <c r="U20" i="52" s="1"/>
  <c r="N20" i="52"/>
  <c r="O20" i="52" s="1"/>
  <c r="T19" i="52"/>
  <c r="S19" i="52"/>
  <c r="U19" i="52"/>
  <c r="N19" i="52"/>
  <c r="M19" i="52"/>
  <c r="O19" i="52" s="1"/>
  <c r="T18" i="52"/>
  <c r="S18" i="52"/>
  <c r="U18" i="52"/>
  <c r="N18" i="52"/>
  <c r="M18" i="52"/>
  <c r="O18" i="52" s="1"/>
  <c r="U17" i="52"/>
  <c r="N17" i="52"/>
  <c r="U16" i="52"/>
  <c r="O16" i="52"/>
  <c r="T15" i="52"/>
  <c r="S15" i="52"/>
  <c r="U15" i="52"/>
  <c r="N15" i="52"/>
  <c r="O15" i="52"/>
  <c r="T14" i="52"/>
  <c r="S14" i="52"/>
  <c r="U14" i="52" s="1"/>
  <c r="N14" i="52"/>
  <c r="T13" i="52"/>
  <c r="S13" i="52"/>
  <c r="U13" i="52" s="1"/>
  <c r="N13" i="52"/>
  <c r="O13" i="52" s="1"/>
  <c r="B13" i="52"/>
  <c r="B14" i="52" s="1"/>
  <c r="B15" i="52" s="1"/>
  <c r="B16" i="52" s="1"/>
  <c r="B17" i="52" s="1"/>
  <c r="B18" i="52" s="1"/>
  <c r="B19" i="52" s="1"/>
  <c r="B20" i="52" s="1"/>
  <c r="B21" i="52" s="1"/>
  <c r="B22" i="52" s="1"/>
  <c r="B23" i="52" s="1"/>
  <c r="B24" i="52" s="1"/>
  <c r="B25" i="52" s="1"/>
  <c r="B26" i="52" s="1"/>
  <c r="B27" i="52" s="1"/>
  <c r="B28" i="52" s="1"/>
  <c r="B29" i="52" s="1"/>
  <c r="B30" i="52" s="1"/>
  <c r="B31" i="52" s="1"/>
  <c r="B32" i="52" s="1"/>
  <c r="B33" i="52" s="1"/>
  <c r="B34" i="52" s="1"/>
  <c r="B35" i="52" s="1"/>
  <c r="B36" i="52" s="1"/>
  <c r="B37" i="52" s="1"/>
  <c r="B38" i="52" s="1"/>
  <c r="B39" i="52" s="1"/>
  <c r="B40" i="52" s="1"/>
  <c r="B41" i="52" s="1"/>
  <c r="B42" i="52" s="1"/>
  <c r="B43" i="52" s="1"/>
  <c r="B44" i="52" s="1"/>
  <c r="B45" i="52" s="1"/>
  <c r="B46" i="52" s="1"/>
  <c r="B47" i="52" s="1"/>
  <c r="B48" i="52" s="1"/>
  <c r="B49" i="52" s="1"/>
  <c r="B50" i="52" s="1"/>
  <c r="B51" i="52" s="1"/>
  <c r="B52" i="52" s="1"/>
  <c r="B53" i="52" s="1"/>
  <c r="B54" i="52" s="1"/>
  <c r="B55" i="52" s="1"/>
  <c r="B56" i="52" s="1"/>
  <c r="B57" i="52" s="1"/>
  <c r="B58" i="52" s="1"/>
  <c r="B59" i="52" s="1"/>
  <c r="B60" i="52" s="1"/>
  <c r="B61" i="52" s="1"/>
  <c r="B62" i="52" s="1"/>
  <c r="B63" i="52" s="1"/>
  <c r="B64" i="52" s="1"/>
  <c r="B65" i="52" s="1"/>
  <c r="B66" i="52" s="1"/>
  <c r="B67" i="52" s="1"/>
  <c r="B68" i="52" s="1"/>
  <c r="B69" i="52" s="1"/>
  <c r="B70" i="52" s="1"/>
  <c r="B71" i="52" s="1"/>
  <c r="B72" i="52" s="1"/>
  <c r="B73" i="52" s="1"/>
  <c r="B74" i="52" s="1"/>
  <c r="B75" i="52" s="1"/>
  <c r="B76" i="52" s="1"/>
  <c r="B77" i="52" s="1"/>
  <c r="B78" i="52" s="1"/>
  <c r="B79" i="52" s="1"/>
  <c r="B80" i="52" s="1"/>
  <c r="B81" i="52" s="1"/>
  <c r="B82" i="52" s="1"/>
  <c r="B83" i="52" s="1"/>
  <c r="B84" i="52" s="1"/>
  <c r="B85" i="52" s="1"/>
  <c r="B86" i="52" s="1"/>
  <c r="B87" i="52" s="1"/>
  <c r="B88" i="52" s="1"/>
  <c r="B89" i="52" s="1"/>
  <c r="B90" i="52" s="1"/>
  <c r="B91" i="52" s="1"/>
  <c r="B92" i="52" s="1"/>
  <c r="B93" i="52" s="1"/>
  <c r="B94" i="52" s="1"/>
  <c r="B95" i="52" s="1"/>
  <c r="B96" i="52" s="1"/>
  <c r="B97" i="52" s="1"/>
  <c r="B98" i="52" s="1"/>
  <c r="B99" i="52" s="1"/>
  <c r="B100" i="52" s="1"/>
  <c r="B101" i="52" s="1"/>
  <c r="B102" i="52" s="1"/>
  <c r="U12" i="52"/>
  <c r="O12" i="52"/>
  <c r="T11" i="52"/>
  <c r="S11" i="52"/>
  <c r="U11" i="52"/>
  <c r="O11" i="52"/>
  <c r="B11" i="52"/>
  <c r="T10" i="52"/>
  <c r="S10" i="52"/>
  <c r="H9" i="52"/>
  <c r="I9" i="52"/>
  <c r="J9" i="52" s="1"/>
  <c r="K9" i="52" s="1"/>
  <c r="L9" i="52" s="1"/>
  <c r="M9" i="52" s="1"/>
  <c r="N9" i="52" s="1"/>
  <c r="O9" i="52" s="1"/>
  <c r="P9" i="52" s="1"/>
  <c r="Q9" i="52" s="1"/>
  <c r="R9" i="52" s="1"/>
  <c r="S9" i="52" s="1"/>
  <c r="T9" i="52" s="1"/>
  <c r="U9" i="52" s="1"/>
  <c r="M56" i="51"/>
  <c r="S56" i="51"/>
  <c r="O104" i="51"/>
  <c r="N103" i="51"/>
  <c r="M103" i="51"/>
  <c r="O103" i="51"/>
  <c r="N102" i="51"/>
  <c r="M102" i="51"/>
  <c r="O102" i="51" s="1"/>
  <c r="N101" i="51"/>
  <c r="M101" i="51"/>
  <c r="O101" i="51"/>
  <c r="N100" i="51"/>
  <c r="M100" i="51"/>
  <c r="O100" i="51" s="1"/>
  <c r="N99" i="51"/>
  <c r="M99" i="51"/>
  <c r="O99" i="51"/>
  <c r="N98" i="51"/>
  <c r="M98" i="51"/>
  <c r="O98" i="51" s="1"/>
  <c r="N97" i="51"/>
  <c r="M97" i="51"/>
  <c r="O97" i="51"/>
  <c r="N96" i="51"/>
  <c r="M96" i="51"/>
  <c r="O96" i="51" s="1"/>
  <c r="N95" i="51"/>
  <c r="M95" i="51"/>
  <c r="O95" i="51"/>
  <c r="N94" i="51"/>
  <c r="M94" i="51"/>
  <c r="O94" i="51" s="1"/>
  <c r="M93" i="51"/>
  <c r="N92" i="51"/>
  <c r="M92" i="51"/>
  <c r="O92" i="51" s="1"/>
  <c r="N91" i="51"/>
  <c r="M91" i="51"/>
  <c r="O91" i="51"/>
  <c r="N90" i="51"/>
  <c r="M90" i="51"/>
  <c r="O90" i="51" s="1"/>
  <c r="N89" i="51"/>
  <c r="M89" i="51"/>
  <c r="O89" i="51"/>
  <c r="O88" i="51"/>
  <c r="N87" i="51"/>
  <c r="M87" i="51"/>
  <c r="O87" i="51"/>
  <c r="N86" i="51"/>
  <c r="M86" i="51"/>
  <c r="O86" i="51" s="1"/>
  <c r="N85" i="51"/>
  <c r="M85" i="51"/>
  <c r="O85" i="51"/>
  <c r="N84" i="51"/>
  <c r="M84" i="51"/>
  <c r="O84" i="51" s="1"/>
  <c r="N83" i="51"/>
  <c r="M83" i="51"/>
  <c r="O83" i="51"/>
  <c r="N82" i="51"/>
  <c r="M82" i="51"/>
  <c r="O82" i="51" s="1"/>
  <c r="N81" i="51"/>
  <c r="M81" i="51"/>
  <c r="O81" i="51"/>
  <c r="N80" i="51"/>
  <c r="M80" i="51"/>
  <c r="O80" i="51" s="1"/>
  <c r="N79" i="51"/>
  <c r="M79" i="51"/>
  <c r="O79" i="51"/>
  <c r="O78" i="51"/>
  <c r="O77" i="51"/>
  <c r="N76" i="51"/>
  <c r="M76" i="51"/>
  <c r="O76" i="51" s="1"/>
  <c r="N75" i="51"/>
  <c r="M75" i="51"/>
  <c r="O75" i="51"/>
  <c r="O74" i="51"/>
  <c r="M73" i="51"/>
  <c r="O73" i="51" s="1"/>
  <c r="N72" i="51"/>
  <c r="M72" i="51"/>
  <c r="O72" i="51"/>
  <c r="N71" i="51"/>
  <c r="M71" i="51"/>
  <c r="O71" i="51" s="1"/>
  <c r="N70" i="51"/>
  <c r="M70" i="51"/>
  <c r="O70" i="51"/>
  <c r="N69" i="51"/>
  <c r="M69" i="51"/>
  <c r="O69" i="51" s="1"/>
  <c r="N68" i="51"/>
  <c r="O68" i="51" s="1"/>
  <c r="N67" i="51"/>
  <c r="M67" i="51"/>
  <c r="O67" i="51"/>
  <c r="N66" i="51"/>
  <c r="M66" i="51"/>
  <c r="O66" i="51" s="1"/>
  <c r="N65" i="51"/>
  <c r="M65" i="51"/>
  <c r="O65" i="51"/>
  <c r="N64" i="51"/>
  <c r="M64" i="51"/>
  <c r="O64" i="51" s="1"/>
  <c r="O63" i="51"/>
  <c r="O62" i="51"/>
  <c r="N61" i="51"/>
  <c r="M61" i="51"/>
  <c r="O61" i="51"/>
  <c r="N60" i="51"/>
  <c r="M60" i="51"/>
  <c r="O60" i="51" s="1"/>
  <c r="O59" i="51"/>
  <c r="O58" i="51"/>
  <c r="N57" i="51"/>
  <c r="M57" i="51"/>
  <c r="O57" i="51"/>
  <c r="N56" i="51"/>
  <c r="O56" i="51"/>
  <c r="O55" i="51"/>
  <c r="N54" i="51"/>
  <c r="M54" i="51"/>
  <c r="O54" i="51"/>
  <c r="N53" i="51"/>
  <c r="M53" i="51"/>
  <c r="O53" i="51" s="1"/>
  <c r="M52" i="51"/>
  <c r="O52" i="51" s="1"/>
  <c r="N51" i="51"/>
  <c r="M51" i="51"/>
  <c r="O51" i="51"/>
  <c r="N50" i="51"/>
  <c r="M50" i="51"/>
  <c r="O50" i="51" s="1"/>
  <c r="N49" i="51"/>
  <c r="O49" i="51" s="1"/>
  <c r="N48" i="51"/>
  <c r="M48" i="51"/>
  <c r="O48" i="51"/>
  <c r="N47" i="51"/>
  <c r="M47" i="51"/>
  <c r="O47" i="51" s="1"/>
  <c r="N46" i="51"/>
  <c r="M46" i="51"/>
  <c r="O46" i="51"/>
  <c r="O45" i="51"/>
  <c r="N44" i="51"/>
  <c r="M44" i="51"/>
  <c r="O44" i="51"/>
  <c r="N43" i="51"/>
  <c r="M43" i="51"/>
  <c r="O43" i="51" s="1"/>
  <c r="N42" i="51"/>
  <c r="M42" i="51"/>
  <c r="O42" i="51"/>
  <c r="N41" i="51"/>
  <c r="M41" i="51"/>
  <c r="O41" i="51" s="1"/>
  <c r="N40" i="51"/>
  <c r="M40" i="51"/>
  <c r="O40" i="51"/>
  <c r="O39" i="51"/>
  <c r="N38" i="51"/>
  <c r="M38" i="51"/>
  <c r="O38" i="51"/>
  <c r="N37" i="51"/>
  <c r="M37" i="51"/>
  <c r="O37" i="51" s="1"/>
  <c r="N36" i="51"/>
  <c r="M36" i="51"/>
  <c r="O36" i="51"/>
  <c r="N35" i="51"/>
  <c r="M35" i="51"/>
  <c r="O35" i="51" s="1"/>
  <c r="N34" i="51"/>
  <c r="M34" i="51"/>
  <c r="O34" i="51"/>
  <c r="N33" i="51"/>
  <c r="M33" i="51"/>
  <c r="O33" i="51" s="1"/>
  <c r="O32" i="51"/>
  <c r="O31" i="51"/>
  <c r="N30" i="51"/>
  <c r="O30" i="51" s="1"/>
  <c r="N29" i="51"/>
  <c r="M29" i="51"/>
  <c r="O29" i="51"/>
  <c r="O28" i="51"/>
  <c r="N27" i="51"/>
  <c r="M27" i="51"/>
  <c r="O27" i="51"/>
  <c r="N26" i="51"/>
  <c r="M26" i="51"/>
  <c r="O26" i="51" s="1"/>
  <c r="N25" i="51"/>
  <c r="M25" i="51"/>
  <c r="O25" i="51"/>
  <c r="N24" i="51"/>
  <c r="M24" i="51"/>
  <c r="O24" i="51" s="1"/>
  <c r="N23" i="51"/>
  <c r="M23" i="51"/>
  <c r="O23" i="51"/>
  <c r="N22" i="51"/>
  <c r="M22" i="51"/>
  <c r="O22" i="51" s="1"/>
  <c r="N21" i="51"/>
  <c r="M21" i="51"/>
  <c r="O21" i="51"/>
  <c r="N20" i="51"/>
  <c r="M20" i="51"/>
  <c r="O20" i="51" s="1"/>
  <c r="N19" i="51"/>
  <c r="M19" i="51"/>
  <c r="O19" i="51"/>
  <c r="N18" i="51"/>
  <c r="M18" i="51"/>
  <c r="O18" i="51" s="1"/>
  <c r="N17" i="51"/>
  <c r="M17" i="51"/>
  <c r="O17" i="51"/>
  <c r="O16" i="51"/>
  <c r="N15" i="51"/>
  <c r="O15" i="51" s="1"/>
  <c r="N14" i="51"/>
  <c r="M14" i="51"/>
  <c r="O14" i="51"/>
  <c r="N13" i="51"/>
  <c r="O13" i="51"/>
  <c r="O12" i="51"/>
  <c r="O11" i="51"/>
  <c r="O10" i="51"/>
  <c r="U104" i="51"/>
  <c r="U103" i="51"/>
  <c r="T102" i="51"/>
  <c r="S102" i="51"/>
  <c r="U102" i="51"/>
  <c r="T101" i="51"/>
  <c r="S101" i="51"/>
  <c r="U101" i="51" s="1"/>
  <c r="T100" i="51"/>
  <c r="S100" i="51"/>
  <c r="U100" i="51"/>
  <c r="T99" i="51"/>
  <c r="S99" i="51"/>
  <c r="U99" i="51" s="1"/>
  <c r="T98" i="51"/>
  <c r="S98" i="51"/>
  <c r="U98" i="51"/>
  <c r="U97" i="51"/>
  <c r="U96" i="51"/>
  <c r="T95" i="51"/>
  <c r="S95" i="51"/>
  <c r="U95" i="51" s="1"/>
  <c r="T94" i="51"/>
  <c r="S94" i="51"/>
  <c r="U94" i="51"/>
  <c r="T93" i="51"/>
  <c r="S93" i="51"/>
  <c r="U93" i="51" s="1"/>
  <c r="U92" i="51"/>
  <c r="T91" i="51"/>
  <c r="S91" i="51"/>
  <c r="U91" i="51" s="1"/>
  <c r="U90" i="51"/>
  <c r="T89" i="51"/>
  <c r="S89" i="51"/>
  <c r="U89" i="51" s="1"/>
  <c r="U88" i="51"/>
  <c r="T87" i="51"/>
  <c r="S87" i="51"/>
  <c r="U87" i="51" s="1"/>
  <c r="U86" i="51"/>
  <c r="T85" i="51"/>
  <c r="S85" i="51"/>
  <c r="U85" i="51" s="1"/>
  <c r="U84" i="51"/>
  <c r="T83" i="51"/>
  <c r="S83" i="51"/>
  <c r="U83" i="51" s="1"/>
  <c r="T82" i="51"/>
  <c r="S82" i="51"/>
  <c r="U82" i="51"/>
  <c r="U81" i="51"/>
  <c r="T80" i="51"/>
  <c r="S80" i="51"/>
  <c r="U80" i="51"/>
  <c r="T79" i="51"/>
  <c r="S79" i="51"/>
  <c r="U79" i="51" s="1"/>
  <c r="T78" i="51"/>
  <c r="S78" i="51"/>
  <c r="U78" i="51"/>
  <c r="U77" i="51"/>
  <c r="S76" i="51"/>
  <c r="U76" i="51" s="1"/>
  <c r="T75" i="51"/>
  <c r="S75" i="51"/>
  <c r="U75" i="51"/>
  <c r="U74" i="51"/>
  <c r="S73" i="51"/>
  <c r="U73" i="51" s="1"/>
  <c r="T72" i="51"/>
  <c r="S72" i="51"/>
  <c r="U72" i="51"/>
  <c r="T71" i="51"/>
  <c r="S71" i="51"/>
  <c r="U71" i="51" s="1"/>
  <c r="S70" i="51"/>
  <c r="U70" i="51" s="1"/>
  <c r="U69" i="51"/>
  <c r="U68" i="51"/>
  <c r="T67" i="51"/>
  <c r="S67" i="51"/>
  <c r="U67" i="51"/>
  <c r="U66" i="51"/>
  <c r="T65" i="51"/>
  <c r="S65" i="51"/>
  <c r="U65" i="51"/>
  <c r="T64" i="51"/>
  <c r="S64" i="51"/>
  <c r="U64" i="51" s="1"/>
  <c r="T63" i="51"/>
  <c r="S63" i="51"/>
  <c r="U63" i="51"/>
  <c r="U62" i="51"/>
  <c r="U61" i="51"/>
  <c r="T60" i="51"/>
  <c r="S60" i="51"/>
  <c r="U60" i="51" s="1"/>
  <c r="U59" i="51"/>
  <c r="U58" i="51"/>
  <c r="U57" i="51"/>
  <c r="T56" i="51"/>
  <c r="U56" i="51"/>
  <c r="T55" i="51"/>
  <c r="S55" i="51"/>
  <c r="U55" i="51" s="1"/>
  <c r="T54" i="51"/>
  <c r="S54" i="51"/>
  <c r="U54" i="51"/>
  <c r="U53" i="51"/>
  <c r="T52" i="51"/>
  <c r="S52" i="51"/>
  <c r="U52" i="51"/>
  <c r="T51" i="51"/>
  <c r="S51" i="51"/>
  <c r="U51" i="51" s="1"/>
  <c r="T50" i="51"/>
  <c r="S50" i="51"/>
  <c r="U50" i="51"/>
  <c r="T49" i="51"/>
  <c r="S49" i="51"/>
  <c r="U49" i="51" s="1"/>
  <c r="T48" i="51"/>
  <c r="S48" i="51"/>
  <c r="U48" i="51"/>
  <c r="S47" i="51"/>
  <c r="U47" i="51"/>
  <c r="U46" i="51"/>
  <c r="U45" i="51"/>
  <c r="T44" i="51"/>
  <c r="S44" i="51"/>
  <c r="U44" i="51" s="1"/>
  <c r="U43" i="51"/>
  <c r="U42" i="51"/>
  <c r="T41" i="51"/>
  <c r="S41" i="51"/>
  <c r="U41" i="51"/>
  <c r="T40" i="51"/>
  <c r="S40" i="51"/>
  <c r="U40" i="51" s="1"/>
  <c r="U39" i="51"/>
  <c r="T38" i="51"/>
  <c r="U38" i="51"/>
  <c r="T37" i="51"/>
  <c r="S37" i="51"/>
  <c r="U37" i="51" s="1"/>
  <c r="S36" i="51"/>
  <c r="U36" i="51" s="1"/>
  <c r="T35" i="51"/>
  <c r="S35" i="51"/>
  <c r="U35" i="51"/>
  <c r="U34" i="51"/>
  <c r="U33" i="51"/>
  <c r="U32" i="51"/>
  <c r="T31" i="51"/>
  <c r="S31" i="51"/>
  <c r="U31" i="51"/>
  <c r="T30" i="51"/>
  <c r="U30" i="51"/>
  <c r="T29" i="51"/>
  <c r="S29" i="51"/>
  <c r="U29" i="51" s="1"/>
  <c r="U28" i="51"/>
  <c r="T27" i="51"/>
  <c r="U27" i="51"/>
  <c r="T26" i="51"/>
  <c r="S26" i="51"/>
  <c r="U26" i="51" s="1"/>
  <c r="T25" i="51"/>
  <c r="S25" i="51"/>
  <c r="U25" i="51"/>
  <c r="U24" i="51"/>
  <c r="T23" i="51"/>
  <c r="S23" i="51"/>
  <c r="U23" i="51"/>
  <c r="T22" i="51"/>
  <c r="S22" i="51"/>
  <c r="U22" i="51" s="1"/>
  <c r="T21" i="51"/>
  <c r="U21" i="51" s="1"/>
  <c r="T20" i="51"/>
  <c r="S20" i="51"/>
  <c r="U20" i="51"/>
  <c r="T19" i="51"/>
  <c r="S19" i="51"/>
  <c r="U19" i="51" s="1"/>
  <c r="T18" i="51"/>
  <c r="S18" i="51"/>
  <c r="U18" i="51"/>
  <c r="U17" i="51"/>
  <c r="U16" i="51"/>
  <c r="T15" i="51"/>
  <c r="S15" i="51"/>
  <c r="U15" i="51" s="1"/>
  <c r="T14" i="51"/>
  <c r="S14" i="51"/>
  <c r="U14" i="51"/>
  <c r="T13" i="51"/>
  <c r="S13" i="51"/>
  <c r="U13" i="51" s="1"/>
  <c r="U12" i="51"/>
  <c r="T11" i="51"/>
  <c r="S11" i="51"/>
  <c r="U11" i="51" s="1"/>
  <c r="T10" i="51"/>
  <c r="S10" i="51"/>
  <c r="U10" i="51"/>
  <c r="P105" i="51"/>
  <c r="R105" i="51"/>
  <c r="Q105" i="51"/>
  <c r="L105" i="51"/>
  <c r="K105" i="51"/>
  <c r="J105" i="51"/>
  <c r="I105" i="51"/>
  <c r="H105" i="51"/>
  <c r="B13" i="51"/>
  <c r="B14" i="51"/>
  <c r="B15" i="51" s="1"/>
  <c r="B16" i="51" s="1"/>
  <c r="B17" i="51" s="1"/>
  <c r="B18" i="51" s="1"/>
  <c r="B19" i="51" s="1"/>
  <c r="B20" i="51" s="1"/>
  <c r="B21" i="51" s="1"/>
  <c r="B22" i="51" s="1"/>
  <c r="B23" i="51" s="1"/>
  <c r="B24" i="51" s="1"/>
  <c r="B25" i="51" s="1"/>
  <c r="B26" i="51" s="1"/>
  <c r="B27" i="51" s="1"/>
  <c r="B28" i="51" s="1"/>
  <c r="B29" i="51" s="1"/>
  <c r="B30" i="51" s="1"/>
  <c r="B31" i="51" s="1"/>
  <c r="B32" i="51" s="1"/>
  <c r="B33" i="51" s="1"/>
  <c r="B34" i="51" s="1"/>
  <c r="B35" i="51" s="1"/>
  <c r="B36" i="51" s="1"/>
  <c r="B37" i="51" s="1"/>
  <c r="B38" i="51" s="1"/>
  <c r="B39" i="51" s="1"/>
  <c r="B40" i="51" s="1"/>
  <c r="B41" i="51" s="1"/>
  <c r="B42" i="51" s="1"/>
  <c r="B43" i="51" s="1"/>
  <c r="B44" i="51" s="1"/>
  <c r="B45" i="51" s="1"/>
  <c r="B46" i="51" s="1"/>
  <c r="B47" i="51" s="1"/>
  <c r="B48" i="51" s="1"/>
  <c r="B49" i="51" s="1"/>
  <c r="B50" i="51" s="1"/>
  <c r="B51" i="51" s="1"/>
  <c r="B52" i="51" s="1"/>
  <c r="B53" i="51" s="1"/>
  <c r="B54" i="51" s="1"/>
  <c r="B55" i="51" s="1"/>
  <c r="B56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B69" i="51" s="1"/>
  <c r="B70" i="51" s="1"/>
  <c r="B71" i="51" s="1"/>
  <c r="B72" i="51" s="1"/>
  <c r="B73" i="51" s="1"/>
  <c r="B74" i="51" s="1"/>
  <c r="B75" i="51" s="1"/>
  <c r="B76" i="51" s="1"/>
  <c r="B77" i="51" s="1"/>
  <c r="B78" i="51" s="1"/>
  <c r="B79" i="51" s="1"/>
  <c r="B80" i="51" s="1"/>
  <c r="B81" i="51" s="1"/>
  <c r="B82" i="51" s="1"/>
  <c r="B83" i="51" s="1"/>
  <c r="B84" i="51" s="1"/>
  <c r="B85" i="51" s="1"/>
  <c r="B86" i="51" s="1"/>
  <c r="B87" i="51" s="1"/>
  <c r="B88" i="51" s="1"/>
  <c r="B89" i="51" s="1"/>
  <c r="B90" i="51" s="1"/>
  <c r="B91" i="51" s="1"/>
  <c r="B92" i="51" s="1"/>
  <c r="B93" i="51" s="1"/>
  <c r="B94" i="51" s="1"/>
  <c r="B95" i="51" s="1"/>
  <c r="B96" i="51" s="1"/>
  <c r="B97" i="51" s="1"/>
  <c r="B98" i="51" s="1"/>
  <c r="B99" i="51" s="1"/>
  <c r="B100" i="51" s="1"/>
  <c r="B101" i="51" s="1"/>
  <c r="B102" i="51" s="1"/>
  <c r="B11" i="51"/>
  <c r="H9" i="51"/>
  <c r="I9" i="51" s="1"/>
  <c r="J9" i="51" s="1"/>
  <c r="K9" i="51" s="1"/>
  <c r="L9" i="51" s="1"/>
  <c r="M9" i="51" s="1"/>
  <c r="N9" i="51" s="1"/>
  <c r="O9" i="51" s="1"/>
  <c r="P9" i="51" s="1"/>
  <c r="Q9" i="51" s="1"/>
  <c r="R9" i="51" s="1"/>
  <c r="S9" i="51" s="1"/>
  <c r="T9" i="51" s="1"/>
  <c r="U9" i="51" s="1"/>
  <c r="N22" i="50"/>
  <c r="T62" i="50"/>
  <c r="N62" i="50"/>
  <c r="O62" i="50" s="1"/>
  <c r="T60" i="50"/>
  <c r="N60" i="50"/>
  <c r="N61" i="50"/>
  <c r="N85" i="50"/>
  <c r="N57" i="50"/>
  <c r="N56" i="50"/>
  <c r="N54" i="50"/>
  <c r="N53" i="50"/>
  <c r="N51" i="50"/>
  <c r="T52" i="50"/>
  <c r="N52" i="50"/>
  <c r="N29" i="50"/>
  <c r="N50" i="50"/>
  <c r="T49" i="50"/>
  <c r="N49" i="50"/>
  <c r="O49" i="50" s="1"/>
  <c r="N46" i="50"/>
  <c r="N48" i="50"/>
  <c r="N47" i="50"/>
  <c r="T44" i="50"/>
  <c r="N44" i="50"/>
  <c r="O44" i="50" s="1"/>
  <c r="N43" i="50"/>
  <c r="N42" i="50"/>
  <c r="N41" i="50"/>
  <c r="N39" i="50"/>
  <c r="N38" i="50"/>
  <c r="T37" i="50"/>
  <c r="N37" i="50"/>
  <c r="N30" i="50"/>
  <c r="N27" i="50"/>
  <c r="N24" i="50"/>
  <c r="T23" i="50"/>
  <c r="N23" i="50"/>
  <c r="T22" i="50"/>
  <c r="T21" i="50"/>
  <c r="N21" i="50"/>
  <c r="N20" i="50"/>
  <c r="N19" i="50"/>
  <c r="N18" i="50"/>
  <c r="T15" i="50"/>
  <c r="N15" i="50"/>
  <c r="N14" i="50"/>
  <c r="T13" i="50"/>
  <c r="N13" i="50"/>
  <c r="N17" i="50"/>
  <c r="M65" i="50"/>
  <c r="S101" i="50"/>
  <c r="M101" i="50"/>
  <c r="M94" i="50"/>
  <c r="M93" i="50"/>
  <c r="O93" i="50" s="1"/>
  <c r="M85" i="50"/>
  <c r="M79" i="50"/>
  <c r="O79" i="50" s="1"/>
  <c r="M72" i="50"/>
  <c r="M71" i="50"/>
  <c r="M68" i="50"/>
  <c r="M67" i="50"/>
  <c r="M60" i="50"/>
  <c r="M61" i="50"/>
  <c r="O61" i="50" s="1"/>
  <c r="M56" i="50"/>
  <c r="M54" i="50"/>
  <c r="O54" i="50"/>
  <c r="M43" i="50"/>
  <c r="O43" i="50"/>
  <c r="M41" i="50"/>
  <c r="O41" i="50"/>
  <c r="M38" i="50"/>
  <c r="M27" i="50"/>
  <c r="O27" i="50" s="1"/>
  <c r="M25" i="50"/>
  <c r="M23" i="50"/>
  <c r="O23" i="50"/>
  <c r="S22" i="50"/>
  <c r="M22" i="50"/>
  <c r="O22" i="50" s="1"/>
  <c r="M20" i="50"/>
  <c r="O20" i="50" s="1"/>
  <c r="M18" i="50"/>
  <c r="S19" i="50"/>
  <c r="M19" i="50"/>
  <c r="S13" i="50"/>
  <c r="U13" i="50"/>
  <c r="M13" i="50"/>
  <c r="M17" i="50"/>
  <c r="O17" i="50" s="1"/>
  <c r="R105" i="50"/>
  <c r="Q105" i="50"/>
  <c r="P105" i="50"/>
  <c r="L105" i="50"/>
  <c r="K105" i="50"/>
  <c r="J105" i="50"/>
  <c r="I105" i="50"/>
  <c r="H105" i="50"/>
  <c r="U104" i="50"/>
  <c r="O104" i="50"/>
  <c r="U103" i="50"/>
  <c r="N103" i="50"/>
  <c r="M103" i="50"/>
  <c r="O103" i="50" s="1"/>
  <c r="T102" i="50"/>
  <c r="S102" i="50"/>
  <c r="U102" i="50"/>
  <c r="N102" i="50"/>
  <c r="M102" i="50"/>
  <c r="O102" i="50" s="1"/>
  <c r="T101" i="50"/>
  <c r="U101" i="50" s="1"/>
  <c r="N101" i="50"/>
  <c r="T100" i="50"/>
  <c r="S100" i="50"/>
  <c r="U100" i="50" s="1"/>
  <c r="N100" i="50"/>
  <c r="M100" i="50"/>
  <c r="O100" i="50"/>
  <c r="T99" i="50"/>
  <c r="S99" i="50"/>
  <c r="U99" i="50" s="1"/>
  <c r="N99" i="50"/>
  <c r="M99" i="50"/>
  <c r="O99" i="50"/>
  <c r="T98" i="50"/>
  <c r="S98" i="50"/>
  <c r="U98" i="50" s="1"/>
  <c r="N98" i="50"/>
  <c r="M98" i="50"/>
  <c r="O98" i="50"/>
  <c r="U97" i="50"/>
  <c r="N97" i="50"/>
  <c r="M97" i="50"/>
  <c r="O97" i="50"/>
  <c r="U96" i="50"/>
  <c r="N96" i="50"/>
  <c r="M96" i="50"/>
  <c r="O96" i="50"/>
  <c r="T95" i="50"/>
  <c r="S95" i="50"/>
  <c r="U95" i="50" s="1"/>
  <c r="N95" i="50"/>
  <c r="M95" i="50"/>
  <c r="O95" i="50"/>
  <c r="T94" i="50"/>
  <c r="S94" i="50"/>
  <c r="U94" i="50" s="1"/>
  <c r="N94" i="50"/>
  <c r="T93" i="50"/>
  <c r="S93" i="50"/>
  <c r="U93" i="50" s="1"/>
  <c r="N93" i="50"/>
  <c r="U92" i="50"/>
  <c r="N92" i="50"/>
  <c r="M92" i="50"/>
  <c r="O92" i="50" s="1"/>
  <c r="T91" i="50"/>
  <c r="S91" i="50"/>
  <c r="U91" i="50"/>
  <c r="N91" i="50"/>
  <c r="M91" i="50"/>
  <c r="O91" i="50" s="1"/>
  <c r="U90" i="50"/>
  <c r="N90" i="50"/>
  <c r="M90" i="50"/>
  <c r="O90" i="50" s="1"/>
  <c r="T89" i="50"/>
  <c r="S89" i="50"/>
  <c r="U89" i="50"/>
  <c r="N89" i="50"/>
  <c r="M89" i="50"/>
  <c r="O89" i="50" s="1"/>
  <c r="U88" i="50"/>
  <c r="O88" i="50"/>
  <c r="T87" i="50"/>
  <c r="S87" i="50"/>
  <c r="U87" i="50"/>
  <c r="N87" i="50"/>
  <c r="M87" i="50"/>
  <c r="O87" i="50" s="1"/>
  <c r="U86" i="50"/>
  <c r="N86" i="50"/>
  <c r="M86" i="50"/>
  <c r="O86" i="50" s="1"/>
  <c r="T85" i="50"/>
  <c r="S85" i="50"/>
  <c r="U85" i="50"/>
  <c r="O85" i="50"/>
  <c r="U84" i="50"/>
  <c r="N84" i="50"/>
  <c r="M84" i="50"/>
  <c r="O84" i="50" s="1"/>
  <c r="T83" i="50"/>
  <c r="S83" i="50"/>
  <c r="U83" i="50"/>
  <c r="N83" i="50"/>
  <c r="M83" i="50"/>
  <c r="O83" i="50" s="1"/>
  <c r="T82" i="50"/>
  <c r="S82" i="50"/>
  <c r="U82" i="50"/>
  <c r="N82" i="50"/>
  <c r="M82" i="50"/>
  <c r="O82" i="50" s="1"/>
  <c r="U81" i="50"/>
  <c r="M81" i="50"/>
  <c r="O81" i="50"/>
  <c r="T80" i="50"/>
  <c r="S80" i="50"/>
  <c r="U80" i="50" s="1"/>
  <c r="N80" i="50"/>
  <c r="M80" i="50"/>
  <c r="O80" i="50"/>
  <c r="T79" i="50"/>
  <c r="S79" i="50"/>
  <c r="U79" i="50" s="1"/>
  <c r="N79" i="50"/>
  <c r="T78" i="50"/>
  <c r="S78" i="50"/>
  <c r="U78" i="50"/>
  <c r="O78" i="50"/>
  <c r="U77" i="50"/>
  <c r="N77" i="50"/>
  <c r="M77" i="50"/>
  <c r="O77" i="50" s="1"/>
  <c r="S76" i="50"/>
  <c r="U76" i="50" s="1"/>
  <c r="N76" i="50"/>
  <c r="M76" i="50"/>
  <c r="O76" i="50"/>
  <c r="T75" i="50"/>
  <c r="S75" i="50"/>
  <c r="U75" i="50" s="1"/>
  <c r="N75" i="50"/>
  <c r="M75" i="50"/>
  <c r="O75" i="50"/>
  <c r="U74" i="50"/>
  <c r="O74" i="50"/>
  <c r="T73" i="50"/>
  <c r="S73" i="50"/>
  <c r="U73" i="50" s="1"/>
  <c r="N73" i="50"/>
  <c r="M73" i="50"/>
  <c r="O73" i="50"/>
  <c r="T72" i="50"/>
  <c r="S72" i="50"/>
  <c r="U72" i="50" s="1"/>
  <c r="N72" i="50"/>
  <c r="O72" i="50" s="1"/>
  <c r="T71" i="50"/>
  <c r="S71" i="50"/>
  <c r="U71" i="50"/>
  <c r="N71" i="50"/>
  <c r="S70" i="50"/>
  <c r="U70" i="50" s="1"/>
  <c r="N70" i="50"/>
  <c r="M70" i="50"/>
  <c r="O70" i="50"/>
  <c r="U69" i="50"/>
  <c r="N69" i="50"/>
  <c r="M69" i="50"/>
  <c r="O69" i="50"/>
  <c r="U68" i="50"/>
  <c r="N68" i="50"/>
  <c r="O68" i="50" s="1"/>
  <c r="T67" i="50"/>
  <c r="S67" i="50"/>
  <c r="U67" i="50"/>
  <c r="N67" i="50"/>
  <c r="O67" i="50"/>
  <c r="U66" i="50"/>
  <c r="N66" i="50"/>
  <c r="M66" i="50"/>
  <c r="O66" i="50"/>
  <c r="T65" i="50"/>
  <c r="S65" i="50"/>
  <c r="U65" i="50" s="1"/>
  <c r="N65" i="50"/>
  <c r="T64" i="50"/>
  <c r="S64" i="50"/>
  <c r="U64" i="50" s="1"/>
  <c r="N64" i="50"/>
  <c r="M64" i="50"/>
  <c r="O64" i="50"/>
  <c r="T63" i="50"/>
  <c r="S63" i="50"/>
  <c r="U63" i="50" s="1"/>
  <c r="O63" i="50"/>
  <c r="U62" i="50"/>
  <c r="U61" i="50"/>
  <c r="S60" i="50"/>
  <c r="U60" i="50"/>
  <c r="O60" i="50"/>
  <c r="U59" i="50"/>
  <c r="O59" i="50"/>
  <c r="U58" i="50"/>
  <c r="O58" i="50"/>
  <c r="U57" i="50"/>
  <c r="M57" i="50"/>
  <c r="O57" i="50"/>
  <c r="T56" i="50"/>
  <c r="S56" i="50"/>
  <c r="U56" i="50" s="1"/>
  <c r="T55" i="50"/>
  <c r="S55" i="50"/>
  <c r="U55" i="50"/>
  <c r="O55" i="50"/>
  <c r="T54" i="50"/>
  <c r="S54" i="50"/>
  <c r="U54" i="50"/>
  <c r="U53" i="50"/>
  <c r="M53" i="50"/>
  <c r="O53" i="50" s="1"/>
  <c r="S52" i="50"/>
  <c r="U52" i="50" s="1"/>
  <c r="M52" i="50"/>
  <c r="O52" i="50" s="1"/>
  <c r="T51" i="50"/>
  <c r="S51" i="50"/>
  <c r="U51" i="50"/>
  <c r="M51" i="50"/>
  <c r="O51" i="50"/>
  <c r="T50" i="50"/>
  <c r="S50" i="50"/>
  <c r="U50" i="50" s="1"/>
  <c r="M50" i="50"/>
  <c r="O50" i="50" s="1"/>
  <c r="S49" i="50"/>
  <c r="U49" i="50" s="1"/>
  <c r="T48" i="50"/>
  <c r="S48" i="50"/>
  <c r="U48" i="50"/>
  <c r="M48" i="50"/>
  <c r="O48" i="50"/>
  <c r="S47" i="50"/>
  <c r="U47" i="50"/>
  <c r="M47" i="50"/>
  <c r="O47" i="50"/>
  <c r="U46" i="50"/>
  <c r="M46" i="50"/>
  <c r="O46" i="50" s="1"/>
  <c r="U45" i="50"/>
  <c r="O45" i="50"/>
  <c r="S44" i="50"/>
  <c r="U44" i="50" s="1"/>
  <c r="U43" i="50"/>
  <c r="U42" i="50"/>
  <c r="M42" i="50"/>
  <c r="O42" i="50" s="1"/>
  <c r="T41" i="50"/>
  <c r="S41" i="50"/>
  <c r="U41" i="50"/>
  <c r="T40" i="50"/>
  <c r="S40" i="50"/>
  <c r="U40" i="50" s="1"/>
  <c r="N40" i="50"/>
  <c r="M40" i="50"/>
  <c r="O40" i="50"/>
  <c r="U39" i="50"/>
  <c r="M39" i="50"/>
  <c r="O39" i="50" s="1"/>
  <c r="T38" i="50"/>
  <c r="U38" i="50" s="1"/>
  <c r="O38" i="50"/>
  <c r="S37" i="50"/>
  <c r="M37" i="50"/>
  <c r="O37" i="50" s="1"/>
  <c r="T36" i="50"/>
  <c r="S36" i="50"/>
  <c r="U36" i="50"/>
  <c r="N36" i="50"/>
  <c r="M36" i="50"/>
  <c r="O36" i="50" s="1"/>
  <c r="T35" i="50"/>
  <c r="S35" i="50"/>
  <c r="U35" i="50"/>
  <c r="N35" i="50"/>
  <c r="M35" i="50"/>
  <c r="O35" i="50" s="1"/>
  <c r="U34" i="50"/>
  <c r="N34" i="50"/>
  <c r="M34" i="50"/>
  <c r="O34" i="50" s="1"/>
  <c r="U33" i="50"/>
  <c r="N33" i="50"/>
  <c r="M33" i="50"/>
  <c r="O33" i="50" s="1"/>
  <c r="U32" i="50"/>
  <c r="O32" i="50"/>
  <c r="T31" i="50"/>
  <c r="S31" i="50"/>
  <c r="U31" i="50"/>
  <c r="O31" i="50"/>
  <c r="T30" i="50"/>
  <c r="U30" i="50" s="1"/>
  <c r="O30" i="50"/>
  <c r="T29" i="50"/>
  <c r="S29" i="50"/>
  <c r="U29" i="50" s="1"/>
  <c r="M29" i="50"/>
  <c r="O29" i="50" s="1"/>
  <c r="U28" i="50"/>
  <c r="O28" i="50"/>
  <c r="T27" i="50"/>
  <c r="U27" i="50" s="1"/>
  <c r="T26" i="50"/>
  <c r="S26" i="50"/>
  <c r="U26" i="50"/>
  <c r="N26" i="50"/>
  <c r="M26" i="50"/>
  <c r="O26" i="50" s="1"/>
  <c r="T25" i="50"/>
  <c r="S25" i="50"/>
  <c r="U25" i="50"/>
  <c r="N25" i="50"/>
  <c r="O25" i="50"/>
  <c r="U24" i="50"/>
  <c r="M24" i="50"/>
  <c r="O24" i="50" s="1"/>
  <c r="S23" i="50"/>
  <c r="U23" i="50" s="1"/>
  <c r="U21" i="50"/>
  <c r="M21" i="50"/>
  <c r="O21" i="50"/>
  <c r="T20" i="50"/>
  <c r="S20" i="50"/>
  <c r="U20" i="50" s="1"/>
  <c r="T19" i="50"/>
  <c r="T18" i="50"/>
  <c r="S18" i="50"/>
  <c r="U18" i="50" s="1"/>
  <c r="O18" i="50"/>
  <c r="U17" i="50"/>
  <c r="U16" i="50"/>
  <c r="O16" i="50"/>
  <c r="S15" i="50"/>
  <c r="U15" i="50" s="1"/>
  <c r="M15" i="50"/>
  <c r="O15" i="50" s="1"/>
  <c r="T14" i="50"/>
  <c r="S14" i="50"/>
  <c r="U14" i="50"/>
  <c r="M14" i="50"/>
  <c r="O14" i="50"/>
  <c r="O13" i="50"/>
  <c r="B13" i="50"/>
  <c r="B14" i="50" s="1"/>
  <c r="B15" i="50" s="1"/>
  <c r="B16" i="50" s="1"/>
  <c r="B17" i="50" s="1"/>
  <c r="B18" i="50" s="1"/>
  <c r="B19" i="50" s="1"/>
  <c r="B20" i="50" s="1"/>
  <c r="B21" i="50" s="1"/>
  <c r="B22" i="50" s="1"/>
  <c r="B23" i="50" s="1"/>
  <c r="B24" i="50" s="1"/>
  <c r="B25" i="50" s="1"/>
  <c r="B26" i="50" s="1"/>
  <c r="B27" i="50" s="1"/>
  <c r="B28" i="50" s="1"/>
  <c r="B29" i="50" s="1"/>
  <c r="B30" i="50" s="1"/>
  <c r="B31" i="50" s="1"/>
  <c r="B32" i="50" s="1"/>
  <c r="B33" i="50" s="1"/>
  <c r="B34" i="50" s="1"/>
  <c r="B35" i="50" s="1"/>
  <c r="B36" i="50" s="1"/>
  <c r="B37" i="50" s="1"/>
  <c r="B38" i="50" s="1"/>
  <c r="B39" i="50" s="1"/>
  <c r="B40" i="50" s="1"/>
  <c r="B41" i="50" s="1"/>
  <c r="B42" i="50" s="1"/>
  <c r="B43" i="50" s="1"/>
  <c r="B44" i="50" s="1"/>
  <c r="B45" i="50" s="1"/>
  <c r="B46" i="50" s="1"/>
  <c r="B47" i="50" s="1"/>
  <c r="B48" i="50" s="1"/>
  <c r="B49" i="50" s="1"/>
  <c r="B50" i="50" s="1"/>
  <c r="B51" i="50" s="1"/>
  <c r="B52" i="50" s="1"/>
  <c r="B53" i="50" s="1"/>
  <c r="B54" i="50" s="1"/>
  <c r="B55" i="50" s="1"/>
  <c r="B56" i="50" s="1"/>
  <c r="B57" i="50" s="1"/>
  <c r="B58" i="50" s="1"/>
  <c r="B59" i="50" s="1"/>
  <c r="B60" i="50" s="1"/>
  <c r="B61" i="50" s="1"/>
  <c r="B62" i="50" s="1"/>
  <c r="B63" i="50" s="1"/>
  <c r="B64" i="50" s="1"/>
  <c r="B65" i="50" s="1"/>
  <c r="B66" i="50" s="1"/>
  <c r="B67" i="50" s="1"/>
  <c r="B68" i="50" s="1"/>
  <c r="B69" i="50" s="1"/>
  <c r="B70" i="50" s="1"/>
  <c r="B71" i="50" s="1"/>
  <c r="B72" i="50" s="1"/>
  <c r="B73" i="50" s="1"/>
  <c r="B74" i="50" s="1"/>
  <c r="B75" i="50" s="1"/>
  <c r="B76" i="50" s="1"/>
  <c r="B77" i="50" s="1"/>
  <c r="B78" i="50" s="1"/>
  <c r="B79" i="50" s="1"/>
  <c r="B80" i="50" s="1"/>
  <c r="B81" i="50" s="1"/>
  <c r="B82" i="50" s="1"/>
  <c r="B83" i="50" s="1"/>
  <c r="B84" i="50" s="1"/>
  <c r="B85" i="50" s="1"/>
  <c r="B86" i="50" s="1"/>
  <c r="B87" i="50" s="1"/>
  <c r="B88" i="50" s="1"/>
  <c r="B89" i="50" s="1"/>
  <c r="B90" i="50" s="1"/>
  <c r="B91" i="50" s="1"/>
  <c r="B92" i="50" s="1"/>
  <c r="B93" i="50" s="1"/>
  <c r="B94" i="50" s="1"/>
  <c r="B95" i="50" s="1"/>
  <c r="B96" i="50" s="1"/>
  <c r="B97" i="50" s="1"/>
  <c r="B98" i="50" s="1"/>
  <c r="B99" i="50" s="1"/>
  <c r="B100" i="50" s="1"/>
  <c r="B101" i="50" s="1"/>
  <c r="B102" i="50" s="1"/>
  <c r="U12" i="50"/>
  <c r="O12" i="50"/>
  <c r="T11" i="50"/>
  <c r="S11" i="50"/>
  <c r="U11" i="50"/>
  <c r="N11" i="50"/>
  <c r="M11" i="50"/>
  <c r="O11" i="50" s="1"/>
  <c r="B11" i="50"/>
  <c r="T10" i="50"/>
  <c r="S10" i="50"/>
  <c r="N10" i="50"/>
  <c r="M10" i="50"/>
  <c r="H9" i="50"/>
  <c r="I9" i="50"/>
  <c r="J9" i="50" s="1"/>
  <c r="K9" i="50" s="1"/>
  <c r="L9" i="50" s="1"/>
  <c r="M9" i="50" s="1"/>
  <c r="N9" i="50" s="1"/>
  <c r="O9" i="50" s="1"/>
  <c r="P9" i="50" s="1"/>
  <c r="Q9" i="50" s="1"/>
  <c r="R9" i="50" s="1"/>
  <c r="S9" i="50" s="1"/>
  <c r="T9" i="50" s="1"/>
  <c r="U9" i="50" s="1"/>
  <c r="M102" i="49"/>
  <c r="S101" i="49"/>
  <c r="M101" i="49"/>
  <c r="M100" i="49"/>
  <c r="M96" i="49"/>
  <c r="M94" i="49"/>
  <c r="M93" i="49"/>
  <c r="M92" i="49"/>
  <c r="O92" i="49" s="1"/>
  <c r="M87" i="49"/>
  <c r="M86" i="49"/>
  <c r="M82" i="49"/>
  <c r="M77" i="49"/>
  <c r="M76" i="49"/>
  <c r="M75" i="49"/>
  <c r="O75" i="49" s="1"/>
  <c r="M73" i="49"/>
  <c r="S71" i="49"/>
  <c r="M71" i="49"/>
  <c r="M70" i="49"/>
  <c r="M69" i="49"/>
  <c r="M68" i="49"/>
  <c r="M65" i="49"/>
  <c r="M64" i="49"/>
  <c r="M61" i="49"/>
  <c r="M57" i="49"/>
  <c r="M54" i="49"/>
  <c r="M53" i="49"/>
  <c r="M52" i="49"/>
  <c r="M51" i="49"/>
  <c r="M50" i="49"/>
  <c r="M46" i="49"/>
  <c r="S47" i="49"/>
  <c r="U47" i="49"/>
  <c r="M47" i="49"/>
  <c r="M43" i="49"/>
  <c r="M39" i="49"/>
  <c r="M29" i="49"/>
  <c r="M25" i="49"/>
  <c r="M23" i="49"/>
  <c r="M22" i="49"/>
  <c r="M21" i="49"/>
  <c r="M20" i="49"/>
  <c r="M15" i="49"/>
  <c r="S15" i="49"/>
  <c r="M10" i="49"/>
  <c r="M95" i="49"/>
  <c r="R105" i="49"/>
  <c r="Q105" i="49"/>
  <c r="P105" i="49"/>
  <c r="L105" i="49"/>
  <c r="K105" i="49"/>
  <c r="J105" i="49"/>
  <c r="I105" i="49"/>
  <c r="H105" i="49"/>
  <c r="U104" i="49"/>
  <c r="O104" i="49"/>
  <c r="U103" i="49"/>
  <c r="N103" i="49"/>
  <c r="M103" i="49"/>
  <c r="O103" i="49" s="1"/>
  <c r="T102" i="49"/>
  <c r="S102" i="49"/>
  <c r="U102" i="49"/>
  <c r="N102" i="49"/>
  <c r="O102" i="49"/>
  <c r="T101" i="49"/>
  <c r="N101" i="49"/>
  <c r="T100" i="49"/>
  <c r="S100" i="49"/>
  <c r="U100" i="49" s="1"/>
  <c r="N100" i="49"/>
  <c r="T99" i="49"/>
  <c r="S99" i="49"/>
  <c r="U99" i="49" s="1"/>
  <c r="N99" i="49"/>
  <c r="M99" i="49"/>
  <c r="O99" i="49"/>
  <c r="T98" i="49"/>
  <c r="S98" i="49"/>
  <c r="U98" i="49" s="1"/>
  <c r="N98" i="49"/>
  <c r="M98" i="49"/>
  <c r="O98" i="49"/>
  <c r="U97" i="49"/>
  <c r="N97" i="49"/>
  <c r="M97" i="49"/>
  <c r="O97" i="49"/>
  <c r="U96" i="49"/>
  <c r="N96" i="49"/>
  <c r="T95" i="49"/>
  <c r="S95" i="49"/>
  <c r="U95" i="49" s="1"/>
  <c r="N95" i="49"/>
  <c r="T94" i="49"/>
  <c r="S94" i="49"/>
  <c r="U94" i="49" s="1"/>
  <c r="N94" i="49"/>
  <c r="T93" i="49"/>
  <c r="S93" i="49"/>
  <c r="U93" i="49" s="1"/>
  <c r="N93" i="49"/>
  <c r="U92" i="49"/>
  <c r="N92" i="49"/>
  <c r="T91" i="49"/>
  <c r="S91" i="49"/>
  <c r="U91" i="49"/>
  <c r="N91" i="49"/>
  <c r="M91" i="49"/>
  <c r="O91" i="49" s="1"/>
  <c r="U90" i="49"/>
  <c r="N90" i="49"/>
  <c r="M90" i="49"/>
  <c r="O90" i="49" s="1"/>
  <c r="T89" i="49"/>
  <c r="S89" i="49"/>
  <c r="U89" i="49"/>
  <c r="N89" i="49"/>
  <c r="M89" i="49"/>
  <c r="O89" i="49" s="1"/>
  <c r="U88" i="49"/>
  <c r="O88" i="49"/>
  <c r="T87" i="49"/>
  <c r="S87" i="49"/>
  <c r="U87" i="49"/>
  <c r="N87" i="49"/>
  <c r="U86" i="49"/>
  <c r="N86" i="49"/>
  <c r="O86" i="49"/>
  <c r="T85" i="49"/>
  <c r="S85" i="49"/>
  <c r="U85" i="49" s="1"/>
  <c r="N85" i="49"/>
  <c r="M85" i="49"/>
  <c r="O85" i="49"/>
  <c r="U84" i="49"/>
  <c r="N84" i="49"/>
  <c r="M84" i="49"/>
  <c r="O84" i="49"/>
  <c r="T83" i="49"/>
  <c r="S83" i="49"/>
  <c r="N83" i="49"/>
  <c r="M83" i="49"/>
  <c r="O83" i="49" s="1"/>
  <c r="T82" i="49"/>
  <c r="S82" i="49"/>
  <c r="U82" i="49"/>
  <c r="N82" i="49"/>
  <c r="U81" i="49"/>
  <c r="M81" i="49"/>
  <c r="O81" i="49"/>
  <c r="T80" i="49"/>
  <c r="S80" i="49"/>
  <c r="U80" i="49" s="1"/>
  <c r="N80" i="49"/>
  <c r="M80" i="49"/>
  <c r="O80" i="49"/>
  <c r="T79" i="49"/>
  <c r="S79" i="49"/>
  <c r="U79" i="49" s="1"/>
  <c r="N79" i="49"/>
  <c r="M79" i="49"/>
  <c r="O79" i="49"/>
  <c r="T78" i="49"/>
  <c r="S78" i="49"/>
  <c r="O78" i="49"/>
  <c r="U77" i="49"/>
  <c r="N77" i="49"/>
  <c r="O77" i="49"/>
  <c r="S76" i="49"/>
  <c r="U76" i="49"/>
  <c r="N76" i="49"/>
  <c r="O76" i="49"/>
  <c r="T75" i="49"/>
  <c r="S75" i="49"/>
  <c r="U75" i="49" s="1"/>
  <c r="N75" i="49"/>
  <c r="U74" i="49"/>
  <c r="O74" i="49"/>
  <c r="T73" i="49"/>
  <c r="S73" i="49"/>
  <c r="U73" i="49"/>
  <c r="N73" i="49"/>
  <c r="T72" i="49"/>
  <c r="S72" i="49"/>
  <c r="N72" i="49"/>
  <c r="M72" i="49"/>
  <c r="O72" i="49"/>
  <c r="T71" i="49"/>
  <c r="N71" i="49"/>
  <c r="S70" i="49"/>
  <c r="U70" i="49"/>
  <c r="N70" i="49"/>
  <c r="U69" i="49"/>
  <c r="N69" i="49"/>
  <c r="U68" i="49"/>
  <c r="N68" i="49"/>
  <c r="T67" i="49"/>
  <c r="S67" i="49"/>
  <c r="U67" i="49"/>
  <c r="N67" i="49"/>
  <c r="O67" i="49"/>
  <c r="U66" i="49"/>
  <c r="N66" i="49"/>
  <c r="M66" i="49"/>
  <c r="O66" i="49"/>
  <c r="T65" i="49"/>
  <c r="S65" i="49"/>
  <c r="U65" i="49" s="1"/>
  <c r="N65" i="49"/>
  <c r="T64" i="49"/>
  <c r="S64" i="49"/>
  <c r="N64" i="49"/>
  <c r="T63" i="49"/>
  <c r="S63" i="49"/>
  <c r="U63" i="49"/>
  <c r="O63" i="49"/>
  <c r="T62" i="49"/>
  <c r="U62" i="49" s="1"/>
  <c r="N62" i="49"/>
  <c r="O62" i="49" s="1"/>
  <c r="U61" i="49"/>
  <c r="N61" i="49"/>
  <c r="O61" i="49"/>
  <c r="S60" i="49"/>
  <c r="U60" i="49"/>
  <c r="N60" i="49"/>
  <c r="O60" i="49"/>
  <c r="U59" i="49"/>
  <c r="O59" i="49"/>
  <c r="U58" i="49"/>
  <c r="O58" i="49"/>
  <c r="U57" i="49"/>
  <c r="O57" i="49"/>
  <c r="T56" i="49"/>
  <c r="S56" i="49"/>
  <c r="U56" i="49" s="1"/>
  <c r="N56" i="49"/>
  <c r="O56" i="49" s="1"/>
  <c r="T55" i="49"/>
  <c r="S55" i="49"/>
  <c r="U55" i="49"/>
  <c r="O55" i="49"/>
  <c r="T54" i="49"/>
  <c r="S54" i="49"/>
  <c r="N54" i="49"/>
  <c r="O54" i="49" s="1"/>
  <c r="U53" i="49"/>
  <c r="N53" i="49"/>
  <c r="T52" i="49"/>
  <c r="S52" i="49"/>
  <c r="U52" i="49"/>
  <c r="N52" i="49"/>
  <c r="T51" i="49"/>
  <c r="S51" i="49"/>
  <c r="N51" i="49"/>
  <c r="O51" i="49" s="1"/>
  <c r="T50" i="49"/>
  <c r="S50" i="49"/>
  <c r="U50" i="49"/>
  <c r="N50" i="49"/>
  <c r="T49" i="49"/>
  <c r="S49" i="49"/>
  <c r="U49" i="49"/>
  <c r="N49" i="49"/>
  <c r="O49" i="49"/>
  <c r="T48" i="49"/>
  <c r="S48" i="49"/>
  <c r="U48" i="49" s="1"/>
  <c r="N48" i="49"/>
  <c r="M48" i="49"/>
  <c r="O48" i="49"/>
  <c r="N47" i="49"/>
  <c r="O47" i="49"/>
  <c r="U46" i="49"/>
  <c r="N46" i="49"/>
  <c r="O46" i="49" s="1"/>
  <c r="U45" i="49"/>
  <c r="O45" i="49"/>
  <c r="T44" i="49"/>
  <c r="S44" i="49"/>
  <c r="U44" i="49"/>
  <c r="N44" i="49"/>
  <c r="O44" i="49"/>
  <c r="U43" i="49"/>
  <c r="N43" i="49"/>
  <c r="O43" i="49" s="1"/>
  <c r="U42" i="49"/>
  <c r="N42" i="49"/>
  <c r="M42" i="49"/>
  <c r="O42" i="49" s="1"/>
  <c r="T41" i="49"/>
  <c r="S41" i="49"/>
  <c r="N41" i="49"/>
  <c r="M41" i="49"/>
  <c r="O41" i="49"/>
  <c r="T40" i="49"/>
  <c r="S40" i="49"/>
  <c r="U40" i="49" s="1"/>
  <c r="N40" i="49"/>
  <c r="M40" i="49"/>
  <c r="U39" i="49"/>
  <c r="N39" i="49"/>
  <c r="T38" i="49"/>
  <c r="U38" i="49" s="1"/>
  <c r="N38" i="49"/>
  <c r="O38" i="49" s="1"/>
  <c r="S37" i="49"/>
  <c r="U37" i="49" s="1"/>
  <c r="N37" i="49"/>
  <c r="M37" i="49"/>
  <c r="O37" i="49"/>
  <c r="T36" i="49"/>
  <c r="S36" i="49"/>
  <c r="N36" i="49"/>
  <c r="M36" i="49"/>
  <c r="O36" i="49" s="1"/>
  <c r="T35" i="49"/>
  <c r="S35" i="49"/>
  <c r="U35" i="49"/>
  <c r="N35" i="49"/>
  <c r="M35" i="49"/>
  <c r="O35" i="49" s="1"/>
  <c r="U34" i="49"/>
  <c r="N34" i="49"/>
  <c r="M34" i="49"/>
  <c r="O34" i="49" s="1"/>
  <c r="U33" i="49"/>
  <c r="N33" i="49"/>
  <c r="M33" i="49"/>
  <c r="O33" i="49" s="1"/>
  <c r="U32" i="49"/>
  <c r="O32" i="49"/>
  <c r="T31" i="49"/>
  <c r="S31" i="49"/>
  <c r="U31" i="49"/>
  <c r="O31" i="49"/>
  <c r="T30" i="49"/>
  <c r="U30" i="49" s="1"/>
  <c r="N30" i="49"/>
  <c r="O30" i="49" s="1"/>
  <c r="T29" i="49"/>
  <c r="S29" i="49"/>
  <c r="U29" i="49"/>
  <c r="N29" i="49"/>
  <c r="U28" i="49"/>
  <c r="O28" i="49"/>
  <c r="T27" i="49"/>
  <c r="U27" i="49" s="1"/>
  <c r="N27" i="49"/>
  <c r="O27" i="49" s="1"/>
  <c r="T26" i="49"/>
  <c r="S26" i="49"/>
  <c r="U26" i="49"/>
  <c r="N26" i="49"/>
  <c r="M26" i="49"/>
  <c r="O26" i="49" s="1"/>
  <c r="T25" i="49"/>
  <c r="S25" i="49"/>
  <c r="U25" i="49"/>
  <c r="N25" i="49"/>
  <c r="O25" i="49"/>
  <c r="U24" i="49"/>
  <c r="N24" i="49"/>
  <c r="M24" i="49"/>
  <c r="O24" i="49"/>
  <c r="S23" i="49"/>
  <c r="U23" i="49"/>
  <c r="N23" i="49"/>
  <c r="T22" i="49"/>
  <c r="S22" i="49"/>
  <c r="U22" i="49"/>
  <c r="N22" i="49"/>
  <c r="O22" i="49"/>
  <c r="T21" i="49"/>
  <c r="U21" i="49"/>
  <c r="N21" i="49"/>
  <c r="T20" i="49"/>
  <c r="S20" i="49"/>
  <c r="U20" i="49"/>
  <c r="N20" i="49"/>
  <c r="O20" i="49"/>
  <c r="T19" i="49"/>
  <c r="U19" i="49"/>
  <c r="N19" i="49"/>
  <c r="O19" i="49"/>
  <c r="T18" i="49"/>
  <c r="S18" i="49"/>
  <c r="U18" i="49" s="1"/>
  <c r="N18" i="49"/>
  <c r="M18" i="49"/>
  <c r="O18" i="49"/>
  <c r="U17" i="49"/>
  <c r="N17" i="49"/>
  <c r="M17" i="49"/>
  <c r="O17" i="49"/>
  <c r="U16" i="49"/>
  <c r="O16" i="49"/>
  <c r="T15" i="49"/>
  <c r="U15" i="49"/>
  <c r="N15" i="49"/>
  <c r="O15" i="49"/>
  <c r="T14" i="49"/>
  <c r="S14" i="49"/>
  <c r="U14" i="49" s="1"/>
  <c r="N14" i="49"/>
  <c r="M14" i="49"/>
  <c r="O14" i="49"/>
  <c r="T13" i="49"/>
  <c r="S13" i="49"/>
  <c r="U13" i="49" s="1"/>
  <c r="N13" i="49"/>
  <c r="M13" i="49"/>
  <c r="O13" i="49"/>
  <c r="B13" i="49"/>
  <c r="B14" i="49"/>
  <c r="B15" i="49" s="1"/>
  <c r="B16" i="49" s="1"/>
  <c r="B17" i="49" s="1"/>
  <c r="B18" i="49" s="1"/>
  <c r="B19" i="49" s="1"/>
  <c r="B20" i="49" s="1"/>
  <c r="B21" i="49" s="1"/>
  <c r="B22" i="49" s="1"/>
  <c r="B23" i="49" s="1"/>
  <c r="B24" i="49" s="1"/>
  <c r="B25" i="49" s="1"/>
  <c r="B26" i="49" s="1"/>
  <c r="B27" i="49" s="1"/>
  <c r="B28" i="49" s="1"/>
  <c r="B29" i="49" s="1"/>
  <c r="B30" i="49" s="1"/>
  <c r="B31" i="49" s="1"/>
  <c r="B32" i="49" s="1"/>
  <c r="B33" i="49" s="1"/>
  <c r="B34" i="49" s="1"/>
  <c r="B35" i="49" s="1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47" i="49" s="1"/>
  <c r="B48" i="49" s="1"/>
  <c r="B49" i="49" s="1"/>
  <c r="B50" i="49" s="1"/>
  <c r="B51" i="49" s="1"/>
  <c r="B52" i="49" s="1"/>
  <c r="B53" i="49" s="1"/>
  <c r="B54" i="49" s="1"/>
  <c r="B55" i="49" s="1"/>
  <c r="B56" i="49" s="1"/>
  <c r="B57" i="49" s="1"/>
  <c r="B58" i="49" s="1"/>
  <c r="B59" i="49" s="1"/>
  <c r="B60" i="49" s="1"/>
  <c r="B61" i="49" s="1"/>
  <c r="B62" i="49" s="1"/>
  <c r="B63" i="49" s="1"/>
  <c r="B64" i="49" s="1"/>
  <c r="B65" i="49" s="1"/>
  <c r="B66" i="49" s="1"/>
  <c r="B67" i="49" s="1"/>
  <c r="B68" i="49" s="1"/>
  <c r="B69" i="49" s="1"/>
  <c r="B70" i="49" s="1"/>
  <c r="B71" i="49" s="1"/>
  <c r="B72" i="49" s="1"/>
  <c r="B73" i="49" s="1"/>
  <c r="B74" i="49" s="1"/>
  <c r="B75" i="49" s="1"/>
  <c r="B76" i="49" s="1"/>
  <c r="B77" i="49" s="1"/>
  <c r="B78" i="49" s="1"/>
  <c r="B79" i="49" s="1"/>
  <c r="B80" i="49" s="1"/>
  <c r="B81" i="49" s="1"/>
  <c r="B82" i="49" s="1"/>
  <c r="B83" i="49" s="1"/>
  <c r="B84" i="49" s="1"/>
  <c r="B85" i="49" s="1"/>
  <c r="B86" i="49" s="1"/>
  <c r="B87" i="49" s="1"/>
  <c r="B88" i="49" s="1"/>
  <c r="B89" i="49" s="1"/>
  <c r="B90" i="49" s="1"/>
  <c r="B91" i="49" s="1"/>
  <c r="B92" i="49" s="1"/>
  <c r="B93" i="49" s="1"/>
  <c r="B94" i="49" s="1"/>
  <c r="B95" i="49" s="1"/>
  <c r="B96" i="49" s="1"/>
  <c r="B97" i="49" s="1"/>
  <c r="B98" i="49" s="1"/>
  <c r="B99" i="49" s="1"/>
  <c r="B100" i="49" s="1"/>
  <c r="B101" i="49" s="1"/>
  <c r="B102" i="49" s="1"/>
  <c r="U12" i="49"/>
  <c r="O12" i="49"/>
  <c r="T11" i="49"/>
  <c r="S11" i="49"/>
  <c r="U11" i="49" s="1"/>
  <c r="N11" i="49"/>
  <c r="M11" i="49"/>
  <c r="O11" i="49"/>
  <c r="B11" i="49"/>
  <c r="T10" i="49"/>
  <c r="S10" i="49"/>
  <c r="N10" i="49"/>
  <c r="N105" i="49" s="1"/>
  <c r="H9" i="49"/>
  <c r="I9" i="49" s="1"/>
  <c r="J9" i="49" s="1"/>
  <c r="K9" i="49" s="1"/>
  <c r="L9" i="49" s="1"/>
  <c r="M9" i="49" s="1"/>
  <c r="N9" i="49" s="1"/>
  <c r="O9" i="49" s="1"/>
  <c r="P9" i="49" s="1"/>
  <c r="Q9" i="49" s="1"/>
  <c r="R9" i="49" s="1"/>
  <c r="S9" i="49" s="1"/>
  <c r="T9" i="49" s="1"/>
  <c r="U9" i="49" s="1"/>
  <c r="M103" i="48"/>
  <c r="O103" i="48" s="1"/>
  <c r="M98" i="48"/>
  <c r="M92" i="48"/>
  <c r="O92" i="48" s="1"/>
  <c r="M89" i="48"/>
  <c r="M87" i="48"/>
  <c r="M85" i="48"/>
  <c r="M86" i="48"/>
  <c r="M83" i="48"/>
  <c r="R105" i="48"/>
  <c r="Q105" i="48"/>
  <c r="P105" i="48"/>
  <c r="L105" i="48"/>
  <c r="K105" i="48"/>
  <c r="J105" i="48"/>
  <c r="I105" i="48"/>
  <c r="H105" i="48"/>
  <c r="U104" i="48"/>
  <c r="O104" i="48"/>
  <c r="U103" i="48"/>
  <c r="N103" i="48"/>
  <c r="T102" i="48"/>
  <c r="S102" i="48"/>
  <c r="U102" i="48"/>
  <c r="N102" i="48"/>
  <c r="M102" i="48"/>
  <c r="O102" i="48" s="1"/>
  <c r="T101" i="48"/>
  <c r="S101" i="48"/>
  <c r="U101" i="48"/>
  <c r="N101" i="48"/>
  <c r="M101" i="48"/>
  <c r="O101" i="48" s="1"/>
  <c r="T100" i="48"/>
  <c r="S100" i="48"/>
  <c r="U100" i="48"/>
  <c r="N100" i="48"/>
  <c r="M100" i="48"/>
  <c r="O100" i="48" s="1"/>
  <c r="T99" i="48"/>
  <c r="S99" i="48"/>
  <c r="U99" i="48"/>
  <c r="N99" i="48"/>
  <c r="M99" i="48"/>
  <c r="O99" i="48" s="1"/>
  <c r="T98" i="48"/>
  <c r="S98" i="48"/>
  <c r="U98" i="48"/>
  <c r="N98" i="48"/>
  <c r="U97" i="48"/>
  <c r="N97" i="48"/>
  <c r="M97" i="48"/>
  <c r="U96" i="48"/>
  <c r="N96" i="48"/>
  <c r="M96" i="48"/>
  <c r="O96" i="48"/>
  <c r="T95" i="48"/>
  <c r="S95" i="48"/>
  <c r="U95" i="48" s="1"/>
  <c r="N95" i="48"/>
  <c r="M95" i="48"/>
  <c r="O95" i="48"/>
  <c r="T94" i="48"/>
  <c r="S94" i="48"/>
  <c r="U94" i="48" s="1"/>
  <c r="N94" i="48"/>
  <c r="M94" i="48"/>
  <c r="O94" i="48"/>
  <c r="T93" i="48"/>
  <c r="S93" i="48"/>
  <c r="U93" i="48" s="1"/>
  <c r="N93" i="48"/>
  <c r="M93" i="48"/>
  <c r="O93" i="48"/>
  <c r="U92" i="48"/>
  <c r="N92" i="48"/>
  <c r="T91" i="48"/>
  <c r="S91" i="48"/>
  <c r="N91" i="48"/>
  <c r="M91" i="48"/>
  <c r="O91" i="48" s="1"/>
  <c r="U90" i="48"/>
  <c r="N90" i="48"/>
  <c r="M90" i="48"/>
  <c r="O90" i="48" s="1"/>
  <c r="T89" i="48"/>
  <c r="S89" i="48"/>
  <c r="U89" i="48"/>
  <c r="N89" i="48"/>
  <c r="O89" i="48"/>
  <c r="U88" i="48"/>
  <c r="O88" i="48"/>
  <c r="T87" i="48"/>
  <c r="S87" i="48"/>
  <c r="U87" i="48" s="1"/>
  <c r="N87" i="48"/>
  <c r="O87" i="48" s="1"/>
  <c r="U86" i="48"/>
  <c r="N86" i="48"/>
  <c r="T85" i="48"/>
  <c r="S85" i="48"/>
  <c r="N85" i="48"/>
  <c r="U84" i="48"/>
  <c r="N84" i="48"/>
  <c r="M84" i="48"/>
  <c r="O84" i="48"/>
  <c r="T83" i="48"/>
  <c r="S83" i="48"/>
  <c r="U83" i="48" s="1"/>
  <c r="N83" i="48"/>
  <c r="T82" i="48"/>
  <c r="S82" i="48"/>
  <c r="U82" i="48"/>
  <c r="N82" i="48"/>
  <c r="M82" i="48"/>
  <c r="O82" i="48" s="1"/>
  <c r="U81" i="48"/>
  <c r="M81" i="48"/>
  <c r="O81" i="48"/>
  <c r="T80" i="48"/>
  <c r="S80" i="48"/>
  <c r="U80" i="48" s="1"/>
  <c r="N80" i="48"/>
  <c r="M80" i="48"/>
  <c r="O80" i="48"/>
  <c r="T79" i="48"/>
  <c r="S79" i="48"/>
  <c r="U79" i="48" s="1"/>
  <c r="N79" i="48"/>
  <c r="M79" i="48"/>
  <c r="O79" i="48"/>
  <c r="T78" i="48"/>
  <c r="S78" i="48"/>
  <c r="U78" i="48" s="1"/>
  <c r="O78" i="48"/>
  <c r="U77" i="48"/>
  <c r="N77" i="48"/>
  <c r="O77" i="48" s="1"/>
  <c r="S76" i="48"/>
  <c r="U76" i="48" s="1"/>
  <c r="N76" i="48"/>
  <c r="M76" i="48"/>
  <c r="O76" i="48"/>
  <c r="T75" i="48"/>
  <c r="S75" i="48"/>
  <c r="U75" i="48" s="1"/>
  <c r="N75" i="48"/>
  <c r="M75" i="48"/>
  <c r="O75" i="48"/>
  <c r="U74" i="48"/>
  <c r="O74" i="48"/>
  <c r="T73" i="48"/>
  <c r="S73" i="48"/>
  <c r="U73" i="48" s="1"/>
  <c r="N73" i="48"/>
  <c r="M73" i="48"/>
  <c r="O73" i="48"/>
  <c r="T72" i="48"/>
  <c r="S72" i="48"/>
  <c r="U72" i="48" s="1"/>
  <c r="N72" i="48"/>
  <c r="M72" i="48"/>
  <c r="O72" i="48"/>
  <c r="T71" i="48"/>
  <c r="S71" i="48"/>
  <c r="U71" i="48" s="1"/>
  <c r="N71" i="48"/>
  <c r="M71" i="48"/>
  <c r="O71" i="48"/>
  <c r="S70" i="48"/>
  <c r="U70" i="48"/>
  <c r="N70" i="48"/>
  <c r="O70" i="48"/>
  <c r="U69" i="48"/>
  <c r="N69" i="48"/>
  <c r="M69" i="48"/>
  <c r="O69" i="48"/>
  <c r="U68" i="48"/>
  <c r="N68" i="48"/>
  <c r="O68" i="48" s="1"/>
  <c r="T67" i="48"/>
  <c r="S67" i="48"/>
  <c r="U67" i="48"/>
  <c r="N67" i="48"/>
  <c r="O67" i="48"/>
  <c r="U66" i="48"/>
  <c r="N66" i="48"/>
  <c r="M66" i="48"/>
  <c r="O66" i="48"/>
  <c r="T65" i="48"/>
  <c r="S65" i="48"/>
  <c r="U65" i="48" s="1"/>
  <c r="N65" i="48"/>
  <c r="M65" i="48"/>
  <c r="O65" i="48"/>
  <c r="T64" i="48"/>
  <c r="S64" i="48"/>
  <c r="U64" i="48" s="1"/>
  <c r="N64" i="48"/>
  <c r="O64" i="48" s="1"/>
  <c r="T63" i="48"/>
  <c r="S63" i="48"/>
  <c r="U63" i="48"/>
  <c r="O63" i="48"/>
  <c r="T62" i="48"/>
  <c r="U62" i="48" s="1"/>
  <c r="N62" i="48"/>
  <c r="O62" i="48" s="1"/>
  <c r="U61" i="48"/>
  <c r="N61" i="48"/>
  <c r="M61" i="48"/>
  <c r="O61" i="48" s="1"/>
  <c r="S60" i="48"/>
  <c r="U60" i="48" s="1"/>
  <c r="N60" i="48"/>
  <c r="O60" i="48" s="1"/>
  <c r="U59" i="48"/>
  <c r="O59" i="48"/>
  <c r="U58" i="48"/>
  <c r="O58" i="48"/>
  <c r="U57" i="48"/>
  <c r="O57" i="48"/>
  <c r="T56" i="48"/>
  <c r="S56" i="48"/>
  <c r="U56" i="48"/>
  <c r="N56" i="48"/>
  <c r="O56" i="48"/>
  <c r="T55" i="48"/>
  <c r="S55" i="48"/>
  <c r="U55" i="48" s="1"/>
  <c r="O55" i="48"/>
  <c r="T54" i="48"/>
  <c r="S54" i="48"/>
  <c r="U54" i="48" s="1"/>
  <c r="N54" i="48"/>
  <c r="M54" i="48"/>
  <c r="O54" i="48"/>
  <c r="U53" i="48"/>
  <c r="N53" i="48"/>
  <c r="M53" i="48"/>
  <c r="O53" i="48"/>
  <c r="T52" i="48"/>
  <c r="S52" i="48"/>
  <c r="U52" i="48" s="1"/>
  <c r="N52" i="48"/>
  <c r="O52" i="48" s="1"/>
  <c r="T51" i="48"/>
  <c r="S51" i="48"/>
  <c r="U51" i="48"/>
  <c r="N51" i="48"/>
  <c r="O51" i="48"/>
  <c r="T50" i="48"/>
  <c r="S50" i="48"/>
  <c r="U50" i="48" s="1"/>
  <c r="N50" i="48"/>
  <c r="M50" i="48"/>
  <c r="O50" i="48"/>
  <c r="T49" i="48"/>
  <c r="S49" i="48"/>
  <c r="U49" i="48" s="1"/>
  <c r="N49" i="48"/>
  <c r="O49" i="48" s="1"/>
  <c r="T48" i="48"/>
  <c r="S48" i="48"/>
  <c r="U48" i="48"/>
  <c r="N48" i="48"/>
  <c r="M48" i="48"/>
  <c r="O48" i="48" s="1"/>
  <c r="U47" i="48"/>
  <c r="N47" i="48"/>
  <c r="O47" i="48"/>
  <c r="U46" i="48"/>
  <c r="N46" i="48"/>
  <c r="O46" i="48" s="1"/>
  <c r="U45" i="48"/>
  <c r="O45" i="48"/>
  <c r="T44" i="48"/>
  <c r="S44" i="48"/>
  <c r="U44" i="48"/>
  <c r="N44" i="48"/>
  <c r="O44" i="48"/>
  <c r="U43" i="48"/>
  <c r="N43" i="48"/>
  <c r="O43" i="48" s="1"/>
  <c r="U42" i="48"/>
  <c r="N42" i="48"/>
  <c r="M42" i="48"/>
  <c r="O42" i="48" s="1"/>
  <c r="T41" i="48"/>
  <c r="S41" i="48"/>
  <c r="U41" i="48"/>
  <c r="N41" i="48"/>
  <c r="M41" i="48"/>
  <c r="O41" i="48" s="1"/>
  <c r="T40" i="48"/>
  <c r="S40" i="48"/>
  <c r="U40" i="48"/>
  <c r="N40" i="48"/>
  <c r="M40" i="48"/>
  <c r="O40" i="48" s="1"/>
  <c r="U39" i="48"/>
  <c r="N39" i="48"/>
  <c r="M39" i="48"/>
  <c r="O39" i="48" s="1"/>
  <c r="T38" i="48"/>
  <c r="U38" i="48" s="1"/>
  <c r="N38" i="48"/>
  <c r="O38" i="48" s="1"/>
  <c r="S37" i="48"/>
  <c r="U37" i="48" s="1"/>
  <c r="N37" i="48"/>
  <c r="M37" i="48"/>
  <c r="O37" i="48"/>
  <c r="T36" i="48"/>
  <c r="S36" i="48"/>
  <c r="U36" i="48" s="1"/>
  <c r="N36" i="48"/>
  <c r="M36" i="48"/>
  <c r="O36" i="48"/>
  <c r="T35" i="48"/>
  <c r="S35" i="48"/>
  <c r="U35" i="48" s="1"/>
  <c r="N35" i="48"/>
  <c r="M35" i="48"/>
  <c r="O35" i="48"/>
  <c r="U34" i="48"/>
  <c r="N34" i="48"/>
  <c r="M34" i="48"/>
  <c r="O34" i="48"/>
  <c r="U33" i="48"/>
  <c r="N33" i="48"/>
  <c r="M33" i="48"/>
  <c r="O33" i="48"/>
  <c r="U32" i="48"/>
  <c r="O32" i="48"/>
  <c r="T31" i="48"/>
  <c r="S31" i="48"/>
  <c r="U31" i="48" s="1"/>
  <c r="O31" i="48"/>
  <c r="T30" i="48"/>
  <c r="U30" i="48"/>
  <c r="N30" i="48"/>
  <c r="O30" i="48"/>
  <c r="T29" i="48"/>
  <c r="S29" i="48"/>
  <c r="U29" i="48" s="1"/>
  <c r="N29" i="48"/>
  <c r="M29" i="48"/>
  <c r="O29" i="48"/>
  <c r="U28" i="48"/>
  <c r="O28" i="48"/>
  <c r="T27" i="48"/>
  <c r="U27" i="48"/>
  <c r="N27" i="48"/>
  <c r="O27" i="48"/>
  <c r="T26" i="48"/>
  <c r="S26" i="48"/>
  <c r="U26" i="48" s="1"/>
  <c r="N26" i="48"/>
  <c r="M26" i="48"/>
  <c r="O26" i="48"/>
  <c r="T25" i="48"/>
  <c r="S25" i="48"/>
  <c r="U25" i="48" s="1"/>
  <c r="N25" i="48"/>
  <c r="M25" i="48"/>
  <c r="O25" i="48"/>
  <c r="U24" i="48"/>
  <c r="N24" i="48"/>
  <c r="M24" i="48"/>
  <c r="O24" i="48"/>
  <c r="S23" i="48"/>
  <c r="U23" i="48"/>
  <c r="N23" i="48"/>
  <c r="M23" i="48"/>
  <c r="O23" i="48" s="1"/>
  <c r="T22" i="48"/>
  <c r="S22" i="48"/>
  <c r="U22" i="48"/>
  <c r="N22" i="48"/>
  <c r="M22" i="48"/>
  <c r="O22" i="48" s="1"/>
  <c r="T21" i="48"/>
  <c r="U21" i="48" s="1"/>
  <c r="N21" i="48"/>
  <c r="O21" i="48" s="1"/>
  <c r="T20" i="48"/>
  <c r="S20" i="48"/>
  <c r="U20" i="48"/>
  <c r="N20" i="48"/>
  <c r="M20" i="48"/>
  <c r="O20" i="48" s="1"/>
  <c r="T19" i="48"/>
  <c r="U19" i="48" s="1"/>
  <c r="N19" i="48"/>
  <c r="O19" i="48" s="1"/>
  <c r="T18" i="48"/>
  <c r="S18" i="48"/>
  <c r="U18" i="48"/>
  <c r="N18" i="48"/>
  <c r="M18" i="48"/>
  <c r="O18" i="48" s="1"/>
  <c r="U17" i="48"/>
  <c r="N17" i="48"/>
  <c r="M17" i="48"/>
  <c r="U16" i="48"/>
  <c r="O16" i="48"/>
  <c r="T15" i="48"/>
  <c r="S15" i="48"/>
  <c r="U15" i="48" s="1"/>
  <c r="N15" i="48"/>
  <c r="M15" i="48"/>
  <c r="O15" i="48"/>
  <c r="T14" i="48"/>
  <c r="S14" i="48"/>
  <c r="U14" i="48" s="1"/>
  <c r="N14" i="48"/>
  <c r="M14" i="48"/>
  <c r="O14" i="48"/>
  <c r="T13" i="48"/>
  <c r="S13" i="48"/>
  <c r="U13" i="48" s="1"/>
  <c r="N13" i="48"/>
  <c r="M13" i="48"/>
  <c r="O13" i="48"/>
  <c r="B13" i="48"/>
  <c r="B14" i="48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B62" i="48" s="1"/>
  <c r="B63" i="48" s="1"/>
  <c r="B64" i="48" s="1"/>
  <c r="B65" i="48" s="1"/>
  <c r="B66" i="48" s="1"/>
  <c r="B67" i="48" s="1"/>
  <c r="B68" i="48" s="1"/>
  <c r="B69" i="48" s="1"/>
  <c r="B70" i="48" s="1"/>
  <c r="B71" i="48" s="1"/>
  <c r="B72" i="48" s="1"/>
  <c r="B73" i="48" s="1"/>
  <c r="B74" i="48" s="1"/>
  <c r="B75" i="48" s="1"/>
  <c r="B76" i="48" s="1"/>
  <c r="B77" i="48" s="1"/>
  <c r="B78" i="48" s="1"/>
  <c r="B79" i="48" s="1"/>
  <c r="B80" i="48" s="1"/>
  <c r="B81" i="48" s="1"/>
  <c r="B82" i="48" s="1"/>
  <c r="B83" i="48" s="1"/>
  <c r="B84" i="48" s="1"/>
  <c r="B85" i="48" s="1"/>
  <c r="B86" i="48" s="1"/>
  <c r="B87" i="48" s="1"/>
  <c r="B88" i="48" s="1"/>
  <c r="B89" i="48" s="1"/>
  <c r="B90" i="48" s="1"/>
  <c r="B91" i="48" s="1"/>
  <c r="B92" i="48" s="1"/>
  <c r="B93" i="48" s="1"/>
  <c r="B94" i="48" s="1"/>
  <c r="B95" i="48" s="1"/>
  <c r="B96" i="48" s="1"/>
  <c r="B97" i="48" s="1"/>
  <c r="B98" i="48" s="1"/>
  <c r="B99" i="48" s="1"/>
  <c r="B100" i="48" s="1"/>
  <c r="B101" i="48" s="1"/>
  <c r="B102" i="48" s="1"/>
  <c r="U12" i="48"/>
  <c r="O12" i="48"/>
  <c r="T11" i="48"/>
  <c r="S11" i="48"/>
  <c r="U11" i="48" s="1"/>
  <c r="N11" i="48"/>
  <c r="M11" i="48"/>
  <c r="O11" i="48"/>
  <c r="B11" i="48"/>
  <c r="T10" i="48"/>
  <c r="T105" i="48" s="1"/>
  <c r="S10" i="48"/>
  <c r="U10" i="48" s="1"/>
  <c r="N10" i="48"/>
  <c r="N105" i="48" s="1"/>
  <c r="M10" i="48"/>
  <c r="H9" i="48"/>
  <c r="I9" i="48"/>
  <c r="J9" i="48" s="1"/>
  <c r="K9" i="48" s="1"/>
  <c r="L9" i="48" s="1"/>
  <c r="M9" i="48" s="1"/>
  <c r="N9" i="48" s="1"/>
  <c r="O9" i="48" s="1"/>
  <c r="P9" i="48" s="1"/>
  <c r="Q9" i="48" s="1"/>
  <c r="R9" i="48" s="1"/>
  <c r="S9" i="48" s="1"/>
  <c r="T9" i="48" s="1"/>
  <c r="U9" i="48" s="1"/>
  <c r="O85" i="48"/>
  <c r="O86" i="48"/>
  <c r="U91" i="48"/>
  <c r="O97" i="48"/>
  <c r="M101" i="47"/>
  <c r="S44" i="47"/>
  <c r="M44" i="47"/>
  <c r="M49" i="47"/>
  <c r="S49" i="47"/>
  <c r="M82" i="47"/>
  <c r="M102" i="47"/>
  <c r="M100" i="47"/>
  <c r="M94" i="47"/>
  <c r="S99" i="47"/>
  <c r="M95" i="47"/>
  <c r="M92" i="47"/>
  <c r="M91" i="47"/>
  <c r="M83" i="47"/>
  <c r="M81" i="47"/>
  <c r="O81" i="47"/>
  <c r="M80" i="47"/>
  <c r="S76" i="47"/>
  <c r="U76" i="47" s="1"/>
  <c r="M76" i="47"/>
  <c r="S73" i="47"/>
  <c r="M73" i="47"/>
  <c r="O73" i="47" s="1"/>
  <c r="S70" i="47"/>
  <c r="U70" i="47"/>
  <c r="M70" i="47"/>
  <c r="M69" i="47"/>
  <c r="M68" i="47"/>
  <c r="M65" i="47"/>
  <c r="M61" i="47"/>
  <c r="M50" i="47"/>
  <c r="O50" i="47" s="1"/>
  <c r="M46" i="47"/>
  <c r="M48" i="47"/>
  <c r="M47" i="47"/>
  <c r="M43" i="47"/>
  <c r="O43" i="47" s="1"/>
  <c r="M42" i="47"/>
  <c r="S37" i="47"/>
  <c r="U37" i="47" s="1"/>
  <c r="M37" i="47"/>
  <c r="M29" i="47"/>
  <c r="M23" i="47"/>
  <c r="M22" i="47"/>
  <c r="M20" i="47"/>
  <c r="M18" i="47"/>
  <c r="S15" i="47"/>
  <c r="M17" i="47"/>
  <c r="M99" i="47"/>
  <c r="M98" i="47"/>
  <c r="M93" i="47"/>
  <c r="M90" i="47"/>
  <c r="M89" i="47"/>
  <c r="M85" i="47"/>
  <c r="O85" i="47" s="1"/>
  <c r="M86" i="47"/>
  <c r="M72" i="47"/>
  <c r="O72" i="47" s="1"/>
  <c r="M71" i="47"/>
  <c r="M64" i="47"/>
  <c r="O64" i="47" s="1"/>
  <c r="S60" i="47"/>
  <c r="U60" i="47"/>
  <c r="M56" i="47"/>
  <c r="M60" i="47"/>
  <c r="M54" i="47"/>
  <c r="M52" i="47"/>
  <c r="M39" i="47"/>
  <c r="S22" i="47"/>
  <c r="S21" i="47"/>
  <c r="M21" i="47"/>
  <c r="M14" i="47"/>
  <c r="N13" i="47"/>
  <c r="M13" i="47"/>
  <c r="O13" i="47"/>
  <c r="N99" i="46"/>
  <c r="N102" i="46"/>
  <c r="N99" i="47"/>
  <c r="N102" i="47"/>
  <c r="R105" i="47"/>
  <c r="Q105" i="47"/>
  <c r="P105" i="47"/>
  <c r="L105" i="47"/>
  <c r="K105" i="47"/>
  <c r="J105" i="47"/>
  <c r="I105" i="47"/>
  <c r="H105" i="47"/>
  <c r="U104" i="47"/>
  <c r="O104" i="47"/>
  <c r="U103" i="47"/>
  <c r="N103" i="47"/>
  <c r="M103" i="47"/>
  <c r="T102" i="47"/>
  <c r="S102" i="47"/>
  <c r="T101" i="47"/>
  <c r="S101" i="47"/>
  <c r="U101" i="47"/>
  <c r="N101" i="47"/>
  <c r="T100" i="47"/>
  <c r="S100" i="47"/>
  <c r="U100" i="47"/>
  <c r="N100" i="47"/>
  <c r="O100" i="47"/>
  <c r="T99" i="47"/>
  <c r="U99" i="47"/>
  <c r="T98" i="47"/>
  <c r="S98" i="47"/>
  <c r="U98" i="47" s="1"/>
  <c r="N98" i="47"/>
  <c r="U97" i="47"/>
  <c r="N97" i="47"/>
  <c r="M97" i="47"/>
  <c r="O97" i="47"/>
  <c r="U96" i="47"/>
  <c r="N96" i="47"/>
  <c r="M96" i="47"/>
  <c r="O96" i="47"/>
  <c r="T95" i="47"/>
  <c r="S95" i="47"/>
  <c r="N95" i="47"/>
  <c r="T94" i="47"/>
  <c r="S94" i="47"/>
  <c r="N94" i="47"/>
  <c r="T93" i="47"/>
  <c r="S93" i="47"/>
  <c r="N93" i="47"/>
  <c r="O93" i="47"/>
  <c r="U92" i="47"/>
  <c r="N92" i="47"/>
  <c r="T91" i="47"/>
  <c r="S91" i="47"/>
  <c r="N91" i="47"/>
  <c r="O91" i="47"/>
  <c r="U90" i="47"/>
  <c r="N90" i="47"/>
  <c r="O90" i="47" s="1"/>
  <c r="T89" i="47"/>
  <c r="S89" i="47"/>
  <c r="U89" i="47" s="1"/>
  <c r="N89" i="47"/>
  <c r="O89" i="47" s="1"/>
  <c r="U88" i="47"/>
  <c r="O88" i="47"/>
  <c r="T87" i="47"/>
  <c r="S87" i="47"/>
  <c r="U87" i="47"/>
  <c r="N87" i="47"/>
  <c r="M87" i="47"/>
  <c r="U86" i="47"/>
  <c r="N86" i="47"/>
  <c r="T85" i="47"/>
  <c r="S85" i="47"/>
  <c r="U85" i="47" s="1"/>
  <c r="N85" i="47"/>
  <c r="U84" i="47"/>
  <c r="N84" i="47"/>
  <c r="M84" i="47"/>
  <c r="O84" i="47" s="1"/>
  <c r="T83" i="47"/>
  <c r="S83" i="47"/>
  <c r="U83" i="47"/>
  <c r="N83" i="47"/>
  <c r="T82" i="47"/>
  <c r="S82" i="47"/>
  <c r="U82" i="47"/>
  <c r="N82" i="47"/>
  <c r="U81" i="47"/>
  <c r="T80" i="47"/>
  <c r="S80" i="47"/>
  <c r="N80" i="47"/>
  <c r="T79" i="47"/>
  <c r="S79" i="47"/>
  <c r="U79" i="47"/>
  <c r="N79" i="47"/>
  <c r="M79" i="47"/>
  <c r="O79" i="47" s="1"/>
  <c r="T78" i="47"/>
  <c r="S78" i="47"/>
  <c r="U78" i="47"/>
  <c r="O78" i="47"/>
  <c r="U77" i="47"/>
  <c r="N77" i="47"/>
  <c r="M77" i="47"/>
  <c r="O77" i="47" s="1"/>
  <c r="N76" i="47"/>
  <c r="O76" i="47" s="1"/>
  <c r="T75" i="47"/>
  <c r="S75" i="47"/>
  <c r="U75" i="47" s="1"/>
  <c r="N75" i="47"/>
  <c r="M75" i="47"/>
  <c r="O75" i="47"/>
  <c r="U74" i="47"/>
  <c r="O74" i="47"/>
  <c r="T73" i="47"/>
  <c r="N73" i="47"/>
  <c r="T72" i="47"/>
  <c r="S72" i="47"/>
  <c r="N72" i="47"/>
  <c r="T71" i="47"/>
  <c r="S71" i="47"/>
  <c r="U71" i="47"/>
  <c r="N71" i="47"/>
  <c r="N70" i="47"/>
  <c r="O70" i="47" s="1"/>
  <c r="U69" i="47"/>
  <c r="N69" i="47"/>
  <c r="U68" i="47"/>
  <c r="N68" i="47"/>
  <c r="T67" i="47"/>
  <c r="S67" i="47"/>
  <c r="U67" i="47"/>
  <c r="N67" i="47"/>
  <c r="M67" i="47"/>
  <c r="O67" i="47" s="1"/>
  <c r="U66" i="47"/>
  <c r="N66" i="47"/>
  <c r="M66" i="47"/>
  <c r="O66" i="47" s="1"/>
  <c r="T65" i="47"/>
  <c r="S65" i="47"/>
  <c r="U65" i="47" s="1"/>
  <c r="N65" i="47"/>
  <c r="O65" i="47" s="1"/>
  <c r="T64" i="47"/>
  <c r="S64" i="47"/>
  <c r="U64" i="47" s="1"/>
  <c r="N64" i="47"/>
  <c r="T63" i="47"/>
  <c r="S63" i="47"/>
  <c r="U63" i="47"/>
  <c r="O63" i="47"/>
  <c r="T62" i="47"/>
  <c r="S62" i="47"/>
  <c r="U62" i="47"/>
  <c r="N62" i="47"/>
  <c r="M62" i="47"/>
  <c r="O62" i="47" s="1"/>
  <c r="U61" i="47"/>
  <c r="N61" i="47"/>
  <c r="N60" i="47"/>
  <c r="U59" i="47"/>
  <c r="O59" i="47"/>
  <c r="U58" i="47"/>
  <c r="O58" i="47"/>
  <c r="U57" i="47"/>
  <c r="O57" i="47"/>
  <c r="T56" i="47"/>
  <c r="S56" i="47"/>
  <c r="U56" i="47" s="1"/>
  <c r="N56" i="47"/>
  <c r="T55" i="47"/>
  <c r="S55" i="47"/>
  <c r="U55" i="47" s="1"/>
  <c r="O55" i="47"/>
  <c r="T54" i="47"/>
  <c r="S54" i="47"/>
  <c r="U54" i="47" s="1"/>
  <c r="N54" i="47"/>
  <c r="O54" i="47" s="1"/>
  <c r="U53" i="47"/>
  <c r="N53" i="47"/>
  <c r="M53" i="47"/>
  <c r="O53" i="47" s="1"/>
  <c r="T52" i="47"/>
  <c r="S52" i="47"/>
  <c r="U52" i="47"/>
  <c r="N52" i="47"/>
  <c r="O52" i="47"/>
  <c r="T51" i="47"/>
  <c r="S51" i="47"/>
  <c r="U51" i="47" s="1"/>
  <c r="N51" i="47"/>
  <c r="M51" i="47"/>
  <c r="O51" i="47"/>
  <c r="T50" i="47"/>
  <c r="S50" i="47"/>
  <c r="U50" i="47" s="1"/>
  <c r="N50" i="47"/>
  <c r="T49" i="47"/>
  <c r="U49" i="47" s="1"/>
  <c r="N49" i="47"/>
  <c r="O49" i="47" s="1"/>
  <c r="T48" i="47"/>
  <c r="S48" i="47"/>
  <c r="U48" i="47"/>
  <c r="N48" i="47"/>
  <c r="O48" i="47"/>
  <c r="U47" i="47"/>
  <c r="N47" i="47"/>
  <c r="O47" i="47" s="1"/>
  <c r="U46" i="47"/>
  <c r="N46" i="47"/>
  <c r="U45" i="47"/>
  <c r="O45" i="47"/>
  <c r="T44" i="47"/>
  <c r="U44" i="47" s="1"/>
  <c r="N44" i="47"/>
  <c r="U43" i="47"/>
  <c r="N43" i="47"/>
  <c r="U42" i="47"/>
  <c r="N42" i="47"/>
  <c r="O42" i="47"/>
  <c r="T41" i="47"/>
  <c r="S41" i="47"/>
  <c r="U41" i="47" s="1"/>
  <c r="N41" i="47"/>
  <c r="M41" i="47"/>
  <c r="O41" i="47"/>
  <c r="T40" i="47"/>
  <c r="S40" i="47"/>
  <c r="U40" i="47" s="1"/>
  <c r="N40" i="47"/>
  <c r="M40" i="47"/>
  <c r="O40" i="47"/>
  <c r="U39" i="47"/>
  <c r="N39" i="47"/>
  <c r="O39" i="47" s="1"/>
  <c r="T38" i="47"/>
  <c r="S38" i="47"/>
  <c r="U38" i="47"/>
  <c r="N38" i="47"/>
  <c r="M38" i="47"/>
  <c r="O38" i="47" s="1"/>
  <c r="N37" i="47"/>
  <c r="O37" i="47" s="1"/>
  <c r="T36" i="47"/>
  <c r="S36" i="47"/>
  <c r="U36" i="47"/>
  <c r="N36" i="47"/>
  <c r="M36" i="47"/>
  <c r="O36" i="47" s="1"/>
  <c r="T35" i="47"/>
  <c r="S35" i="47"/>
  <c r="U35" i="47"/>
  <c r="N35" i="47"/>
  <c r="M35" i="47"/>
  <c r="O35" i="47" s="1"/>
  <c r="U34" i="47"/>
  <c r="N34" i="47"/>
  <c r="O34" i="47"/>
  <c r="M34" i="47"/>
  <c r="U33" i="47"/>
  <c r="N33" i="47"/>
  <c r="M33" i="47"/>
  <c r="O33" i="47" s="1"/>
  <c r="U32" i="47"/>
  <c r="O32" i="47"/>
  <c r="T31" i="47"/>
  <c r="S31" i="47"/>
  <c r="U31" i="47"/>
  <c r="O31" i="47"/>
  <c r="T30" i="47"/>
  <c r="S30" i="47"/>
  <c r="U30" i="47"/>
  <c r="N30" i="47"/>
  <c r="M30" i="47"/>
  <c r="O30" i="47" s="1"/>
  <c r="T29" i="47"/>
  <c r="S29" i="47"/>
  <c r="U29" i="47"/>
  <c r="N29" i="47"/>
  <c r="O29" i="47"/>
  <c r="U28" i="47"/>
  <c r="O28" i="47"/>
  <c r="T27" i="47"/>
  <c r="S27" i="47"/>
  <c r="U27" i="47" s="1"/>
  <c r="N27" i="47"/>
  <c r="M27" i="47"/>
  <c r="O27" i="47"/>
  <c r="T26" i="47"/>
  <c r="S26" i="47"/>
  <c r="N26" i="47"/>
  <c r="M26" i="47"/>
  <c r="O26" i="47" s="1"/>
  <c r="T25" i="47"/>
  <c r="S25" i="47"/>
  <c r="U25" i="47"/>
  <c r="N25" i="47"/>
  <c r="M25" i="47"/>
  <c r="O25" i="47" s="1"/>
  <c r="U24" i="47"/>
  <c r="N24" i="47"/>
  <c r="M24" i="47"/>
  <c r="O24" i="47" s="1"/>
  <c r="S23" i="47"/>
  <c r="U23" i="47" s="1"/>
  <c r="N23" i="47"/>
  <c r="T22" i="47"/>
  <c r="U22" i="47"/>
  <c r="N22" i="47"/>
  <c r="O22" i="47"/>
  <c r="T21" i="47"/>
  <c r="U21" i="47"/>
  <c r="N21" i="47"/>
  <c r="O21" i="47"/>
  <c r="T20" i="47"/>
  <c r="S20" i="47"/>
  <c r="U20" i="47" s="1"/>
  <c r="N20" i="47"/>
  <c r="T19" i="47"/>
  <c r="S19" i="47"/>
  <c r="U19" i="47" s="1"/>
  <c r="N19" i="47"/>
  <c r="M19" i="47"/>
  <c r="O19" i="47"/>
  <c r="T18" i="47"/>
  <c r="S18" i="47"/>
  <c r="U18" i="47" s="1"/>
  <c r="N18" i="47"/>
  <c r="O18" i="47" s="1"/>
  <c r="U17" i="47"/>
  <c r="N17" i="47"/>
  <c r="O17" i="47"/>
  <c r="U16" i="47"/>
  <c r="O16" i="47"/>
  <c r="T15" i="47"/>
  <c r="U15" i="47"/>
  <c r="N15" i="47"/>
  <c r="M15" i="47"/>
  <c r="O15" i="47" s="1"/>
  <c r="T14" i="47"/>
  <c r="S14" i="47"/>
  <c r="U14" i="47"/>
  <c r="N14" i="47"/>
  <c r="T13" i="47"/>
  <c r="S13" i="47"/>
  <c r="U13" i="47"/>
  <c r="B13" i="47"/>
  <c r="B14" i="47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33" i="47" s="1"/>
  <c r="B34" i="47" s="1"/>
  <c r="B35" i="47" s="1"/>
  <c r="B36" i="47" s="1"/>
  <c r="B37" i="47" s="1"/>
  <c r="B38" i="47" s="1"/>
  <c r="B39" i="47" s="1"/>
  <c r="B40" i="47" s="1"/>
  <c r="B41" i="47" s="1"/>
  <c r="B42" i="47" s="1"/>
  <c r="B43" i="47" s="1"/>
  <c r="B44" i="47" s="1"/>
  <c r="B45" i="47" s="1"/>
  <c r="B46" i="47" s="1"/>
  <c r="B47" i="47" s="1"/>
  <c r="B48" i="47" s="1"/>
  <c r="B49" i="47" s="1"/>
  <c r="B50" i="47" s="1"/>
  <c r="B51" i="47" s="1"/>
  <c r="B52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5" i="47" s="1"/>
  <c r="B66" i="47" s="1"/>
  <c r="B67" i="47" s="1"/>
  <c r="B68" i="47" s="1"/>
  <c r="B69" i="47" s="1"/>
  <c r="B70" i="47" s="1"/>
  <c r="B71" i="47" s="1"/>
  <c r="B72" i="47" s="1"/>
  <c r="B73" i="47" s="1"/>
  <c r="B74" i="47" s="1"/>
  <c r="B75" i="47" s="1"/>
  <c r="B76" i="47" s="1"/>
  <c r="B77" i="47" s="1"/>
  <c r="B78" i="47" s="1"/>
  <c r="B79" i="47" s="1"/>
  <c r="B80" i="47" s="1"/>
  <c r="B81" i="47" s="1"/>
  <c r="B82" i="47" s="1"/>
  <c r="B83" i="47" s="1"/>
  <c r="B84" i="47" s="1"/>
  <c r="B85" i="47" s="1"/>
  <c r="B86" i="47" s="1"/>
  <c r="B87" i="47" s="1"/>
  <c r="B88" i="47" s="1"/>
  <c r="B89" i="47" s="1"/>
  <c r="B90" i="47" s="1"/>
  <c r="B91" i="47" s="1"/>
  <c r="B92" i="47" s="1"/>
  <c r="B93" i="47" s="1"/>
  <c r="B94" i="47" s="1"/>
  <c r="B95" i="47" s="1"/>
  <c r="B96" i="47" s="1"/>
  <c r="B97" i="47" s="1"/>
  <c r="B98" i="47" s="1"/>
  <c r="B99" i="47" s="1"/>
  <c r="B100" i="47" s="1"/>
  <c r="B101" i="47" s="1"/>
  <c r="B102" i="47" s="1"/>
  <c r="U12" i="47"/>
  <c r="O12" i="47"/>
  <c r="T11" i="47"/>
  <c r="S11" i="47"/>
  <c r="U11" i="47" s="1"/>
  <c r="N11" i="47"/>
  <c r="M11" i="47"/>
  <c r="O11" i="47"/>
  <c r="B11" i="47"/>
  <c r="T10" i="47"/>
  <c r="S10" i="47"/>
  <c r="S105" i="47"/>
  <c r="N10" i="47"/>
  <c r="M10" i="47"/>
  <c r="O10" i="47" s="1"/>
  <c r="H9" i="47"/>
  <c r="I9" i="47" s="1"/>
  <c r="J9" i="47" s="1"/>
  <c r="K9" i="47" s="1"/>
  <c r="L9" i="47" s="1"/>
  <c r="M9" i="47" s="1"/>
  <c r="N9" i="47" s="1"/>
  <c r="O9" i="47" s="1"/>
  <c r="P9" i="47" s="1"/>
  <c r="Q9" i="47" s="1"/>
  <c r="R9" i="47" s="1"/>
  <c r="S9" i="47" s="1"/>
  <c r="T9" i="47" s="1"/>
  <c r="U9" i="47" s="1"/>
  <c r="U80" i="47"/>
  <c r="O87" i="47"/>
  <c r="O61" i="47"/>
  <c r="O101" i="47"/>
  <c r="U93" i="47"/>
  <c r="O94" i="47"/>
  <c r="U73" i="47"/>
  <c r="O86" i="47"/>
  <c r="U91" i="47"/>
  <c r="O68" i="47"/>
  <c r="U94" i="47"/>
  <c r="O98" i="47"/>
  <c r="O103" i="47"/>
  <c r="N103" i="46"/>
  <c r="N54" i="46"/>
  <c r="N42" i="46"/>
  <c r="T13" i="46"/>
  <c r="N93" i="46"/>
  <c r="M93" i="46"/>
  <c r="O93" i="46"/>
  <c r="N100" i="46"/>
  <c r="M100" i="46"/>
  <c r="O100" i="46" s="1"/>
  <c r="M101" i="46"/>
  <c r="N101" i="46"/>
  <c r="O101" i="46"/>
  <c r="T101" i="46"/>
  <c r="N33" i="46"/>
  <c r="N36" i="46"/>
  <c r="T78" i="46"/>
  <c r="N71" i="46"/>
  <c r="M71" i="46"/>
  <c r="O71" i="46" s="1"/>
  <c r="S71" i="46"/>
  <c r="U71" i="46" s="1"/>
  <c r="T98" i="46"/>
  <c r="N98" i="46"/>
  <c r="N95" i="46"/>
  <c r="N94" i="46"/>
  <c r="N92" i="46"/>
  <c r="N90" i="46"/>
  <c r="M90" i="46"/>
  <c r="O90" i="46"/>
  <c r="N91" i="46"/>
  <c r="N85" i="46"/>
  <c r="T87" i="46"/>
  <c r="N86" i="46"/>
  <c r="N84" i="46"/>
  <c r="T80" i="46"/>
  <c r="N80" i="46"/>
  <c r="N77" i="46"/>
  <c r="N76" i="46"/>
  <c r="N72" i="46"/>
  <c r="N68" i="46"/>
  <c r="N67" i="46"/>
  <c r="M67" i="46"/>
  <c r="O67" i="46"/>
  <c r="N56" i="46"/>
  <c r="M56" i="46"/>
  <c r="N65" i="46"/>
  <c r="T55" i="46"/>
  <c r="N49" i="46"/>
  <c r="T40" i="46"/>
  <c r="N40" i="46"/>
  <c r="N47" i="46"/>
  <c r="N43" i="46"/>
  <c r="N37" i="46"/>
  <c r="N30" i="46"/>
  <c r="N29" i="46"/>
  <c r="N27" i="46"/>
  <c r="N25" i="46"/>
  <c r="T22" i="46"/>
  <c r="N22" i="46"/>
  <c r="N21" i="46"/>
  <c r="N20" i="46"/>
  <c r="N18" i="46"/>
  <c r="N10" i="46"/>
  <c r="R105" i="46"/>
  <c r="Q105" i="46"/>
  <c r="P105" i="46"/>
  <c r="L105" i="46"/>
  <c r="K105" i="46"/>
  <c r="J105" i="46"/>
  <c r="I105" i="46"/>
  <c r="H105" i="46"/>
  <c r="U104" i="46"/>
  <c r="O104" i="46"/>
  <c r="U103" i="46"/>
  <c r="M103" i="46"/>
  <c r="T102" i="46"/>
  <c r="S102" i="46"/>
  <c r="U102" i="46" s="1"/>
  <c r="M102" i="46"/>
  <c r="O102" i="46" s="1"/>
  <c r="S101" i="46"/>
  <c r="U101" i="46" s="1"/>
  <c r="T100" i="46"/>
  <c r="S100" i="46"/>
  <c r="U100" i="46"/>
  <c r="T99" i="46"/>
  <c r="S99" i="46"/>
  <c r="U99" i="46" s="1"/>
  <c r="M99" i="46"/>
  <c r="S98" i="46"/>
  <c r="U98" i="46"/>
  <c r="M98" i="46"/>
  <c r="U97" i="46"/>
  <c r="N97" i="46"/>
  <c r="M97" i="46"/>
  <c r="O97" i="46" s="1"/>
  <c r="U96" i="46"/>
  <c r="N96" i="46"/>
  <c r="M96" i="46"/>
  <c r="O96" i="46" s="1"/>
  <c r="T95" i="46"/>
  <c r="S95" i="46"/>
  <c r="U95" i="46"/>
  <c r="M95" i="46"/>
  <c r="T94" i="46"/>
  <c r="S94" i="46"/>
  <c r="U94" i="46"/>
  <c r="M94" i="46"/>
  <c r="O94" i="46"/>
  <c r="T93" i="46"/>
  <c r="S93" i="46"/>
  <c r="U93" i="46" s="1"/>
  <c r="U92" i="46"/>
  <c r="M92" i="46"/>
  <c r="O92" i="46"/>
  <c r="T91" i="46"/>
  <c r="S91" i="46"/>
  <c r="U91" i="46" s="1"/>
  <c r="M91" i="46"/>
  <c r="O91" i="46" s="1"/>
  <c r="U90" i="46"/>
  <c r="T89" i="46"/>
  <c r="S89" i="46"/>
  <c r="U89" i="46" s="1"/>
  <c r="N89" i="46"/>
  <c r="M89" i="46"/>
  <c r="O89" i="46"/>
  <c r="U88" i="46"/>
  <c r="O88" i="46"/>
  <c r="S87" i="46"/>
  <c r="U87" i="46"/>
  <c r="N87" i="46"/>
  <c r="M87" i="46"/>
  <c r="O87" i="46" s="1"/>
  <c r="U86" i="46"/>
  <c r="M86" i="46"/>
  <c r="O86" i="46"/>
  <c r="T85" i="46"/>
  <c r="S85" i="46"/>
  <c r="U85" i="46" s="1"/>
  <c r="M85" i="46"/>
  <c r="O85" i="46" s="1"/>
  <c r="U84" i="46"/>
  <c r="M84" i="46"/>
  <c r="O84" i="46"/>
  <c r="T83" i="46"/>
  <c r="S83" i="46"/>
  <c r="U83" i="46" s="1"/>
  <c r="N83" i="46"/>
  <c r="M83" i="46"/>
  <c r="O83" i="46"/>
  <c r="T82" i="46"/>
  <c r="S82" i="46"/>
  <c r="U82" i="46" s="1"/>
  <c r="N82" i="46"/>
  <c r="M82" i="46"/>
  <c r="U81" i="46"/>
  <c r="M81" i="46"/>
  <c r="O81" i="46"/>
  <c r="S80" i="46"/>
  <c r="U80" i="46"/>
  <c r="M80" i="46"/>
  <c r="T79" i="46"/>
  <c r="S79" i="46"/>
  <c r="U79" i="46"/>
  <c r="N79" i="46"/>
  <c r="M79" i="46"/>
  <c r="O79" i="46" s="1"/>
  <c r="S78" i="46"/>
  <c r="U78" i="46" s="1"/>
  <c r="O78" i="46"/>
  <c r="U77" i="46"/>
  <c r="M77" i="46"/>
  <c r="O77" i="46" s="1"/>
  <c r="U76" i="46"/>
  <c r="M76" i="46"/>
  <c r="O76" i="46"/>
  <c r="T75" i="46"/>
  <c r="S75" i="46"/>
  <c r="U75" i="46" s="1"/>
  <c r="N75" i="46"/>
  <c r="M75" i="46"/>
  <c r="O75" i="46"/>
  <c r="U74" i="46"/>
  <c r="O74" i="46"/>
  <c r="T73" i="46"/>
  <c r="S73" i="46"/>
  <c r="U73" i="46" s="1"/>
  <c r="N73" i="46"/>
  <c r="M73" i="46"/>
  <c r="O73" i="46"/>
  <c r="T72" i="46"/>
  <c r="S72" i="46"/>
  <c r="U72" i="46" s="1"/>
  <c r="M72" i="46"/>
  <c r="O72" i="46" s="1"/>
  <c r="T71" i="46"/>
  <c r="U70" i="46"/>
  <c r="N70" i="46"/>
  <c r="M70" i="46"/>
  <c r="O70" i="46" s="1"/>
  <c r="U69" i="46"/>
  <c r="N69" i="46"/>
  <c r="M69" i="46"/>
  <c r="O69" i="46" s="1"/>
  <c r="U68" i="46"/>
  <c r="M68" i="46"/>
  <c r="O68" i="46" s="1"/>
  <c r="T67" i="46"/>
  <c r="S67" i="46"/>
  <c r="U67" i="46"/>
  <c r="U66" i="46"/>
  <c r="N66" i="46"/>
  <c r="M66" i="46"/>
  <c r="O66" i="46"/>
  <c r="T65" i="46"/>
  <c r="S65" i="46"/>
  <c r="U65" i="46" s="1"/>
  <c r="M65" i="46"/>
  <c r="O65" i="46" s="1"/>
  <c r="T64" i="46"/>
  <c r="S64" i="46"/>
  <c r="U64" i="46"/>
  <c r="N64" i="46"/>
  <c r="M64" i="46"/>
  <c r="O64" i="46" s="1"/>
  <c r="T63" i="46"/>
  <c r="S63" i="46"/>
  <c r="U63" i="46"/>
  <c r="O63" i="46"/>
  <c r="T62" i="46"/>
  <c r="S62" i="46"/>
  <c r="U62" i="46"/>
  <c r="N62" i="46"/>
  <c r="M62" i="46"/>
  <c r="O62" i="46" s="1"/>
  <c r="U61" i="46"/>
  <c r="N61" i="46"/>
  <c r="M61" i="46"/>
  <c r="O61" i="46" s="1"/>
  <c r="U60" i="46"/>
  <c r="N60" i="46"/>
  <c r="M60" i="46"/>
  <c r="O60" i="46" s="1"/>
  <c r="U59" i="46"/>
  <c r="O59" i="46"/>
  <c r="U58" i="46"/>
  <c r="O58" i="46"/>
  <c r="U57" i="46"/>
  <c r="O57" i="46"/>
  <c r="T56" i="46"/>
  <c r="S56" i="46"/>
  <c r="U56" i="46"/>
  <c r="S55" i="46"/>
  <c r="U55" i="46"/>
  <c r="T54" i="46"/>
  <c r="S54" i="46"/>
  <c r="U54" i="46" s="1"/>
  <c r="M54" i="46"/>
  <c r="O54" i="46" s="1"/>
  <c r="U53" i="46"/>
  <c r="N53" i="46"/>
  <c r="M53" i="46"/>
  <c r="O53" i="46" s="1"/>
  <c r="T52" i="46"/>
  <c r="S52" i="46"/>
  <c r="U52" i="46"/>
  <c r="N52" i="46"/>
  <c r="M52" i="46"/>
  <c r="O52" i="46" s="1"/>
  <c r="T51" i="46"/>
  <c r="S51" i="46"/>
  <c r="U51" i="46"/>
  <c r="N51" i="46"/>
  <c r="M51" i="46"/>
  <c r="O51" i="46" s="1"/>
  <c r="T50" i="46"/>
  <c r="S50" i="46"/>
  <c r="U50" i="46"/>
  <c r="N50" i="46"/>
  <c r="M50" i="46"/>
  <c r="O50" i="46" s="1"/>
  <c r="T49" i="46"/>
  <c r="S49" i="46"/>
  <c r="U49" i="46"/>
  <c r="M49" i="46"/>
  <c r="O49" i="46"/>
  <c r="T48" i="46"/>
  <c r="S48" i="46"/>
  <c r="U48" i="46" s="1"/>
  <c r="N48" i="46"/>
  <c r="M48" i="46"/>
  <c r="O48" i="46"/>
  <c r="U47" i="46"/>
  <c r="M47" i="46"/>
  <c r="U46" i="46"/>
  <c r="N46" i="46"/>
  <c r="M46" i="46"/>
  <c r="O46" i="46"/>
  <c r="U45" i="46"/>
  <c r="O45" i="46"/>
  <c r="T44" i="46"/>
  <c r="S44" i="46"/>
  <c r="U44" i="46" s="1"/>
  <c r="N44" i="46"/>
  <c r="M44" i="46"/>
  <c r="O44" i="46"/>
  <c r="U43" i="46"/>
  <c r="M43" i="46"/>
  <c r="O43" i="46" s="1"/>
  <c r="U42" i="46"/>
  <c r="M42" i="46"/>
  <c r="T41" i="46"/>
  <c r="S41" i="46"/>
  <c r="U41" i="46"/>
  <c r="N41" i="46"/>
  <c r="M41" i="46"/>
  <c r="O41" i="46" s="1"/>
  <c r="S40" i="46"/>
  <c r="U40" i="46" s="1"/>
  <c r="M40" i="46"/>
  <c r="O40" i="46" s="1"/>
  <c r="U39" i="46"/>
  <c r="N39" i="46"/>
  <c r="M39" i="46"/>
  <c r="O39" i="46" s="1"/>
  <c r="T38" i="46"/>
  <c r="S38" i="46"/>
  <c r="U38" i="46"/>
  <c r="N38" i="46"/>
  <c r="M38" i="46"/>
  <c r="O38" i="46" s="1"/>
  <c r="U37" i="46"/>
  <c r="M37" i="46"/>
  <c r="O37" i="46"/>
  <c r="T36" i="46"/>
  <c r="S36" i="46"/>
  <c r="U36" i="46" s="1"/>
  <c r="M36" i="46"/>
  <c r="O36" i="46" s="1"/>
  <c r="T35" i="46"/>
  <c r="S35" i="46"/>
  <c r="U35" i="46"/>
  <c r="N35" i="46"/>
  <c r="M35" i="46"/>
  <c r="O35" i="46" s="1"/>
  <c r="U34" i="46"/>
  <c r="N34" i="46"/>
  <c r="M34" i="46"/>
  <c r="O34" i="46" s="1"/>
  <c r="U33" i="46"/>
  <c r="M33" i="46"/>
  <c r="O33" i="46"/>
  <c r="U32" i="46"/>
  <c r="O32" i="46"/>
  <c r="T31" i="46"/>
  <c r="S31" i="46"/>
  <c r="U31" i="46" s="1"/>
  <c r="O31" i="46"/>
  <c r="T30" i="46"/>
  <c r="S30" i="46"/>
  <c r="U30" i="46" s="1"/>
  <c r="M30" i="46"/>
  <c r="O30" i="46" s="1"/>
  <c r="T29" i="46"/>
  <c r="S29" i="46"/>
  <c r="U29" i="46"/>
  <c r="M29" i="46"/>
  <c r="O29" i="46"/>
  <c r="U28" i="46"/>
  <c r="O28" i="46"/>
  <c r="T27" i="46"/>
  <c r="S27" i="46"/>
  <c r="U27" i="46" s="1"/>
  <c r="M27" i="46"/>
  <c r="O27" i="46" s="1"/>
  <c r="T26" i="46"/>
  <c r="S26" i="46"/>
  <c r="U26" i="46"/>
  <c r="N26" i="46"/>
  <c r="M26" i="46"/>
  <c r="O26" i="46" s="1"/>
  <c r="T25" i="46"/>
  <c r="S25" i="46"/>
  <c r="U25" i="46"/>
  <c r="M25" i="46"/>
  <c r="O25" i="46"/>
  <c r="U24" i="46"/>
  <c r="N24" i="46"/>
  <c r="M24" i="46"/>
  <c r="O24" i="46"/>
  <c r="S23" i="46"/>
  <c r="U23" i="46"/>
  <c r="N23" i="46"/>
  <c r="M23" i="46"/>
  <c r="O23" i="46" s="1"/>
  <c r="S22" i="46"/>
  <c r="U22" i="46" s="1"/>
  <c r="M22" i="46"/>
  <c r="O22" i="46" s="1"/>
  <c r="T21" i="46"/>
  <c r="S21" i="46"/>
  <c r="U21" i="46"/>
  <c r="M21" i="46"/>
  <c r="O21" i="46"/>
  <c r="T20" i="46"/>
  <c r="S20" i="46"/>
  <c r="U20" i="46" s="1"/>
  <c r="M20" i="46"/>
  <c r="O20" i="46" s="1"/>
  <c r="T19" i="46"/>
  <c r="S19" i="46"/>
  <c r="U19" i="46"/>
  <c r="N19" i="46"/>
  <c r="M19" i="46"/>
  <c r="O19" i="46" s="1"/>
  <c r="T18" i="46"/>
  <c r="S18" i="46"/>
  <c r="U18" i="46"/>
  <c r="M18" i="46"/>
  <c r="O18" i="46"/>
  <c r="U17" i="46"/>
  <c r="N17" i="46"/>
  <c r="M17" i="46"/>
  <c r="O17" i="46"/>
  <c r="U16" i="46"/>
  <c r="O16" i="46"/>
  <c r="T15" i="46"/>
  <c r="S15" i="46"/>
  <c r="N15" i="46"/>
  <c r="M15" i="46"/>
  <c r="O15" i="46" s="1"/>
  <c r="T14" i="46"/>
  <c r="S14" i="46"/>
  <c r="U14" i="46"/>
  <c r="N14" i="46"/>
  <c r="M14" i="46"/>
  <c r="O14" i="46" s="1"/>
  <c r="S13" i="46"/>
  <c r="N13" i="46"/>
  <c r="M13" i="46"/>
  <c r="B13" i="46"/>
  <c r="B14" i="46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B48" i="46" s="1"/>
  <c r="B49" i="46" s="1"/>
  <c r="B50" i="46" s="1"/>
  <c r="B51" i="46" s="1"/>
  <c r="B52" i="46" s="1"/>
  <c r="B53" i="46" s="1"/>
  <c r="B54" i="46" s="1"/>
  <c r="B55" i="46" s="1"/>
  <c r="B56" i="46" s="1"/>
  <c r="B57" i="46" s="1"/>
  <c r="B58" i="46" s="1"/>
  <c r="B59" i="46" s="1"/>
  <c r="B60" i="46" s="1"/>
  <c r="B61" i="46" s="1"/>
  <c r="B62" i="46" s="1"/>
  <c r="B63" i="46" s="1"/>
  <c r="B64" i="46" s="1"/>
  <c r="B65" i="46" s="1"/>
  <c r="B66" i="46" s="1"/>
  <c r="B67" i="46" s="1"/>
  <c r="B68" i="46" s="1"/>
  <c r="B69" i="46" s="1"/>
  <c r="B70" i="46" s="1"/>
  <c r="B71" i="46" s="1"/>
  <c r="B72" i="46" s="1"/>
  <c r="B73" i="46" s="1"/>
  <c r="B74" i="46" s="1"/>
  <c r="B75" i="46" s="1"/>
  <c r="B76" i="46" s="1"/>
  <c r="B77" i="46" s="1"/>
  <c r="B78" i="46" s="1"/>
  <c r="B79" i="46" s="1"/>
  <c r="B80" i="46" s="1"/>
  <c r="B81" i="46" s="1"/>
  <c r="B82" i="46" s="1"/>
  <c r="B83" i="46" s="1"/>
  <c r="B84" i="46" s="1"/>
  <c r="B85" i="46" s="1"/>
  <c r="B86" i="46" s="1"/>
  <c r="B87" i="46" s="1"/>
  <c r="B88" i="46" s="1"/>
  <c r="B89" i="46" s="1"/>
  <c r="B90" i="46" s="1"/>
  <c r="B91" i="46" s="1"/>
  <c r="B92" i="46" s="1"/>
  <c r="B93" i="46" s="1"/>
  <c r="B94" i="46" s="1"/>
  <c r="B95" i="46" s="1"/>
  <c r="B96" i="46" s="1"/>
  <c r="B97" i="46" s="1"/>
  <c r="B98" i="46" s="1"/>
  <c r="B99" i="46" s="1"/>
  <c r="B100" i="46" s="1"/>
  <c r="B101" i="46" s="1"/>
  <c r="B102" i="46" s="1"/>
  <c r="U12" i="46"/>
  <c r="O12" i="46"/>
  <c r="T11" i="46"/>
  <c r="S11" i="46"/>
  <c r="U11" i="46" s="1"/>
  <c r="N11" i="46"/>
  <c r="N105" i="46" s="1"/>
  <c r="M11" i="46"/>
  <c r="O11" i="46" s="1"/>
  <c r="B11" i="46"/>
  <c r="T10" i="46"/>
  <c r="S10" i="46"/>
  <c r="U10" i="46" s="1"/>
  <c r="M10" i="46"/>
  <c r="H9" i="46"/>
  <c r="I9" i="46"/>
  <c r="J9" i="46" s="1"/>
  <c r="K9" i="46" s="1"/>
  <c r="L9" i="46" s="1"/>
  <c r="M9" i="46" s="1"/>
  <c r="N9" i="46" s="1"/>
  <c r="O9" i="46" s="1"/>
  <c r="P9" i="46" s="1"/>
  <c r="Q9" i="46" s="1"/>
  <c r="R9" i="46" s="1"/>
  <c r="S9" i="46" s="1"/>
  <c r="T9" i="46" s="1"/>
  <c r="U9" i="46" s="1"/>
  <c r="O47" i="46"/>
  <c r="O55" i="46"/>
  <c r="O82" i="46"/>
  <c r="O95" i="46"/>
  <c r="O98" i="46"/>
  <c r="O99" i="46"/>
  <c r="O56" i="46"/>
  <c r="M101" i="45"/>
  <c r="M95" i="45"/>
  <c r="O95" i="45" s="1"/>
  <c r="M85" i="45"/>
  <c r="M93" i="45"/>
  <c r="M91" i="45"/>
  <c r="M87" i="45"/>
  <c r="M75" i="45"/>
  <c r="M72" i="45"/>
  <c r="M73" i="45"/>
  <c r="M69" i="45"/>
  <c r="O69" i="45" s="1"/>
  <c r="M67" i="45"/>
  <c r="M52" i="45"/>
  <c r="M51" i="45"/>
  <c r="M49" i="45"/>
  <c r="M39" i="45"/>
  <c r="M38" i="45"/>
  <c r="M30" i="45"/>
  <c r="S23" i="45"/>
  <c r="U23" i="45" s="1"/>
  <c r="M23" i="45"/>
  <c r="O23" i="45" s="1"/>
  <c r="M24" i="45"/>
  <c r="M19" i="45"/>
  <c r="M18" i="45"/>
  <c r="M15" i="45"/>
  <c r="M14" i="45"/>
  <c r="S13" i="45"/>
  <c r="U13" i="45" s="1"/>
  <c r="M13" i="45"/>
  <c r="M17" i="45"/>
  <c r="O17" i="45" s="1"/>
  <c r="R105" i="45"/>
  <c r="Q105" i="45"/>
  <c r="P105" i="45"/>
  <c r="L105" i="45"/>
  <c r="K105" i="45"/>
  <c r="J105" i="45"/>
  <c r="I105" i="45"/>
  <c r="H105" i="45"/>
  <c r="U104" i="45"/>
  <c r="O104" i="45"/>
  <c r="U103" i="45"/>
  <c r="N103" i="45"/>
  <c r="M103" i="45"/>
  <c r="O103" i="45"/>
  <c r="T102" i="45"/>
  <c r="S102" i="45"/>
  <c r="U102" i="45" s="1"/>
  <c r="N102" i="45"/>
  <c r="M102" i="45"/>
  <c r="O102" i="45"/>
  <c r="T101" i="45"/>
  <c r="S101" i="45"/>
  <c r="U101" i="45" s="1"/>
  <c r="N101" i="45"/>
  <c r="O101" i="45" s="1"/>
  <c r="T100" i="45"/>
  <c r="S100" i="45"/>
  <c r="U100" i="45"/>
  <c r="N100" i="45"/>
  <c r="M100" i="45"/>
  <c r="O100" i="45" s="1"/>
  <c r="T99" i="45"/>
  <c r="S99" i="45"/>
  <c r="U99" i="45"/>
  <c r="N99" i="45"/>
  <c r="M99" i="45"/>
  <c r="O99" i="45" s="1"/>
  <c r="T98" i="45"/>
  <c r="S98" i="45"/>
  <c r="N98" i="45"/>
  <c r="M98" i="45"/>
  <c r="O98" i="45"/>
  <c r="U97" i="45"/>
  <c r="N97" i="45"/>
  <c r="M97" i="45"/>
  <c r="O97" i="45"/>
  <c r="U96" i="45"/>
  <c r="N96" i="45"/>
  <c r="M96" i="45"/>
  <c r="O96" i="45"/>
  <c r="T95" i="45"/>
  <c r="S95" i="45"/>
  <c r="U95" i="45" s="1"/>
  <c r="N95" i="45"/>
  <c r="T94" i="45"/>
  <c r="S94" i="45"/>
  <c r="U94" i="45"/>
  <c r="N94" i="45"/>
  <c r="M94" i="45"/>
  <c r="O94" i="45" s="1"/>
  <c r="T93" i="45"/>
  <c r="S93" i="45"/>
  <c r="U93" i="45"/>
  <c r="N93" i="45"/>
  <c r="U92" i="45"/>
  <c r="N92" i="45"/>
  <c r="M92" i="45"/>
  <c r="O92" i="45" s="1"/>
  <c r="T91" i="45"/>
  <c r="S91" i="45"/>
  <c r="U91" i="45"/>
  <c r="N91" i="45"/>
  <c r="U90" i="45"/>
  <c r="N90" i="45"/>
  <c r="M90" i="45"/>
  <c r="O90" i="45" s="1"/>
  <c r="T89" i="45"/>
  <c r="S89" i="45"/>
  <c r="U89" i="45"/>
  <c r="N89" i="45"/>
  <c r="M89" i="45"/>
  <c r="O89" i="45" s="1"/>
  <c r="U88" i="45"/>
  <c r="O88" i="45"/>
  <c r="T87" i="45"/>
  <c r="S87" i="45"/>
  <c r="U87" i="45"/>
  <c r="N87" i="45"/>
  <c r="U86" i="45"/>
  <c r="N86" i="45"/>
  <c r="M86" i="45"/>
  <c r="O86" i="45" s="1"/>
  <c r="T85" i="45"/>
  <c r="S85" i="45"/>
  <c r="U85" i="45"/>
  <c r="N85" i="45"/>
  <c r="O85" i="45"/>
  <c r="U84" i="45"/>
  <c r="N84" i="45"/>
  <c r="M84" i="45"/>
  <c r="O84" i="45"/>
  <c r="T83" i="45"/>
  <c r="S83" i="45"/>
  <c r="U83" i="45" s="1"/>
  <c r="N83" i="45"/>
  <c r="M83" i="45"/>
  <c r="O83" i="45"/>
  <c r="T82" i="45"/>
  <c r="S82" i="45"/>
  <c r="U82" i="45" s="1"/>
  <c r="N82" i="45"/>
  <c r="M82" i="45"/>
  <c r="O82" i="45"/>
  <c r="U81" i="45"/>
  <c r="M81" i="45"/>
  <c r="O81" i="45" s="1"/>
  <c r="T80" i="45"/>
  <c r="S80" i="45"/>
  <c r="U80" i="45"/>
  <c r="N80" i="45"/>
  <c r="M80" i="45"/>
  <c r="O80" i="45" s="1"/>
  <c r="T79" i="45"/>
  <c r="S79" i="45"/>
  <c r="U79" i="45"/>
  <c r="N79" i="45"/>
  <c r="M79" i="45"/>
  <c r="O79" i="45" s="1"/>
  <c r="S78" i="45"/>
  <c r="U78" i="45" s="1"/>
  <c r="O78" i="45"/>
  <c r="U77" i="45"/>
  <c r="N77" i="45"/>
  <c r="M77" i="45"/>
  <c r="O77" i="45"/>
  <c r="U76" i="45"/>
  <c r="N76" i="45"/>
  <c r="M76" i="45"/>
  <c r="O76" i="45"/>
  <c r="T75" i="45"/>
  <c r="S75" i="45"/>
  <c r="U75" i="45" s="1"/>
  <c r="N75" i="45"/>
  <c r="O75" i="45" s="1"/>
  <c r="U74" i="45"/>
  <c r="O74" i="45"/>
  <c r="T73" i="45"/>
  <c r="S73" i="45"/>
  <c r="U73" i="45"/>
  <c r="N73" i="45"/>
  <c r="T72" i="45"/>
  <c r="S72" i="45"/>
  <c r="U72" i="45"/>
  <c r="N72" i="45"/>
  <c r="O72" i="45"/>
  <c r="T71" i="45"/>
  <c r="S71" i="45"/>
  <c r="U71" i="45" s="1"/>
  <c r="N71" i="45"/>
  <c r="M71" i="45"/>
  <c r="O71" i="45"/>
  <c r="U70" i="45"/>
  <c r="N70" i="45"/>
  <c r="M70" i="45"/>
  <c r="O70" i="45"/>
  <c r="U69" i="45"/>
  <c r="N69" i="45"/>
  <c r="U68" i="45"/>
  <c r="N68" i="45"/>
  <c r="M68" i="45"/>
  <c r="O68" i="45" s="1"/>
  <c r="T67" i="45"/>
  <c r="S67" i="45"/>
  <c r="U67" i="45"/>
  <c r="N67" i="45"/>
  <c r="O67" i="45"/>
  <c r="U66" i="45"/>
  <c r="N66" i="45"/>
  <c r="M66" i="45"/>
  <c r="O66" i="45"/>
  <c r="T65" i="45"/>
  <c r="S65" i="45"/>
  <c r="U65" i="45" s="1"/>
  <c r="N65" i="45"/>
  <c r="M65" i="45"/>
  <c r="O65" i="45"/>
  <c r="T64" i="45"/>
  <c r="S64" i="45"/>
  <c r="U64" i="45" s="1"/>
  <c r="N64" i="45"/>
  <c r="O64" i="45" s="1"/>
  <c r="M64" i="45"/>
  <c r="T63" i="45"/>
  <c r="S63" i="45"/>
  <c r="U63" i="45"/>
  <c r="O63" i="45"/>
  <c r="T62" i="45"/>
  <c r="S62" i="45"/>
  <c r="U62" i="45"/>
  <c r="N62" i="45"/>
  <c r="M62" i="45"/>
  <c r="O62" i="45" s="1"/>
  <c r="U61" i="45"/>
  <c r="N61" i="45"/>
  <c r="M61" i="45"/>
  <c r="O61" i="45" s="1"/>
  <c r="U60" i="45"/>
  <c r="N60" i="45"/>
  <c r="M60" i="45"/>
  <c r="O60" i="45" s="1"/>
  <c r="U59" i="45"/>
  <c r="O59" i="45"/>
  <c r="U58" i="45"/>
  <c r="O58" i="45"/>
  <c r="U57" i="45"/>
  <c r="O57" i="45"/>
  <c r="T56" i="45"/>
  <c r="S56" i="45"/>
  <c r="U56" i="45"/>
  <c r="N56" i="45"/>
  <c r="M56" i="45"/>
  <c r="O56" i="45" s="1"/>
  <c r="T55" i="45"/>
  <c r="S55" i="45"/>
  <c r="U55" i="45"/>
  <c r="N55" i="45"/>
  <c r="M55" i="45"/>
  <c r="O55" i="45" s="1"/>
  <c r="T54" i="45"/>
  <c r="S54" i="45"/>
  <c r="U54" i="45"/>
  <c r="N54" i="45"/>
  <c r="M54" i="45"/>
  <c r="O54" i="45" s="1"/>
  <c r="U53" i="45"/>
  <c r="N53" i="45"/>
  <c r="M53" i="45"/>
  <c r="O53" i="45" s="1"/>
  <c r="T52" i="45"/>
  <c r="S52" i="45"/>
  <c r="U52" i="45"/>
  <c r="N52" i="45"/>
  <c r="O52" i="45"/>
  <c r="T51" i="45"/>
  <c r="S51" i="45"/>
  <c r="U51" i="45" s="1"/>
  <c r="N51" i="45"/>
  <c r="O51" i="45" s="1"/>
  <c r="T50" i="45"/>
  <c r="S50" i="45"/>
  <c r="U50" i="45"/>
  <c r="N50" i="45"/>
  <c r="M50" i="45"/>
  <c r="O50" i="45" s="1"/>
  <c r="T49" i="45"/>
  <c r="S49" i="45"/>
  <c r="U49" i="45"/>
  <c r="N49" i="45"/>
  <c r="T48" i="45"/>
  <c r="S48" i="45"/>
  <c r="U48" i="45"/>
  <c r="N48" i="45"/>
  <c r="M48" i="45"/>
  <c r="O48" i="45" s="1"/>
  <c r="U47" i="45"/>
  <c r="N47" i="45"/>
  <c r="M47" i="45"/>
  <c r="O47" i="45" s="1"/>
  <c r="U46" i="45"/>
  <c r="N46" i="45"/>
  <c r="M46" i="45"/>
  <c r="O46" i="45" s="1"/>
  <c r="U45" i="45"/>
  <c r="O45" i="45"/>
  <c r="T44" i="45"/>
  <c r="S44" i="45"/>
  <c r="U44" i="45"/>
  <c r="N44" i="45"/>
  <c r="M44" i="45"/>
  <c r="O44" i="45" s="1"/>
  <c r="U43" i="45"/>
  <c r="N43" i="45"/>
  <c r="M43" i="45"/>
  <c r="O43" i="45" s="1"/>
  <c r="U42" i="45"/>
  <c r="N42" i="45"/>
  <c r="M42" i="45"/>
  <c r="O42" i="45" s="1"/>
  <c r="T41" i="45"/>
  <c r="S41" i="45"/>
  <c r="U41" i="45"/>
  <c r="N41" i="45"/>
  <c r="M41" i="45"/>
  <c r="O41" i="45" s="1"/>
  <c r="T40" i="45"/>
  <c r="S40" i="45"/>
  <c r="U40" i="45"/>
  <c r="M40" i="45"/>
  <c r="O40" i="45"/>
  <c r="U39" i="45"/>
  <c r="N39" i="45"/>
  <c r="O39" i="45" s="1"/>
  <c r="T38" i="45"/>
  <c r="S38" i="45"/>
  <c r="U38" i="45"/>
  <c r="N38" i="45"/>
  <c r="O38" i="45"/>
  <c r="U37" i="45"/>
  <c r="N37" i="45"/>
  <c r="M37" i="45"/>
  <c r="O37" i="45"/>
  <c r="T36" i="45"/>
  <c r="S36" i="45"/>
  <c r="U36" i="45" s="1"/>
  <c r="N36" i="45"/>
  <c r="M36" i="45"/>
  <c r="O36" i="45"/>
  <c r="T35" i="45"/>
  <c r="S35" i="45"/>
  <c r="U35" i="45" s="1"/>
  <c r="N35" i="45"/>
  <c r="M35" i="45"/>
  <c r="O35" i="45"/>
  <c r="U34" i="45"/>
  <c r="N34" i="45"/>
  <c r="M34" i="45"/>
  <c r="O34" i="45"/>
  <c r="U33" i="45"/>
  <c r="N33" i="45"/>
  <c r="M33" i="45"/>
  <c r="O33" i="45"/>
  <c r="U32" i="45"/>
  <c r="O32" i="45"/>
  <c r="T31" i="45"/>
  <c r="S31" i="45"/>
  <c r="U31" i="45" s="1"/>
  <c r="O31" i="45"/>
  <c r="T30" i="45"/>
  <c r="S30" i="45"/>
  <c r="U30" i="45" s="1"/>
  <c r="N30" i="45"/>
  <c r="O30" i="45" s="1"/>
  <c r="T29" i="45"/>
  <c r="S29" i="45"/>
  <c r="U29" i="45"/>
  <c r="N29" i="45"/>
  <c r="M29" i="45"/>
  <c r="O29" i="45" s="1"/>
  <c r="U28" i="45"/>
  <c r="O28" i="45"/>
  <c r="T27" i="45"/>
  <c r="S27" i="45"/>
  <c r="U27" i="45"/>
  <c r="N27" i="45"/>
  <c r="M27" i="45"/>
  <c r="O27" i="45" s="1"/>
  <c r="T26" i="45"/>
  <c r="S26" i="45"/>
  <c r="U26" i="45"/>
  <c r="N26" i="45"/>
  <c r="M26" i="45"/>
  <c r="O26" i="45" s="1"/>
  <c r="T25" i="45"/>
  <c r="S25" i="45"/>
  <c r="U25" i="45"/>
  <c r="N25" i="45"/>
  <c r="M25" i="45"/>
  <c r="O25" i="45" s="1"/>
  <c r="U24" i="45"/>
  <c r="N24" i="45"/>
  <c r="N23" i="45"/>
  <c r="T22" i="45"/>
  <c r="S22" i="45"/>
  <c r="U22" i="45"/>
  <c r="N22" i="45"/>
  <c r="M22" i="45"/>
  <c r="O22" i="45" s="1"/>
  <c r="T21" i="45"/>
  <c r="S21" i="45"/>
  <c r="U21" i="45"/>
  <c r="N21" i="45"/>
  <c r="M21" i="45"/>
  <c r="O21" i="45" s="1"/>
  <c r="T20" i="45"/>
  <c r="S20" i="45"/>
  <c r="U20" i="45"/>
  <c r="N20" i="45"/>
  <c r="M20" i="45"/>
  <c r="O20" i="45" s="1"/>
  <c r="T19" i="45"/>
  <c r="S19" i="45"/>
  <c r="U19" i="45"/>
  <c r="N19" i="45"/>
  <c r="O19" i="45"/>
  <c r="T18" i="45"/>
  <c r="S18" i="45"/>
  <c r="N18" i="45"/>
  <c r="O18" i="45"/>
  <c r="U17" i="45"/>
  <c r="N17" i="45"/>
  <c r="U16" i="45"/>
  <c r="O16" i="45"/>
  <c r="T15" i="45"/>
  <c r="S15" i="45"/>
  <c r="U15" i="45"/>
  <c r="N15" i="45"/>
  <c r="O15" i="45"/>
  <c r="T14" i="45"/>
  <c r="S14" i="45"/>
  <c r="U14" i="45" s="1"/>
  <c r="N14" i="45"/>
  <c r="O14" i="45" s="1"/>
  <c r="T13" i="45"/>
  <c r="N13" i="45"/>
  <c r="B13" i="45"/>
  <c r="B14" i="45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69" i="45" s="1"/>
  <c r="B70" i="45" s="1"/>
  <c r="B71" i="45" s="1"/>
  <c r="B72" i="45" s="1"/>
  <c r="B73" i="45" s="1"/>
  <c r="B74" i="45" s="1"/>
  <c r="B75" i="45" s="1"/>
  <c r="B76" i="45" s="1"/>
  <c r="B77" i="45" s="1"/>
  <c r="B78" i="45" s="1"/>
  <c r="B79" i="45" s="1"/>
  <c r="B80" i="45" s="1"/>
  <c r="B81" i="45" s="1"/>
  <c r="B82" i="45" s="1"/>
  <c r="B83" i="45" s="1"/>
  <c r="B84" i="45" s="1"/>
  <c r="B85" i="45" s="1"/>
  <c r="B86" i="45" s="1"/>
  <c r="B87" i="45" s="1"/>
  <c r="B88" i="45" s="1"/>
  <c r="B89" i="45" s="1"/>
  <c r="B90" i="45" s="1"/>
  <c r="B91" i="45" s="1"/>
  <c r="B92" i="45" s="1"/>
  <c r="B93" i="45" s="1"/>
  <c r="B94" i="45" s="1"/>
  <c r="B95" i="45" s="1"/>
  <c r="B96" i="45" s="1"/>
  <c r="B97" i="45" s="1"/>
  <c r="B98" i="45" s="1"/>
  <c r="B99" i="45" s="1"/>
  <c r="B100" i="45" s="1"/>
  <c r="B101" i="45" s="1"/>
  <c r="B102" i="45" s="1"/>
  <c r="U12" i="45"/>
  <c r="O12" i="45"/>
  <c r="T11" i="45"/>
  <c r="S11" i="45"/>
  <c r="U11" i="45" s="1"/>
  <c r="N11" i="45"/>
  <c r="M11" i="45"/>
  <c r="O11" i="45"/>
  <c r="B11" i="45"/>
  <c r="T10" i="45"/>
  <c r="S10" i="45"/>
  <c r="N10" i="45"/>
  <c r="M10" i="45"/>
  <c r="O10" i="45"/>
  <c r="H9" i="45"/>
  <c r="I9" i="45"/>
  <c r="J9" i="45" s="1"/>
  <c r="K9" i="45" s="1"/>
  <c r="L9" i="45" s="1"/>
  <c r="M9" i="45" s="1"/>
  <c r="N9" i="45" s="1"/>
  <c r="O9" i="45" s="1"/>
  <c r="P9" i="45" s="1"/>
  <c r="Q9" i="45" s="1"/>
  <c r="R9" i="45" s="1"/>
  <c r="S9" i="45" s="1"/>
  <c r="T9" i="45" s="1"/>
  <c r="U9" i="45" s="1"/>
  <c r="S52" i="44"/>
  <c r="M52" i="44"/>
  <c r="S78" i="44"/>
  <c r="U78" i="44" s="1"/>
  <c r="M36" i="44"/>
  <c r="M33" i="44"/>
  <c r="S101" i="44"/>
  <c r="M101" i="44"/>
  <c r="O101" i="44"/>
  <c r="M100" i="44"/>
  <c r="M99" i="44"/>
  <c r="M94" i="44"/>
  <c r="O94" i="44" s="1"/>
  <c r="M93" i="44"/>
  <c r="M92" i="44"/>
  <c r="M91" i="44"/>
  <c r="S89" i="44"/>
  <c r="M89" i="44"/>
  <c r="M81" i="44"/>
  <c r="O81" i="44"/>
  <c r="M76" i="44"/>
  <c r="M70" i="44"/>
  <c r="M68" i="44"/>
  <c r="M67" i="44"/>
  <c r="M65" i="44"/>
  <c r="M60" i="44"/>
  <c r="M56" i="44"/>
  <c r="M43" i="44"/>
  <c r="M42" i="44"/>
  <c r="M41" i="44"/>
  <c r="S40" i="44"/>
  <c r="M40" i="44"/>
  <c r="O40" i="44" s="1"/>
  <c r="M38" i="44"/>
  <c r="M21" i="44"/>
  <c r="M20" i="44"/>
  <c r="O20" i="44" s="1"/>
  <c r="M19" i="44"/>
  <c r="M15" i="44"/>
  <c r="O15" i="44" s="1"/>
  <c r="M14" i="44"/>
  <c r="M13" i="44"/>
  <c r="O13" i="44" s="1"/>
  <c r="M17" i="44"/>
  <c r="R105" i="44"/>
  <c r="Q105" i="44"/>
  <c r="P105" i="44"/>
  <c r="L105" i="44"/>
  <c r="K105" i="44"/>
  <c r="J105" i="44"/>
  <c r="I105" i="44"/>
  <c r="H105" i="44"/>
  <c r="U104" i="44"/>
  <c r="O104" i="44"/>
  <c r="U103" i="44"/>
  <c r="N103" i="44"/>
  <c r="M103" i="44"/>
  <c r="O103" i="44" s="1"/>
  <c r="T102" i="44"/>
  <c r="S102" i="44"/>
  <c r="U102" i="44"/>
  <c r="N102" i="44"/>
  <c r="M102" i="44"/>
  <c r="T101" i="44"/>
  <c r="N101" i="44"/>
  <c r="T100" i="44"/>
  <c r="S100" i="44"/>
  <c r="U100" i="44" s="1"/>
  <c r="N100" i="44"/>
  <c r="O100" i="44" s="1"/>
  <c r="T99" i="44"/>
  <c r="S99" i="44"/>
  <c r="N99" i="44"/>
  <c r="O99" i="44"/>
  <c r="T98" i="44"/>
  <c r="S98" i="44"/>
  <c r="U98" i="44" s="1"/>
  <c r="N98" i="44"/>
  <c r="M98" i="44"/>
  <c r="U97" i="44"/>
  <c r="N97" i="44"/>
  <c r="M97" i="44"/>
  <c r="O97" i="44" s="1"/>
  <c r="U96" i="44"/>
  <c r="N96" i="44"/>
  <c r="M96" i="44"/>
  <c r="O96" i="44" s="1"/>
  <c r="T95" i="44"/>
  <c r="S95" i="44"/>
  <c r="N95" i="44"/>
  <c r="M95" i="44"/>
  <c r="O95" i="44"/>
  <c r="T94" i="44"/>
  <c r="S94" i="44"/>
  <c r="N94" i="44"/>
  <c r="T93" i="44"/>
  <c r="S93" i="44"/>
  <c r="U93" i="44"/>
  <c r="N93" i="44"/>
  <c r="U92" i="44"/>
  <c r="N92" i="44"/>
  <c r="T91" i="44"/>
  <c r="S91" i="44"/>
  <c r="U91" i="44"/>
  <c r="N91" i="44"/>
  <c r="U90" i="44"/>
  <c r="N90" i="44"/>
  <c r="M90" i="44"/>
  <c r="T89" i="44"/>
  <c r="U89" i="44"/>
  <c r="N89" i="44"/>
  <c r="U88" i="44"/>
  <c r="O88" i="44"/>
  <c r="T87" i="44"/>
  <c r="S87" i="44"/>
  <c r="U87" i="44"/>
  <c r="N87" i="44"/>
  <c r="M87" i="44"/>
  <c r="O87" i="44" s="1"/>
  <c r="U86" i="44"/>
  <c r="N86" i="44"/>
  <c r="M86" i="44"/>
  <c r="O86" i="44" s="1"/>
  <c r="T85" i="44"/>
  <c r="S85" i="44"/>
  <c r="N85" i="44"/>
  <c r="M85" i="44"/>
  <c r="O85" i="44"/>
  <c r="U84" i="44"/>
  <c r="N84" i="44"/>
  <c r="M84" i="44"/>
  <c r="O84" i="44"/>
  <c r="T83" i="44"/>
  <c r="S83" i="44"/>
  <c r="N83" i="44"/>
  <c r="M83" i="44"/>
  <c r="O83" i="44" s="1"/>
  <c r="T82" i="44"/>
  <c r="S82" i="44"/>
  <c r="U82" i="44"/>
  <c r="N82" i="44"/>
  <c r="M82" i="44"/>
  <c r="O82" i="44" s="1"/>
  <c r="U81" i="44"/>
  <c r="T80" i="44"/>
  <c r="S80" i="44"/>
  <c r="N80" i="44"/>
  <c r="M80" i="44"/>
  <c r="O80" i="44" s="1"/>
  <c r="T79" i="44"/>
  <c r="S79" i="44"/>
  <c r="U79" i="44"/>
  <c r="N79" i="44"/>
  <c r="M79" i="44"/>
  <c r="O79" i="44" s="1"/>
  <c r="O78" i="44"/>
  <c r="U77" i="44"/>
  <c r="N77" i="44"/>
  <c r="M77" i="44"/>
  <c r="U76" i="44"/>
  <c r="N76" i="44"/>
  <c r="O76" i="44"/>
  <c r="T75" i="44"/>
  <c r="S75" i="44"/>
  <c r="N75" i="44"/>
  <c r="M75" i="44"/>
  <c r="O75" i="44" s="1"/>
  <c r="U74" i="44"/>
  <c r="O74" i="44"/>
  <c r="T73" i="44"/>
  <c r="S73" i="44"/>
  <c r="N73" i="44"/>
  <c r="M73" i="44"/>
  <c r="O73" i="44"/>
  <c r="T72" i="44"/>
  <c r="S72" i="44"/>
  <c r="N72" i="44"/>
  <c r="M72" i="44"/>
  <c r="O72" i="44" s="1"/>
  <c r="T71" i="44"/>
  <c r="S71" i="44"/>
  <c r="N71" i="44"/>
  <c r="M71" i="44"/>
  <c r="O71" i="44"/>
  <c r="U70" i="44"/>
  <c r="N70" i="44"/>
  <c r="U69" i="44"/>
  <c r="N69" i="44"/>
  <c r="M69" i="44"/>
  <c r="O69" i="44" s="1"/>
  <c r="U68" i="44"/>
  <c r="N68" i="44"/>
  <c r="T67" i="44"/>
  <c r="S67" i="44"/>
  <c r="U67" i="44"/>
  <c r="N67" i="44"/>
  <c r="U66" i="44"/>
  <c r="N66" i="44"/>
  <c r="M66" i="44"/>
  <c r="T65" i="44"/>
  <c r="S65" i="44"/>
  <c r="U65" i="44" s="1"/>
  <c r="N65" i="44"/>
  <c r="T64" i="44"/>
  <c r="S64" i="44"/>
  <c r="U64" i="44" s="1"/>
  <c r="N64" i="44"/>
  <c r="M64" i="44"/>
  <c r="O64" i="44"/>
  <c r="T63" i="44"/>
  <c r="S63" i="44"/>
  <c r="U63" i="44" s="1"/>
  <c r="O63" i="44"/>
  <c r="T62" i="44"/>
  <c r="S62" i="44"/>
  <c r="U62" i="44" s="1"/>
  <c r="N62" i="44"/>
  <c r="M62" i="44"/>
  <c r="O62" i="44"/>
  <c r="U61" i="44"/>
  <c r="N61" i="44"/>
  <c r="M61" i="44"/>
  <c r="O61" i="44"/>
  <c r="U60" i="44"/>
  <c r="N60" i="44"/>
  <c r="U59" i="44"/>
  <c r="O59" i="44"/>
  <c r="U58" i="44"/>
  <c r="O58" i="44"/>
  <c r="U57" i="44"/>
  <c r="O57" i="44"/>
  <c r="T56" i="44"/>
  <c r="S56" i="44"/>
  <c r="N56" i="44"/>
  <c r="O56" i="44" s="1"/>
  <c r="T55" i="44"/>
  <c r="S55" i="44"/>
  <c r="U55" i="44"/>
  <c r="N55" i="44"/>
  <c r="M55" i="44"/>
  <c r="O55" i="44" s="1"/>
  <c r="T54" i="44"/>
  <c r="S54" i="44"/>
  <c r="U54" i="44"/>
  <c r="N54" i="44"/>
  <c r="M54" i="44"/>
  <c r="O54" i="44" s="1"/>
  <c r="U53" i="44"/>
  <c r="N53" i="44"/>
  <c r="M53" i="44"/>
  <c r="O53" i="44" s="1"/>
  <c r="T52" i="44"/>
  <c r="N52" i="44"/>
  <c r="O52" i="44"/>
  <c r="T51" i="44"/>
  <c r="S51" i="44"/>
  <c r="U51" i="44" s="1"/>
  <c r="N51" i="44"/>
  <c r="M51" i="44"/>
  <c r="O51" i="44"/>
  <c r="T50" i="44"/>
  <c r="S50" i="44"/>
  <c r="N50" i="44"/>
  <c r="M50" i="44"/>
  <c r="O50" i="44" s="1"/>
  <c r="T49" i="44"/>
  <c r="S49" i="44"/>
  <c r="N49" i="44"/>
  <c r="M49" i="44"/>
  <c r="O49" i="44"/>
  <c r="T48" i="44"/>
  <c r="S48" i="44"/>
  <c r="U48" i="44" s="1"/>
  <c r="N48" i="44"/>
  <c r="M48" i="44"/>
  <c r="O48" i="44"/>
  <c r="U47" i="44"/>
  <c r="N47" i="44"/>
  <c r="M47" i="44"/>
  <c r="U46" i="44"/>
  <c r="N46" i="44"/>
  <c r="M46" i="44"/>
  <c r="O46" i="44" s="1"/>
  <c r="U45" i="44"/>
  <c r="O45" i="44"/>
  <c r="T44" i="44"/>
  <c r="S44" i="44"/>
  <c r="N44" i="44"/>
  <c r="M44" i="44"/>
  <c r="O44" i="44"/>
  <c r="U43" i="44"/>
  <c r="N43" i="44"/>
  <c r="U42" i="44"/>
  <c r="N42" i="44"/>
  <c r="T41" i="44"/>
  <c r="S41" i="44"/>
  <c r="U41" i="44"/>
  <c r="N41" i="44"/>
  <c r="O41" i="44"/>
  <c r="T40" i="44"/>
  <c r="U40" i="44"/>
  <c r="U39" i="44"/>
  <c r="N39" i="44"/>
  <c r="M39" i="44"/>
  <c r="O39" i="44"/>
  <c r="T38" i="44"/>
  <c r="S38" i="44"/>
  <c r="U38" i="44" s="1"/>
  <c r="N38" i="44"/>
  <c r="U37" i="44"/>
  <c r="N37" i="44"/>
  <c r="M37" i="44"/>
  <c r="O37" i="44"/>
  <c r="T36" i="44"/>
  <c r="S36" i="44"/>
  <c r="N36" i="44"/>
  <c r="O36" i="44"/>
  <c r="T35" i="44"/>
  <c r="S35" i="44"/>
  <c r="U35" i="44" s="1"/>
  <c r="N35" i="44"/>
  <c r="M35" i="44"/>
  <c r="O35" i="44"/>
  <c r="U34" i="44"/>
  <c r="N34" i="44"/>
  <c r="M34" i="44"/>
  <c r="O34" i="44"/>
  <c r="U33" i="44"/>
  <c r="N33" i="44"/>
  <c r="U32" i="44"/>
  <c r="O32" i="44"/>
  <c r="T31" i="44"/>
  <c r="S31" i="44"/>
  <c r="U31" i="44" s="1"/>
  <c r="O31" i="44"/>
  <c r="T30" i="44"/>
  <c r="S30" i="44"/>
  <c r="N30" i="44"/>
  <c r="M30" i="44"/>
  <c r="O30" i="44" s="1"/>
  <c r="T29" i="44"/>
  <c r="S29" i="44"/>
  <c r="U29" i="44"/>
  <c r="N29" i="44"/>
  <c r="M29" i="44"/>
  <c r="O29" i="44" s="1"/>
  <c r="U28" i="44"/>
  <c r="O28" i="44"/>
  <c r="T27" i="44"/>
  <c r="S27" i="44"/>
  <c r="U27" i="44"/>
  <c r="N27" i="44"/>
  <c r="M27" i="44"/>
  <c r="O27" i="44" s="1"/>
  <c r="T26" i="44"/>
  <c r="S26" i="44"/>
  <c r="U26" i="44"/>
  <c r="N26" i="44"/>
  <c r="M26" i="44"/>
  <c r="O26" i="44" s="1"/>
  <c r="T25" i="44"/>
  <c r="S25" i="44"/>
  <c r="N25" i="44"/>
  <c r="M25" i="44"/>
  <c r="O25" i="44"/>
  <c r="U24" i="44"/>
  <c r="N24" i="44"/>
  <c r="M24" i="44"/>
  <c r="O24" i="44"/>
  <c r="U23" i="44"/>
  <c r="N23" i="44"/>
  <c r="M23" i="44"/>
  <c r="O23" i="44"/>
  <c r="T22" i="44"/>
  <c r="S22" i="44"/>
  <c r="U22" i="44" s="1"/>
  <c r="N22" i="44"/>
  <c r="M22" i="44"/>
  <c r="O22" i="44"/>
  <c r="T21" i="44"/>
  <c r="S21" i="44"/>
  <c r="U21" i="44" s="1"/>
  <c r="N21" i="44"/>
  <c r="O21" i="44" s="1"/>
  <c r="T20" i="44"/>
  <c r="S20" i="44"/>
  <c r="U20" i="44"/>
  <c r="N20" i="44"/>
  <c r="T19" i="44"/>
  <c r="S19" i="44"/>
  <c r="N19" i="44"/>
  <c r="O19" i="44"/>
  <c r="T18" i="44"/>
  <c r="S18" i="44"/>
  <c r="U18" i="44" s="1"/>
  <c r="N18" i="44"/>
  <c r="M18" i="44"/>
  <c r="O18" i="44"/>
  <c r="U17" i="44"/>
  <c r="N17" i="44"/>
  <c r="O17" i="44" s="1"/>
  <c r="U16" i="44"/>
  <c r="O16" i="44"/>
  <c r="T15" i="44"/>
  <c r="S15" i="44"/>
  <c r="N15" i="44"/>
  <c r="T14" i="44"/>
  <c r="S14" i="44"/>
  <c r="N14" i="44"/>
  <c r="O14" i="44" s="1"/>
  <c r="T13" i="44"/>
  <c r="S13" i="44"/>
  <c r="N13" i="44"/>
  <c r="B13" i="44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B57" i="44" s="1"/>
  <c r="B58" i="44" s="1"/>
  <c r="B59" i="44" s="1"/>
  <c r="B60" i="44" s="1"/>
  <c r="B61" i="44" s="1"/>
  <c r="B62" i="44" s="1"/>
  <c r="B63" i="44" s="1"/>
  <c r="B64" i="44" s="1"/>
  <c r="B65" i="44" s="1"/>
  <c r="B66" i="44" s="1"/>
  <c r="B67" i="44" s="1"/>
  <c r="B68" i="44" s="1"/>
  <c r="B69" i="44" s="1"/>
  <c r="B70" i="44" s="1"/>
  <c r="B71" i="44" s="1"/>
  <c r="B72" i="44" s="1"/>
  <c r="B73" i="44" s="1"/>
  <c r="B74" i="44" s="1"/>
  <c r="B75" i="44" s="1"/>
  <c r="B76" i="44" s="1"/>
  <c r="B77" i="44" s="1"/>
  <c r="B78" i="44" s="1"/>
  <c r="B79" i="44" s="1"/>
  <c r="B80" i="44" s="1"/>
  <c r="B81" i="44" s="1"/>
  <c r="B82" i="44" s="1"/>
  <c r="B83" i="44" s="1"/>
  <c r="B84" i="44" s="1"/>
  <c r="B85" i="44" s="1"/>
  <c r="B86" i="44" s="1"/>
  <c r="B87" i="44" s="1"/>
  <c r="B88" i="44" s="1"/>
  <c r="B89" i="44" s="1"/>
  <c r="B90" i="44" s="1"/>
  <c r="B91" i="44" s="1"/>
  <c r="B92" i="44" s="1"/>
  <c r="B93" i="44" s="1"/>
  <c r="B94" i="44" s="1"/>
  <c r="B95" i="44" s="1"/>
  <c r="B96" i="44" s="1"/>
  <c r="B97" i="44" s="1"/>
  <c r="B98" i="44" s="1"/>
  <c r="B99" i="44" s="1"/>
  <c r="B100" i="44" s="1"/>
  <c r="B101" i="44" s="1"/>
  <c r="B102" i="44" s="1"/>
  <c r="U12" i="44"/>
  <c r="O12" i="44"/>
  <c r="T11" i="44"/>
  <c r="S11" i="44"/>
  <c r="U11" i="44" s="1"/>
  <c r="N11" i="44"/>
  <c r="M11" i="44"/>
  <c r="O11" i="44"/>
  <c r="B11" i="44"/>
  <c r="T10" i="44"/>
  <c r="T105" i="44" s="1"/>
  <c r="S10" i="44"/>
  <c r="N10" i="44"/>
  <c r="N105" i="44"/>
  <c r="M10" i="44"/>
  <c r="H9" i="44"/>
  <c r="I9" i="44" s="1"/>
  <c r="J9" i="44" s="1"/>
  <c r="K9" i="44" s="1"/>
  <c r="L9" i="44" s="1"/>
  <c r="M9" i="44" s="1"/>
  <c r="N9" i="44" s="1"/>
  <c r="O9" i="44" s="1"/>
  <c r="P9" i="44" s="1"/>
  <c r="Q9" i="44" s="1"/>
  <c r="R9" i="44" s="1"/>
  <c r="S9" i="44" s="1"/>
  <c r="T9" i="44" s="1"/>
  <c r="U9" i="44" s="1"/>
  <c r="M90" i="43"/>
  <c r="O90" i="43" s="1"/>
  <c r="M21" i="43"/>
  <c r="N101" i="43"/>
  <c r="M103" i="43"/>
  <c r="S101" i="43"/>
  <c r="U101" i="43" s="1"/>
  <c r="M101" i="43"/>
  <c r="O101" i="43" s="1"/>
  <c r="M100" i="43"/>
  <c r="O100" i="43" s="1"/>
  <c r="M99" i="43"/>
  <c r="O99" i="43" s="1"/>
  <c r="S98" i="43"/>
  <c r="M98" i="43"/>
  <c r="M95" i="43"/>
  <c r="M94" i="43"/>
  <c r="M93" i="43"/>
  <c r="M92" i="43"/>
  <c r="S87" i="43"/>
  <c r="M87" i="43"/>
  <c r="M85" i="43"/>
  <c r="M86" i="43"/>
  <c r="M84" i="43"/>
  <c r="S80" i="43"/>
  <c r="M80" i="43"/>
  <c r="M77" i="43"/>
  <c r="M72" i="43"/>
  <c r="M71" i="43"/>
  <c r="M68" i="43"/>
  <c r="M67" i="43"/>
  <c r="M65" i="43"/>
  <c r="M56" i="43"/>
  <c r="M54" i="43"/>
  <c r="M55" i="43"/>
  <c r="M49" i="43"/>
  <c r="M47" i="43"/>
  <c r="M43" i="43"/>
  <c r="M42" i="43"/>
  <c r="M37" i="43"/>
  <c r="M30" i="43"/>
  <c r="M29" i="43"/>
  <c r="M27" i="43"/>
  <c r="M25" i="43"/>
  <c r="M22" i="43"/>
  <c r="S22" i="43"/>
  <c r="S20" i="43"/>
  <c r="M20" i="43"/>
  <c r="M18" i="43"/>
  <c r="M10" i="43"/>
  <c r="R105" i="43"/>
  <c r="Q105" i="43"/>
  <c r="P105" i="43"/>
  <c r="L105" i="43"/>
  <c r="K105" i="43"/>
  <c r="J105" i="43"/>
  <c r="I105" i="43"/>
  <c r="H105" i="43"/>
  <c r="U104" i="43"/>
  <c r="O104" i="43"/>
  <c r="U103" i="43"/>
  <c r="N103" i="43"/>
  <c r="T102" i="43"/>
  <c r="S102" i="43"/>
  <c r="U102" i="43"/>
  <c r="N102" i="43"/>
  <c r="M102" i="43"/>
  <c r="O102" i="43" s="1"/>
  <c r="T101" i="43"/>
  <c r="T100" i="43"/>
  <c r="S100" i="43"/>
  <c r="U100" i="43" s="1"/>
  <c r="N100" i="43"/>
  <c r="T99" i="43"/>
  <c r="S99" i="43"/>
  <c r="U99" i="43" s="1"/>
  <c r="N99" i="43"/>
  <c r="T98" i="43"/>
  <c r="N98" i="43"/>
  <c r="U97" i="43"/>
  <c r="N97" i="43"/>
  <c r="M97" i="43"/>
  <c r="U96" i="43"/>
  <c r="N96" i="43"/>
  <c r="M96" i="43"/>
  <c r="O96" i="43"/>
  <c r="T95" i="43"/>
  <c r="S95" i="43"/>
  <c r="U95" i="43" s="1"/>
  <c r="N95" i="43"/>
  <c r="O95" i="43" s="1"/>
  <c r="T94" i="43"/>
  <c r="S94" i="43"/>
  <c r="U94" i="43"/>
  <c r="N94" i="43"/>
  <c r="O94" i="43"/>
  <c r="T93" i="43"/>
  <c r="S93" i="43"/>
  <c r="U93" i="43" s="1"/>
  <c r="N93" i="43"/>
  <c r="U92" i="43"/>
  <c r="N92" i="43"/>
  <c r="T91" i="43"/>
  <c r="S91" i="43"/>
  <c r="U91" i="43" s="1"/>
  <c r="N91" i="43"/>
  <c r="M91" i="43"/>
  <c r="O91" i="43"/>
  <c r="U90" i="43"/>
  <c r="N90" i="43"/>
  <c r="T89" i="43"/>
  <c r="S89" i="43"/>
  <c r="U89" i="43"/>
  <c r="N89" i="43"/>
  <c r="M89" i="43"/>
  <c r="O89" i="43" s="1"/>
  <c r="U88" i="43"/>
  <c r="O88" i="43"/>
  <c r="T87" i="43"/>
  <c r="N87" i="43"/>
  <c r="O87" i="43"/>
  <c r="U86" i="43"/>
  <c r="N86" i="43"/>
  <c r="T85" i="43"/>
  <c r="S85" i="43"/>
  <c r="U85" i="43" s="1"/>
  <c r="N85" i="43"/>
  <c r="O85" i="43" s="1"/>
  <c r="U84" i="43"/>
  <c r="N84" i="43"/>
  <c r="T83" i="43"/>
  <c r="S83" i="43"/>
  <c r="U83" i="43"/>
  <c r="N83" i="43"/>
  <c r="M83" i="43"/>
  <c r="O83" i="43" s="1"/>
  <c r="T82" i="43"/>
  <c r="S82" i="43"/>
  <c r="U82" i="43"/>
  <c r="N82" i="43"/>
  <c r="M82" i="43"/>
  <c r="O82" i="43" s="1"/>
  <c r="U81" i="43"/>
  <c r="O81" i="43"/>
  <c r="T80" i="43"/>
  <c r="N80" i="43"/>
  <c r="T79" i="43"/>
  <c r="S79" i="43"/>
  <c r="U79" i="43"/>
  <c r="N79" i="43"/>
  <c r="M79" i="43"/>
  <c r="O79" i="43" s="1"/>
  <c r="U78" i="43"/>
  <c r="O78" i="43"/>
  <c r="U77" i="43"/>
  <c r="N77" i="43"/>
  <c r="U76" i="43"/>
  <c r="N76" i="43"/>
  <c r="M76" i="43"/>
  <c r="O76" i="43" s="1"/>
  <c r="T75" i="43"/>
  <c r="S75" i="43"/>
  <c r="U75" i="43"/>
  <c r="N75" i="43"/>
  <c r="M75" i="43"/>
  <c r="O75" i="43" s="1"/>
  <c r="U74" i="43"/>
  <c r="O74" i="43"/>
  <c r="T73" i="43"/>
  <c r="S73" i="43"/>
  <c r="U73" i="43"/>
  <c r="N73" i="43"/>
  <c r="M73" i="43"/>
  <c r="T72" i="43"/>
  <c r="S72" i="43"/>
  <c r="U72" i="43" s="1"/>
  <c r="N72" i="43"/>
  <c r="T71" i="43"/>
  <c r="S71" i="43"/>
  <c r="U71" i="43" s="1"/>
  <c r="N71" i="43"/>
  <c r="U70" i="43"/>
  <c r="N70" i="43"/>
  <c r="M70" i="43"/>
  <c r="O70" i="43"/>
  <c r="U69" i="43"/>
  <c r="N69" i="43"/>
  <c r="M69" i="43"/>
  <c r="O69" i="43"/>
  <c r="U68" i="43"/>
  <c r="N68" i="43"/>
  <c r="T67" i="43"/>
  <c r="S67" i="43"/>
  <c r="U67" i="43" s="1"/>
  <c r="N67" i="43"/>
  <c r="O67" i="43" s="1"/>
  <c r="U66" i="43"/>
  <c r="N66" i="43"/>
  <c r="M66" i="43"/>
  <c r="O66" i="43"/>
  <c r="T65" i="43"/>
  <c r="S65" i="43"/>
  <c r="U65" i="43" s="1"/>
  <c r="N65" i="43"/>
  <c r="T64" i="43"/>
  <c r="S64" i="43"/>
  <c r="U64" i="43" s="1"/>
  <c r="N64" i="43"/>
  <c r="M64" i="43"/>
  <c r="O64" i="43"/>
  <c r="T63" i="43"/>
  <c r="S63" i="43"/>
  <c r="O63" i="43"/>
  <c r="T62" i="43"/>
  <c r="S62" i="43"/>
  <c r="U62" i="43"/>
  <c r="N62" i="43"/>
  <c r="M62" i="43"/>
  <c r="O62" i="43" s="1"/>
  <c r="U61" i="43"/>
  <c r="N61" i="43"/>
  <c r="M61" i="43"/>
  <c r="O61" i="43" s="1"/>
  <c r="U60" i="43"/>
  <c r="N60" i="43"/>
  <c r="M60" i="43"/>
  <c r="O60" i="43" s="1"/>
  <c r="U59" i="43"/>
  <c r="O59" i="43"/>
  <c r="U58" i="43"/>
  <c r="O58" i="43"/>
  <c r="U57" i="43"/>
  <c r="O57" i="43"/>
  <c r="T56" i="43"/>
  <c r="S56" i="43"/>
  <c r="U56" i="43"/>
  <c r="N56" i="43"/>
  <c r="T55" i="43"/>
  <c r="S55" i="43"/>
  <c r="N55" i="43"/>
  <c r="T54" i="43"/>
  <c r="S54" i="43"/>
  <c r="U54" i="43" s="1"/>
  <c r="N54" i="43"/>
  <c r="U53" i="43"/>
  <c r="N53" i="43"/>
  <c r="M53" i="43"/>
  <c r="O53" i="43"/>
  <c r="T52" i="43"/>
  <c r="S52" i="43"/>
  <c r="U52" i="43" s="1"/>
  <c r="N52" i="43"/>
  <c r="M52" i="43"/>
  <c r="O52" i="43"/>
  <c r="T51" i="43"/>
  <c r="S51" i="43"/>
  <c r="U51" i="43" s="1"/>
  <c r="N51" i="43"/>
  <c r="M51" i="43"/>
  <c r="O51" i="43"/>
  <c r="T50" i="43"/>
  <c r="S50" i="43"/>
  <c r="U50" i="43" s="1"/>
  <c r="N50" i="43"/>
  <c r="M50" i="43"/>
  <c r="O50" i="43"/>
  <c r="T49" i="43"/>
  <c r="S49" i="43"/>
  <c r="U49" i="43" s="1"/>
  <c r="N49" i="43"/>
  <c r="T48" i="43"/>
  <c r="S48" i="43"/>
  <c r="U48" i="43" s="1"/>
  <c r="N48" i="43"/>
  <c r="M48" i="43"/>
  <c r="U47" i="43"/>
  <c r="N47" i="43"/>
  <c r="O47" i="43"/>
  <c r="U46" i="43"/>
  <c r="N46" i="43"/>
  <c r="M46" i="43"/>
  <c r="O46" i="43"/>
  <c r="U45" i="43"/>
  <c r="O45" i="43"/>
  <c r="T44" i="43"/>
  <c r="S44" i="43"/>
  <c r="U44" i="43" s="1"/>
  <c r="N44" i="43"/>
  <c r="M44" i="43"/>
  <c r="U43" i="43"/>
  <c r="N43" i="43"/>
  <c r="U42" i="43"/>
  <c r="N42" i="43"/>
  <c r="O42" i="43"/>
  <c r="T41" i="43"/>
  <c r="S41" i="43"/>
  <c r="U41" i="43" s="1"/>
  <c r="N41" i="43"/>
  <c r="M41" i="43"/>
  <c r="O41" i="43"/>
  <c r="T40" i="43"/>
  <c r="S40" i="43"/>
  <c r="U40" i="43" s="1"/>
  <c r="O40" i="43"/>
  <c r="U39" i="43"/>
  <c r="N39" i="43"/>
  <c r="M39" i="43"/>
  <c r="O39" i="43"/>
  <c r="T38" i="43"/>
  <c r="S38" i="43"/>
  <c r="U38" i="43" s="1"/>
  <c r="N38" i="43"/>
  <c r="M38" i="43"/>
  <c r="O38" i="43"/>
  <c r="U37" i="43"/>
  <c r="N37" i="43"/>
  <c r="T36" i="43"/>
  <c r="S36" i="43"/>
  <c r="U36" i="43" s="1"/>
  <c r="N36" i="43"/>
  <c r="M36" i="43"/>
  <c r="O36" i="43"/>
  <c r="T35" i="43"/>
  <c r="S35" i="43"/>
  <c r="U35" i="43" s="1"/>
  <c r="N35" i="43"/>
  <c r="M35" i="43"/>
  <c r="O35" i="43"/>
  <c r="U34" i="43"/>
  <c r="N34" i="43"/>
  <c r="M34" i="43"/>
  <c r="O34" i="43"/>
  <c r="U33" i="43"/>
  <c r="N33" i="43"/>
  <c r="M33" i="43"/>
  <c r="O33" i="43"/>
  <c r="U32" i="43"/>
  <c r="O32" i="43"/>
  <c r="T31" i="43"/>
  <c r="S31" i="43"/>
  <c r="U31" i="43" s="1"/>
  <c r="O31" i="43"/>
  <c r="T30" i="43"/>
  <c r="S30" i="43"/>
  <c r="U30" i="43" s="1"/>
  <c r="N30" i="43"/>
  <c r="O30" i="43" s="1"/>
  <c r="T29" i="43"/>
  <c r="S29" i="43"/>
  <c r="U29" i="43"/>
  <c r="N29" i="43"/>
  <c r="U28" i="43"/>
  <c r="O28" i="43"/>
  <c r="T27" i="43"/>
  <c r="S27" i="43"/>
  <c r="N27" i="43"/>
  <c r="T26" i="43"/>
  <c r="S26" i="43"/>
  <c r="U26" i="43" s="1"/>
  <c r="N26" i="43"/>
  <c r="M26" i="43"/>
  <c r="O26" i="43"/>
  <c r="T25" i="43"/>
  <c r="S25" i="43"/>
  <c r="U25" i="43" s="1"/>
  <c r="N25" i="43"/>
  <c r="O25" i="43" s="1"/>
  <c r="U24" i="43"/>
  <c r="N24" i="43"/>
  <c r="M24" i="43"/>
  <c r="O24" i="43" s="1"/>
  <c r="U23" i="43"/>
  <c r="N23" i="43"/>
  <c r="M23" i="43"/>
  <c r="O23" i="43" s="1"/>
  <c r="T22" i="43"/>
  <c r="N22" i="43"/>
  <c r="T21" i="43"/>
  <c r="S21" i="43"/>
  <c r="U21" i="43"/>
  <c r="N21" i="43"/>
  <c r="O21" i="43"/>
  <c r="T20" i="43"/>
  <c r="U20" i="43"/>
  <c r="N20" i="43"/>
  <c r="T19" i="43"/>
  <c r="S19" i="43"/>
  <c r="U19" i="43"/>
  <c r="N19" i="43"/>
  <c r="M19" i="43"/>
  <c r="O19" i="43" s="1"/>
  <c r="T18" i="43"/>
  <c r="S18" i="43"/>
  <c r="U18" i="43"/>
  <c r="N18" i="43"/>
  <c r="U17" i="43"/>
  <c r="N17" i="43"/>
  <c r="M17" i="43"/>
  <c r="O17" i="43" s="1"/>
  <c r="U16" i="43"/>
  <c r="O16" i="43"/>
  <c r="T15" i="43"/>
  <c r="S15" i="43"/>
  <c r="U15" i="43"/>
  <c r="N15" i="43"/>
  <c r="M15" i="43"/>
  <c r="O15" i="43" s="1"/>
  <c r="T14" i="43"/>
  <c r="S14" i="43"/>
  <c r="U14" i="43"/>
  <c r="N14" i="43"/>
  <c r="M14" i="43"/>
  <c r="O14" i="43" s="1"/>
  <c r="T13" i="43"/>
  <c r="S13" i="43"/>
  <c r="N13" i="43"/>
  <c r="M13" i="43"/>
  <c r="O13" i="43"/>
  <c r="B13" i="43"/>
  <c r="B14" i="43"/>
  <c r="B15" i="43" s="1"/>
  <c r="B16" i="43" s="1"/>
  <c r="B17" i="43" s="1"/>
  <c r="B18" i="43" s="1"/>
  <c r="B19" i="43" s="1"/>
  <c r="B20" i="43" s="1"/>
  <c r="B21" i="43" s="1"/>
  <c r="B22" i="43" s="1"/>
  <c r="B23" i="43" s="1"/>
  <c r="B24" i="43" s="1"/>
  <c r="B25" i="43" s="1"/>
  <c r="B26" i="43" s="1"/>
  <c r="B27" i="43" s="1"/>
  <c r="B28" i="43" s="1"/>
  <c r="B29" i="43" s="1"/>
  <c r="B30" i="43" s="1"/>
  <c r="B31" i="43" s="1"/>
  <c r="B32" i="43" s="1"/>
  <c r="B33" i="43" s="1"/>
  <c r="B34" i="43" s="1"/>
  <c r="B35" i="43" s="1"/>
  <c r="B36" i="43" s="1"/>
  <c r="B37" i="43" s="1"/>
  <c r="B38" i="43" s="1"/>
  <c r="B39" i="43" s="1"/>
  <c r="B40" i="43" s="1"/>
  <c r="B41" i="43" s="1"/>
  <c r="B42" i="43" s="1"/>
  <c r="B43" i="43" s="1"/>
  <c r="B44" i="43" s="1"/>
  <c r="B45" i="43" s="1"/>
  <c r="B46" i="43" s="1"/>
  <c r="B47" i="43" s="1"/>
  <c r="B48" i="43" s="1"/>
  <c r="B49" i="43" s="1"/>
  <c r="B50" i="43" s="1"/>
  <c r="B51" i="43" s="1"/>
  <c r="B52" i="43" s="1"/>
  <c r="B53" i="43" s="1"/>
  <c r="B54" i="43" s="1"/>
  <c r="B55" i="43" s="1"/>
  <c r="B56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B69" i="43" s="1"/>
  <c r="B70" i="43" s="1"/>
  <c r="B71" i="43" s="1"/>
  <c r="B72" i="43" s="1"/>
  <c r="B73" i="43" s="1"/>
  <c r="B74" i="43" s="1"/>
  <c r="B75" i="43" s="1"/>
  <c r="B76" i="43" s="1"/>
  <c r="B77" i="43" s="1"/>
  <c r="B78" i="43" s="1"/>
  <c r="B79" i="43" s="1"/>
  <c r="B80" i="43" s="1"/>
  <c r="B81" i="43" s="1"/>
  <c r="B82" i="43" s="1"/>
  <c r="B83" i="43" s="1"/>
  <c r="B84" i="43" s="1"/>
  <c r="B85" i="43" s="1"/>
  <c r="B86" i="43" s="1"/>
  <c r="B87" i="43" s="1"/>
  <c r="B88" i="43" s="1"/>
  <c r="B89" i="43" s="1"/>
  <c r="B90" i="43" s="1"/>
  <c r="B91" i="43" s="1"/>
  <c r="B92" i="43" s="1"/>
  <c r="B93" i="43" s="1"/>
  <c r="B94" i="43" s="1"/>
  <c r="B95" i="43" s="1"/>
  <c r="B96" i="43" s="1"/>
  <c r="B97" i="43" s="1"/>
  <c r="B98" i="43" s="1"/>
  <c r="B99" i="43" s="1"/>
  <c r="B100" i="43" s="1"/>
  <c r="B101" i="43" s="1"/>
  <c r="B102" i="43" s="1"/>
  <c r="U12" i="43"/>
  <c r="O12" i="43"/>
  <c r="T11" i="43"/>
  <c r="S11" i="43"/>
  <c r="U11" i="43" s="1"/>
  <c r="N11" i="43"/>
  <c r="M11" i="43"/>
  <c r="O11" i="43"/>
  <c r="B11" i="43"/>
  <c r="T10" i="43"/>
  <c r="T105" i="43" s="1"/>
  <c r="S10" i="43"/>
  <c r="U10" i="43" s="1"/>
  <c r="N10" i="43"/>
  <c r="N105" i="43" s="1"/>
  <c r="H9" i="43"/>
  <c r="I9" i="43" s="1"/>
  <c r="J9" i="43" s="1"/>
  <c r="K9" i="43" s="1"/>
  <c r="L9" i="43" s="1"/>
  <c r="M9" i="43" s="1"/>
  <c r="N9" i="43" s="1"/>
  <c r="O9" i="43" s="1"/>
  <c r="P9" i="43" s="1"/>
  <c r="Q9" i="43" s="1"/>
  <c r="R9" i="43" s="1"/>
  <c r="S9" i="43" s="1"/>
  <c r="T9" i="43" s="1"/>
  <c r="U9" i="43" s="1"/>
  <c r="U19" i="44"/>
  <c r="U44" i="44"/>
  <c r="U50" i="44"/>
  <c r="U71" i="44"/>
  <c r="U72" i="44"/>
  <c r="U73" i="44"/>
  <c r="U75" i="44"/>
  <c r="U80" i="44"/>
  <c r="U83" i="44"/>
  <c r="O90" i="44"/>
  <c r="U94" i="44"/>
  <c r="O98" i="44"/>
  <c r="U99" i="44"/>
  <c r="O102" i="44"/>
  <c r="U87" i="43"/>
  <c r="U25" i="44"/>
  <c r="U30" i="44"/>
  <c r="O66" i="44"/>
  <c r="U13" i="44"/>
  <c r="U14" i="44"/>
  <c r="U15" i="44"/>
  <c r="O33" i="44"/>
  <c r="U36" i="44"/>
  <c r="O47" i="44"/>
  <c r="U56" i="44"/>
  <c r="O67" i="44"/>
  <c r="O68" i="44"/>
  <c r="O77" i="44"/>
  <c r="U85" i="44"/>
  <c r="O91" i="44"/>
  <c r="O92" i="44"/>
  <c r="U95" i="44"/>
  <c r="O10" i="44"/>
  <c r="O42" i="44"/>
  <c r="U49" i="44"/>
  <c r="O86" i="43"/>
  <c r="U80" i="43"/>
  <c r="O73" i="43"/>
  <c r="J105" i="42"/>
  <c r="N55" i="42"/>
  <c r="N56" i="42"/>
  <c r="N93" i="42"/>
  <c r="M93" i="42"/>
  <c r="O93" i="42"/>
  <c r="N95" i="42"/>
  <c r="M95" i="42"/>
  <c r="T102" i="42"/>
  <c r="T101" i="42"/>
  <c r="T100" i="42"/>
  <c r="T99" i="42"/>
  <c r="T98" i="42"/>
  <c r="T95" i="42"/>
  <c r="T94" i="42"/>
  <c r="T93" i="42"/>
  <c r="T91" i="42"/>
  <c r="T89" i="42"/>
  <c r="T87" i="42"/>
  <c r="T85" i="42"/>
  <c r="T83" i="42"/>
  <c r="T82" i="42"/>
  <c r="T80" i="42"/>
  <c r="T79" i="42"/>
  <c r="T75" i="42"/>
  <c r="T73" i="42"/>
  <c r="T72" i="42"/>
  <c r="T71" i="42"/>
  <c r="T67" i="42"/>
  <c r="T65" i="42"/>
  <c r="T64" i="42"/>
  <c r="T63" i="42"/>
  <c r="T62" i="42"/>
  <c r="T56" i="42"/>
  <c r="T55" i="42"/>
  <c r="T54" i="42"/>
  <c r="T52" i="42"/>
  <c r="T51" i="42"/>
  <c r="T50" i="42"/>
  <c r="T49" i="42"/>
  <c r="T48" i="42"/>
  <c r="T44" i="42"/>
  <c r="T41" i="42"/>
  <c r="T40" i="42"/>
  <c r="T38" i="42"/>
  <c r="T36" i="42"/>
  <c r="T35" i="42"/>
  <c r="T31" i="42"/>
  <c r="T30" i="42"/>
  <c r="T29" i="42"/>
  <c r="T27" i="42"/>
  <c r="T26" i="42"/>
  <c r="T25" i="42"/>
  <c r="T22" i="42"/>
  <c r="T21" i="42"/>
  <c r="T20" i="42"/>
  <c r="T19" i="42"/>
  <c r="T18" i="42"/>
  <c r="T15" i="42"/>
  <c r="T14" i="42"/>
  <c r="T13" i="42"/>
  <c r="T11" i="42"/>
  <c r="T10" i="42"/>
  <c r="T105" i="42"/>
  <c r="N103" i="42"/>
  <c r="N102" i="42"/>
  <c r="N101" i="42"/>
  <c r="N100" i="42"/>
  <c r="N99" i="42"/>
  <c r="N98" i="42"/>
  <c r="N97" i="42"/>
  <c r="N96" i="42"/>
  <c r="N94" i="42"/>
  <c r="N92" i="42"/>
  <c r="N91" i="42"/>
  <c r="N90" i="42"/>
  <c r="N89" i="42"/>
  <c r="N87" i="42"/>
  <c r="N86" i="42"/>
  <c r="N85" i="42"/>
  <c r="N84" i="42"/>
  <c r="N83" i="42"/>
  <c r="N82" i="42"/>
  <c r="N80" i="42"/>
  <c r="N79" i="42"/>
  <c r="N77" i="42"/>
  <c r="N76" i="42"/>
  <c r="N75" i="42"/>
  <c r="N73" i="42"/>
  <c r="N72" i="42"/>
  <c r="N71" i="42"/>
  <c r="N70" i="42"/>
  <c r="N69" i="42"/>
  <c r="N68" i="42"/>
  <c r="N67" i="42"/>
  <c r="N66" i="42"/>
  <c r="N65" i="42"/>
  <c r="N64" i="42"/>
  <c r="N62" i="42"/>
  <c r="N61" i="42"/>
  <c r="N60" i="42"/>
  <c r="N54" i="42"/>
  <c r="N53" i="42"/>
  <c r="N52" i="42"/>
  <c r="N51" i="42"/>
  <c r="N50" i="42"/>
  <c r="N49" i="42"/>
  <c r="N48" i="42"/>
  <c r="N47" i="42"/>
  <c r="N46" i="42"/>
  <c r="N44" i="42"/>
  <c r="N43" i="42"/>
  <c r="N42" i="42"/>
  <c r="N41" i="42"/>
  <c r="N39" i="42"/>
  <c r="N38" i="42"/>
  <c r="N37" i="42"/>
  <c r="N36" i="42"/>
  <c r="N35" i="42"/>
  <c r="N34" i="42"/>
  <c r="N33" i="42"/>
  <c r="N30" i="42"/>
  <c r="N29" i="42"/>
  <c r="N27" i="42"/>
  <c r="N26" i="42"/>
  <c r="N25" i="42"/>
  <c r="N24" i="42"/>
  <c r="N23" i="42"/>
  <c r="N22" i="42"/>
  <c r="N21" i="42"/>
  <c r="N20" i="42"/>
  <c r="N19" i="42"/>
  <c r="N18" i="42"/>
  <c r="N17" i="42"/>
  <c r="N15" i="42"/>
  <c r="N14" i="42"/>
  <c r="N13" i="42"/>
  <c r="N11" i="42"/>
  <c r="N10" i="42"/>
  <c r="N105" i="42"/>
  <c r="R105" i="42"/>
  <c r="Q105" i="42"/>
  <c r="P105" i="42"/>
  <c r="L105" i="42"/>
  <c r="K105" i="42"/>
  <c r="I105" i="42"/>
  <c r="H105" i="42"/>
  <c r="U104" i="42"/>
  <c r="O104" i="42"/>
  <c r="U103" i="42"/>
  <c r="M103" i="42"/>
  <c r="O103" i="42"/>
  <c r="S102" i="42"/>
  <c r="U102" i="42"/>
  <c r="M102" i="42"/>
  <c r="O102" i="42"/>
  <c r="S101" i="42"/>
  <c r="U101" i="42"/>
  <c r="M101" i="42"/>
  <c r="O101" i="42"/>
  <c r="S100" i="42"/>
  <c r="U100" i="42"/>
  <c r="M100" i="42"/>
  <c r="O100" i="42"/>
  <c r="S99" i="42"/>
  <c r="U99" i="42"/>
  <c r="M99" i="42"/>
  <c r="S98" i="42"/>
  <c r="U98" i="42" s="1"/>
  <c r="M98" i="42"/>
  <c r="O98" i="42" s="1"/>
  <c r="U97" i="42"/>
  <c r="M97" i="42"/>
  <c r="O97" i="42"/>
  <c r="U96" i="42"/>
  <c r="M96" i="42"/>
  <c r="S95" i="42"/>
  <c r="U95" i="42"/>
  <c r="S94" i="42"/>
  <c r="U94" i="42"/>
  <c r="M94" i="42"/>
  <c r="O94" i="42"/>
  <c r="S93" i="42"/>
  <c r="U93" i="42"/>
  <c r="U92" i="42"/>
  <c r="M92" i="42"/>
  <c r="O92" i="42" s="1"/>
  <c r="S91" i="42"/>
  <c r="U91" i="42" s="1"/>
  <c r="M91" i="42"/>
  <c r="O91" i="42" s="1"/>
  <c r="U90" i="42"/>
  <c r="M90" i="42"/>
  <c r="O90" i="42"/>
  <c r="S89" i="42"/>
  <c r="U89" i="42"/>
  <c r="M89" i="42"/>
  <c r="U88" i="42"/>
  <c r="O88" i="42"/>
  <c r="S87" i="42"/>
  <c r="U87" i="42" s="1"/>
  <c r="M87" i="42"/>
  <c r="O87" i="42" s="1"/>
  <c r="U86" i="42"/>
  <c r="M86" i="42"/>
  <c r="O86" i="42"/>
  <c r="S85" i="42"/>
  <c r="U85" i="42"/>
  <c r="M85" i="42"/>
  <c r="O85" i="42"/>
  <c r="U84" i="42"/>
  <c r="M84" i="42"/>
  <c r="O84" i="42" s="1"/>
  <c r="S83" i="42"/>
  <c r="U83" i="42" s="1"/>
  <c r="M83" i="42"/>
  <c r="O83" i="42" s="1"/>
  <c r="S82" i="42"/>
  <c r="U82" i="42" s="1"/>
  <c r="M82" i="42"/>
  <c r="O82" i="42" s="1"/>
  <c r="U81" i="42"/>
  <c r="O81" i="42"/>
  <c r="S80" i="42"/>
  <c r="U80" i="42" s="1"/>
  <c r="M80" i="42"/>
  <c r="O80" i="42" s="1"/>
  <c r="S79" i="42"/>
  <c r="U79" i="42" s="1"/>
  <c r="M79" i="42"/>
  <c r="O79" i="42" s="1"/>
  <c r="U78" i="42"/>
  <c r="O78" i="42"/>
  <c r="U77" i="42"/>
  <c r="M77" i="42"/>
  <c r="O77" i="42"/>
  <c r="U76" i="42"/>
  <c r="M76" i="42"/>
  <c r="S75" i="42"/>
  <c r="U75" i="42"/>
  <c r="M75" i="42"/>
  <c r="O75" i="42"/>
  <c r="U74" i="42"/>
  <c r="O74" i="42"/>
  <c r="S73" i="42"/>
  <c r="U73" i="42"/>
  <c r="M73" i="42"/>
  <c r="O73" i="42"/>
  <c r="S72" i="42"/>
  <c r="U72" i="42"/>
  <c r="M72" i="42"/>
  <c r="O72" i="42"/>
  <c r="S71" i="42"/>
  <c r="U71" i="42"/>
  <c r="M71" i="42"/>
  <c r="O71" i="42"/>
  <c r="U70" i="42"/>
  <c r="M70" i="42"/>
  <c r="O70" i="42" s="1"/>
  <c r="U69" i="42"/>
  <c r="M69" i="42"/>
  <c r="O69" i="42"/>
  <c r="U68" i="42"/>
  <c r="M68" i="42"/>
  <c r="O68" i="42" s="1"/>
  <c r="S67" i="42"/>
  <c r="U67" i="42" s="1"/>
  <c r="M67" i="42"/>
  <c r="O67" i="42" s="1"/>
  <c r="U66" i="42"/>
  <c r="M66" i="42"/>
  <c r="O66" i="42"/>
  <c r="S65" i="42"/>
  <c r="U65" i="42"/>
  <c r="M65" i="42"/>
  <c r="O65" i="42"/>
  <c r="S64" i="42"/>
  <c r="U64" i="42"/>
  <c r="M64" i="42"/>
  <c r="O64" i="42"/>
  <c r="S63" i="42"/>
  <c r="U63" i="42"/>
  <c r="O63" i="42"/>
  <c r="S62" i="42"/>
  <c r="U62" i="42" s="1"/>
  <c r="M62" i="42"/>
  <c r="O62" i="42" s="1"/>
  <c r="U61" i="42"/>
  <c r="M61" i="42"/>
  <c r="O61" i="42"/>
  <c r="U60" i="42"/>
  <c r="M60" i="42"/>
  <c r="O60" i="42" s="1"/>
  <c r="U59" i="42"/>
  <c r="O59" i="42"/>
  <c r="U58" i="42"/>
  <c r="O58" i="42"/>
  <c r="U57" i="42"/>
  <c r="O57" i="42"/>
  <c r="S56" i="42"/>
  <c r="U56" i="42" s="1"/>
  <c r="M56" i="42"/>
  <c r="O56" i="42" s="1"/>
  <c r="S55" i="42"/>
  <c r="U55" i="42" s="1"/>
  <c r="M55" i="42"/>
  <c r="O55" i="42" s="1"/>
  <c r="S54" i="42"/>
  <c r="U54" i="42" s="1"/>
  <c r="M54" i="42"/>
  <c r="O54" i="42" s="1"/>
  <c r="U53" i="42"/>
  <c r="M53" i="42"/>
  <c r="O53" i="42"/>
  <c r="S52" i="42"/>
  <c r="U52" i="42"/>
  <c r="M52" i="42"/>
  <c r="O52" i="42"/>
  <c r="S51" i="42"/>
  <c r="U51" i="42"/>
  <c r="M51" i="42"/>
  <c r="O51" i="42"/>
  <c r="S50" i="42"/>
  <c r="U50" i="42"/>
  <c r="M50" i="42"/>
  <c r="O50" i="42"/>
  <c r="S49" i="42"/>
  <c r="U49" i="42"/>
  <c r="M49" i="42"/>
  <c r="O49" i="42"/>
  <c r="S48" i="42"/>
  <c r="U48" i="42"/>
  <c r="M48" i="42"/>
  <c r="O48" i="42"/>
  <c r="U47" i="42"/>
  <c r="M47" i="42"/>
  <c r="O47" i="42" s="1"/>
  <c r="U46" i="42"/>
  <c r="M46" i="42"/>
  <c r="O46" i="42"/>
  <c r="U45" i="42"/>
  <c r="O45" i="42"/>
  <c r="S44" i="42"/>
  <c r="U44" i="42"/>
  <c r="M44" i="42"/>
  <c r="O44" i="42"/>
  <c r="U43" i="42"/>
  <c r="M43" i="42"/>
  <c r="O43" i="42" s="1"/>
  <c r="U42" i="42"/>
  <c r="M42" i="42"/>
  <c r="O42" i="42"/>
  <c r="S41" i="42"/>
  <c r="U41" i="42"/>
  <c r="M41" i="42"/>
  <c r="O41" i="42"/>
  <c r="S40" i="42"/>
  <c r="U40" i="42"/>
  <c r="O40" i="42"/>
  <c r="U39" i="42"/>
  <c r="M39" i="42"/>
  <c r="O39" i="42"/>
  <c r="S38" i="42"/>
  <c r="U38" i="42"/>
  <c r="M38" i="42"/>
  <c r="O38" i="42"/>
  <c r="U37" i="42"/>
  <c r="M37" i="42"/>
  <c r="O37" i="42" s="1"/>
  <c r="S36" i="42"/>
  <c r="U36" i="42" s="1"/>
  <c r="M36" i="42"/>
  <c r="O36" i="42" s="1"/>
  <c r="S35" i="42"/>
  <c r="M35" i="42"/>
  <c r="O35" i="42" s="1"/>
  <c r="U34" i="42"/>
  <c r="M34" i="42"/>
  <c r="O34" i="42"/>
  <c r="U33" i="42"/>
  <c r="M33" i="42"/>
  <c r="O33" i="42" s="1"/>
  <c r="U32" i="42"/>
  <c r="O32" i="42"/>
  <c r="S31" i="42"/>
  <c r="U31" i="42" s="1"/>
  <c r="O31" i="42"/>
  <c r="S30" i="42"/>
  <c r="U30" i="42"/>
  <c r="M30" i="42"/>
  <c r="O30" i="42"/>
  <c r="S29" i="42"/>
  <c r="U29" i="42"/>
  <c r="M29" i="42"/>
  <c r="O29" i="42"/>
  <c r="U28" i="42"/>
  <c r="O28" i="42"/>
  <c r="S27" i="42"/>
  <c r="U27" i="42"/>
  <c r="M27" i="42"/>
  <c r="O27" i="42"/>
  <c r="S26" i="42"/>
  <c r="U26" i="42"/>
  <c r="M26" i="42"/>
  <c r="O26" i="42"/>
  <c r="S25" i="42"/>
  <c r="U25" i="42"/>
  <c r="M25" i="42"/>
  <c r="O25" i="42"/>
  <c r="U24" i="42"/>
  <c r="M24" i="42"/>
  <c r="O24" i="42" s="1"/>
  <c r="U23" i="42"/>
  <c r="M23" i="42"/>
  <c r="O23" i="42"/>
  <c r="S22" i="42"/>
  <c r="U22" i="42"/>
  <c r="M22" i="42"/>
  <c r="O22" i="42"/>
  <c r="S21" i="42"/>
  <c r="U21" i="42"/>
  <c r="M21" i="42"/>
  <c r="O21" i="42"/>
  <c r="S20" i="42"/>
  <c r="U20" i="42"/>
  <c r="M20" i="42"/>
  <c r="O20" i="42"/>
  <c r="S19" i="42"/>
  <c r="U19" i="42"/>
  <c r="M19" i="42"/>
  <c r="O19" i="42"/>
  <c r="S18" i="42"/>
  <c r="U18" i="42"/>
  <c r="M18" i="42"/>
  <c r="O18" i="42"/>
  <c r="U17" i="42"/>
  <c r="M17" i="42"/>
  <c r="O17" i="42" s="1"/>
  <c r="U16" i="42"/>
  <c r="O16" i="42"/>
  <c r="S15" i="42"/>
  <c r="U15" i="42" s="1"/>
  <c r="M15" i="42"/>
  <c r="O15" i="42" s="1"/>
  <c r="S14" i="42"/>
  <c r="U14" i="42" s="1"/>
  <c r="M14" i="42"/>
  <c r="O14" i="42" s="1"/>
  <c r="S13" i="42"/>
  <c r="U13" i="42" s="1"/>
  <c r="M13" i="42"/>
  <c r="O13" i="42" s="1"/>
  <c r="B13" i="42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B31" i="42" s="1"/>
  <c r="B32" i="42" s="1"/>
  <c r="B33" i="42" s="1"/>
  <c r="B34" i="42" s="1"/>
  <c r="B35" i="42" s="1"/>
  <c r="B36" i="42" s="1"/>
  <c r="B37" i="42" s="1"/>
  <c r="B38" i="42" s="1"/>
  <c r="B39" i="42" s="1"/>
  <c r="B40" i="42" s="1"/>
  <c r="B41" i="42" s="1"/>
  <c r="B42" i="42" s="1"/>
  <c r="B43" i="42" s="1"/>
  <c r="B44" i="42" s="1"/>
  <c r="B45" i="42" s="1"/>
  <c r="B46" i="42" s="1"/>
  <c r="B47" i="42" s="1"/>
  <c r="B48" i="42" s="1"/>
  <c r="B49" i="42" s="1"/>
  <c r="B50" i="42" s="1"/>
  <c r="B51" i="42" s="1"/>
  <c r="B52" i="42" s="1"/>
  <c r="B53" i="42" s="1"/>
  <c r="B54" i="42" s="1"/>
  <c r="B55" i="42" s="1"/>
  <c r="B56" i="42" s="1"/>
  <c r="B57" i="42" s="1"/>
  <c r="B58" i="42" s="1"/>
  <c r="B59" i="42" s="1"/>
  <c r="B60" i="42" s="1"/>
  <c r="B61" i="42" s="1"/>
  <c r="B62" i="42" s="1"/>
  <c r="B63" i="42" s="1"/>
  <c r="B64" i="42" s="1"/>
  <c r="B65" i="42" s="1"/>
  <c r="B66" i="42" s="1"/>
  <c r="B67" i="42" s="1"/>
  <c r="B68" i="42" s="1"/>
  <c r="B69" i="42" s="1"/>
  <c r="B70" i="42" s="1"/>
  <c r="B71" i="42" s="1"/>
  <c r="B72" i="42" s="1"/>
  <c r="B73" i="42" s="1"/>
  <c r="B74" i="42" s="1"/>
  <c r="B75" i="42" s="1"/>
  <c r="B76" i="42" s="1"/>
  <c r="B77" i="42" s="1"/>
  <c r="B78" i="42" s="1"/>
  <c r="B79" i="42" s="1"/>
  <c r="B80" i="42" s="1"/>
  <c r="B81" i="42" s="1"/>
  <c r="B82" i="42" s="1"/>
  <c r="B83" i="42" s="1"/>
  <c r="B84" i="42" s="1"/>
  <c r="B85" i="42" s="1"/>
  <c r="B86" i="42" s="1"/>
  <c r="B87" i="42" s="1"/>
  <c r="B88" i="42" s="1"/>
  <c r="B89" i="42" s="1"/>
  <c r="B90" i="42" s="1"/>
  <c r="B91" i="42" s="1"/>
  <c r="B92" i="42" s="1"/>
  <c r="B93" i="42" s="1"/>
  <c r="B94" i="42" s="1"/>
  <c r="B95" i="42" s="1"/>
  <c r="B96" i="42" s="1"/>
  <c r="B97" i="42" s="1"/>
  <c r="B98" i="42" s="1"/>
  <c r="B99" i="42" s="1"/>
  <c r="B100" i="42" s="1"/>
  <c r="B101" i="42" s="1"/>
  <c r="B102" i="42" s="1"/>
  <c r="U12" i="42"/>
  <c r="O12" i="42"/>
  <c r="S11" i="42"/>
  <c r="M11" i="42"/>
  <c r="O11" i="42"/>
  <c r="B11" i="42"/>
  <c r="S10" i="42"/>
  <c r="U10" i="42" s="1"/>
  <c r="M10" i="42"/>
  <c r="O10" i="42" s="1"/>
  <c r="H9" i="42"/>
  <c r="I9" i="42" s="1"/>
  <c r="J9" i="42" s="1"/>
  <c r="K9" i="42" s="1"/>
  <c r="L9" i="42" s="1"/>
  <c r="M9" i="42" s="1"/>
  <c r="N9" i="42" s="1"/>
  <c r="O9" i="42" s="1"/>
  <c r="P9" i="42" s="1"/>
  <c r="Q9" i="42" s="1"/>
  <c r="R9" i="42" s="1"/>
  <c r="S9" i="42" s="1"/>
  <c r="T9" i="42" s="1"/>
  <c r="U9" i="42" s="1"/>
  <c r="T95" i="41"/>
  <c r="N95" i="41"/>
  <c r="N83" i="41"/>
  <c r="N67" i="41"/>
  <c r="N62" i="41"/>
  <c r="N60" i="41"/>
  <c r="N61" i="41"/>
  <c r="N49" i="41"/>
  <c r="N56" i="41"/>
  <c r="N55" i="41"/>
  <c r="N54" i="41"/>
  <c r="N53" i="41"/>
  <c r="T52" i="41"/>
  <c r="T50" i="41"/>
  <c r="N52" i="41"/>
  <c r="N51" i="41"/>
  <c r="N50" i="41"/>
  <c r="N48" i="41"/>
  <c r="N46" i="41"/>
  <c r="N47" i="41"/>
  <c r="T44" i="41"/>
  <c r="N44" i="41"/>
  <c r="N43" i="41"/>
  <c r="N42" i="41"/>
  <c r="T41" i="41"/>
  <c r="N41" i="41"/>
  <c r="N39" i="41"/>
  <c r="N38" i="41"/>
  <c r="N37" i="41"/>
  <c r="T30" i="41"/>
  <c r="N30" i="41"/>
  <c r="N29" i="41"/>
  <c r="N25" i="41"/>
  <c r="N27" i="41"/>
  <c r="T26" i="41"/>
  <c r="N26" i="41"/>
  <c r="T25" i="41"/>
  <c r="N23" i="41"/>
  <c r="T22" i="41"/>
  <c r="N22" i="41"/>
  <c r="N21" i="41"/>
  <c r="T20" i="41"/>
  <c r="N20" i="41"/>
  <c r="N19" i="41"/>
  <c r="T18" i="41"/>
  <c r="N18" i="41"/>
  <c r="T15" i="41"/>
  <c r="N15" i="41"/>
  <c r="N14" i="41"/>
  <c r="N17" i="41"/>
  <c r="N11" i="41"/>
  <c r="T10" i="41"/>
  <c r="N10" i="41"/>
  <c r="O95" i="42"/>
  <c r="O96" i="42"/>
  <c r="R105" i="41"/>
  <c r="Q105" i="41"/>
  <c r="P105" i="41"/>
  <c r="L105" i="41"/>
  <c r="K105" i="41"/>
  <c r="J105" i="41"/>
  <c r="I105" i="41"/>
  <c r="H105" i="41"/>
  <c r="U104" i="41"/>
  <c r="O104" i="41"/>
  <c r="U103" i="41"/>
  <c r="N103" i="41"/>
  <c r="M103" i="41"/>
  <c r="O103" i="41" s="1"/>
  <c r="S102" i="41"/>
  <c r="U102" i="41" s="1"/>
  <c r="M102" i="41"/>
  <c r="O102" i="41" s="1"/>
  <c r="T101" i="41"/>
  <c r="S101" i="41"/>
  <c r="U101" i="41"/>
  <c r="N101" i="41"/>
  <c r="M101" i="41"/>
  <c r="O101" i="41" s="1"/>
  <c r="S100" i="41"/>
  <c r="U100" i="41" s="1"/>
  <c r="N100" i="41"/>
  <c r="M100" i="41"/>
  <c r="O100" i="41"/>
  <c r="T99" i="41"/>
  <c r="S99" i="41"/>
  <c r="U99" i="41" s="1"/>
  <c r="N99" i="41"/>
  <c r="M99" i="41"/>
  <c r="O99" i="41"/>
  <c r="T98" i="41"/>
  <c r="S98" i="41"/>
  <c r="U98" i="41" s="1"/>
  <c r="N98" i="41"/>
  <c r="M98" i="41"/>
  <c r="O98" i="41"/>
  <c r="U97" i="41"/>
  <c r="N97" i="41"/>
  <c r="M97" i="41"/>
  <c r="O97" i="41"/>
  <c r="U96" i="41"/>
  <c r="N96" i="41"/>
  <c r="M96" i="41"/>
  <c r="O96" i="41"/>
  <c r="S95" i="41"/>
  <c r="U95" i="41"/>
  <c r="M95" i="41"/>
  <c r="T94" i="41"/>
  <c r="S94" i="41"/>
  <c r="U94" i="41"/>
  <c r="N94" i="41"/>
  <c r="M94" i="41"/>
  <c r="O94" i="41" s="1"/>
  <c r="S93" i="41"/>
  <c r="U93" i="41" s="1"/>
  <c r="N93" i="41"/>
  <c r="M93" i="41"/>
  <c r="O93" i="41"/>
  <c r="U92" i="41"/>
  <c r="N92" i="41"/>
  <c r="M92" i="41"/>
  <c r="O92" i="41"/>
  <c r="T91" i="41"/>
  <c r="S91" i="41"/>
  <c r="U91" i="41" s="1"/>
  <c r="M91" i="41"/>
  <c r="O91" i="41" s="1"/>
  <c r="U90" i="41"/>
  <c r="N90" i="41"/>
  <c r="M90" i="41"/>
  <c r="T89" i="41"/>
  <c r="S89" i="41"/>
  <c r="U89" i="41" s="1"/>
  <c r="N89" i="41"/>
  <c r="M89" i="41"/>
  <c r="O89" i="41"/>
  <c r="U88" i="41"/>
  <c r="O88" i="41"/>
  <c r="T87" i="41"/>
  <c r="S87" i="41"/>
  <c r="U87" i="41" s="1"/>
  <c r="N87" i="41"/>
  <c r="M87" i="41"/>
  <c r="O87" i="41"/>
  <c r="U86" i="41"/>
  <c r="M86" i="41"/>
  <c r="O86" i="41" s="1"/>
  <c r="T85" i="41"/>
  <c r="S85" i="41"/>
  <c r="N85" i="41"/>
  <c r="M85" i="41"/>
  <c r="O85" i="41"/>
  <c r="U84" i="41"/>
  <c r="N84" i="41"/>
  <c r="M84" i="41"/>
  <c r="O84" i="41"/>
  <c r="T83" i="41"/>
  <c r="S83" i="41"/>
  <c r="U83" i="41" s="1"/>
  <c r="M83" i="41"/>
  <c r="O83" i="41" s="1"/>
  <c r="T82" i="41"/>
  <c r="S82" i="41"/>
  <c r="N82" i="41"/>
  <c r="M82" i="41"/>
  <c r="O82" i="41"/>
  <c r="U81" i="41"/>
  <c r="O81" i="41"/>
  <c r="T80" i="41"/>
  <c r="S80" i="41"/>
  <c r="U80" i="41" s="1"/>
  <c r="N80" i="41"/>
  <c r="M80" i="41"/>
  <c r="O80" i="41"/>
  <c r="T79" i="41"/>
  <c r="S79" i="41"/>
  <c r="N79" i="41"/>
  <c r="M79" i="41"/>
  <c r="O79" i="41" s="1"/>
  <c r="U78" i="41"/>
  <c r="O78" i="41"/>
  <c r="U77" i="41"/>
  <c r="N77" i="41"/>
  <c r="M77" i="41"/>
  <c r="O77" i="41" s="1"/>
  <c r="U76" i="41"/>
  <c r="N76" i="41"/>
  <c r="M76" i="41"/>
  <c r="O76" i="41" s="1"/>
  <c r="T75" i="41"/>
  <c r="S75" i="41"/>
  <c r="U75" i="41"/>
  <c r="N75" i="41"/>
  <c r="M75" i="41"/>
  <c r="O75" i="41" s="1"/>
  <c r="U74" i="41"/>
  <c r="O74" i="41"/>
  <c r="T73" i="41"/>
  <c r="S73" i="41"/>
  <c r="U73" i="41"/>
  <c r="N73" i="41"/>
  <c r="M73" i="41"/>
  <c r="O73" i="41" s="1"/>
  <c r="T72" i="41"/>
  <c r="S72" i="41"/>
  <c r="U72" i="41"/>
  <c r="M72" i="41"/>
  <c r="O72" i="41"/>
  <c r="S71" i="41"/>
  <c r="U71" i="41"/>
  <c r="N71" i="41"/>
  <c r="M71" i="41"/>
  <c r="U70" i="41"/>
  <c r="N70" i="41"/>
  <c r="M70" i="41"/>
  <c r="O70" i="41"/>
  <c r="U69" i="41"/>
  <c r="N69" i="41"/>
  <c r="M69" i="41"/>
  <c r="O69" i="41"/>
  <c r="U68" i="41"/>
  <c r="N68" i="41"/>
  <c r="M68" i="41"/>
  <c r="O68" i="41"/>
  <c r="T67" i="41"/>
  <c r="S67" i="41"/>
  <c r="U67" i="41" s="1"/>
  <c r="M67" i="41"/>
  <c r="O67" i="41" s="1"/>
  <c r="U66" i="41"/>
  <c r="N66" i="41"/>
  <c r="M66" i="41"/>
  <c r="O66" i="41" s="1"/>
  <c r="S65" i="41"/>
  <c r="U65" i="41" s="1"/>
  <c r="N65" i="41"/>
  <c r="M65" i="41"/>
  <c r="O65" i="41"/>
  <c r="S64" i="41"/>
  <c r="U64" i="41"/>
  <c r="N64" i="41"/>
  <c r="M64" i="41"/>
  <c r="O64" i="41" s="1"/>
  <c r="T63" i="41"/>
  <c r="S63" i="41"/>
  <c r="U63" i="41"/>
  <c r="O63" i="41"/>
  <c r="T62" i="41"/>
  <c r="S62" i="41"/>
  <c r="U62" i="41"/>
  <c r="M62" i="41"/>
  <c r="O62" i="41"/>
  <c r="U61" i="41"/>
  <c r="M61" i="41"/>
  <c r="O61" i="41" s="1"/>
  <c r="U60" i="41"/>
  <c r="M60" i="41"/>
  <c r="U59" i="41"/>
  <c r="O59" i="41"/>
  <c r="U58" i="41"/>
  <c r="O58" i="41"/>
  <c r="U57" i="41"/>
  <c r="O57" i="41"/>
  <c r="T56" i="41"/>
  <c r="S56" i="41"/>
  <c r="U56" i="41"/>
  <c r="M56" i="41"/>
  <c r="O56" i="41"/>
  <c r="T55" i="41"/>
  <c r="S55" i="41"/>
  <c r="U55" i="41" s="1"/>
  <c r="M55" i="41"/>
  <c r="T54" i="41"/>
  <c r="S54" i="41"/>
  <c r="U54" i="41" s="1"/>
  <c r="M54" i="41"/>
  <c r="O54" i="41" s="1"/>
  <c r="U53" i="41"/>
  <c r="M53" i="41"/>
  <c r="O53" i="41"/>
  <c r="S52" i="41"/>
  <c r="M52" i="41"/>
  <c r="O52" i="41" s="1"/>
  <c r="S51" i="41"/>
  <c r="U51" i="41" s="1"/>
  <c r="M51" i="41"/>
  <c r="O51" i="41" s="1"/>
  <c r="S50" i="41"/>
  <c r="M50" i="41"/>
  <c r="O50" i="41"/>
  <c r="T49" i="41"/>
  <c r="S49" i="41"/>
  <c r="U49" i="41" s="1"/>
  <c r="M49" i="41"/>
  <c r="O49" i="41" s="1"/>
  <c r="T48" i="41"/>
  <c r="S48" i="41"/>
  <c r="U48" i="41"/>
  <c r="M48" i="41"/>
  <c r="O48" i="41"/>
  <c r="U47" i="41"/>
  <c r="M47" i="41"/>
  <c r="O47" i="41" s="1"/>
  <c r="U46" i="41"/>
  <c r="M46" i="41"/>
  <c r="O46" i="41"/>
  <c r="U45" i="41"/>
  <c r="O45" i="41"/>
  <c r="S44" i="41"/>
  <c r="U44" i="41"/>
  <c r="M44" i="41"/>
  <c r="U43" i="41"/>
  <c r="M43" i="41"/>
  <c r="U42" i="41"/>
  <c r="M42" i="41"/>
  <c r="O42" i="41"/>
  <c r="S41" i="41"/>
  <c r="U41" i="41"/>
  <c r="M41" i="41"/>
  <c r="T40" i="41"/>
  <c r="S40" i="41"/>
  <c r="U40" i="41"/>
  <c r="O40" i="41"/>
  <c r="U39" i="41"/>
  <c r="M39" i="41"/>
  <c r="O39" i="41"/>
  <c r="T38" i="41"/>
  <c r="S38" i="41"/>
  <c r="U38" i="41" s="1"/>
  <c r="M38" i="41"/>
  <c r="U37" i="41"/>
  <c r="M37" i="41"/>
  <c r="O37" i="41" s="1"/>
  <c r="T36" i="41"/>
  <c r="S36" i="41"/>
  <c r="N36" i="41"/>
  <c r="M36" i="41"/>
  <c r="O36" i="41"/>
  <c r="T35" i="41"/>
  <c r="S35" i="41"/>
  <c r="N35" i="41"/>
  <c r="M35" i="41"/>
  <c r="O35" i="41" s="1"/>
  <c r="U34" i="41"/>
  <c r="N34" i="41"/>
  <c r="M34" i="41"/>
  <c r="O34" i="41" s="1"/>
  <c r="U33" i="41"/>
  <c r="N33" i="41"/>
  <c r="M33" i="41"/>
  <c r="U32" i="41"/>
  <c r="O32" i="41"/>
  <c r="T31" i="41"/>
  <c r="S31" i="41"/>
  <c r="U31" i="41" s="1"/>
  <c r="O31" i="41"/>
  <c r="S30" i="41"/>
  <c r="M30" i="41"/>
  <c r="O30" i="41" s="1"/>
  <c r="T29" i="41"/>
  <c r="S29" i="41"/>
  <c r="U29" i="41"/>
  <c r="M29" i="41"/>
  <c r="O29" i="41"/>
  <c r="U28" i="41"/>
  <c r="O28" i="41"/>
  <c r="T27" i="41"/>
  <c r="S27" i="41"/>
  <c r="M27" i="41"/>
  <c r="S26" i="41"/>
  <c r="M26" i="41"/>
  <c r="O26" i="41"/>
  <c r="S25" i="41"/>
  <c r="U25" i="41"/>
  <c r="M25" i="41"/>
  <c r="U24" i="41"/>
  <c r="N24" i="41"/>
  <c r="M24" i="41"/>
  <c r="O24" i="41" s="1"/>
  <c r="U23" i="41"/>
  <c r="M23" i="41"/>
  <c r="O23" i="41"/>
  <c r="S22" i="41"/>
  <c r="U22" i="41"/>
  <c r="M22" i="41"/>
  <c r="O22" i="41"/>
  <c r="T21" i="41"/>
  <c r="S21" i="41"/>
  <c r="U21" i="41" s="1"/>
  <c r="M21" i="41"/>
  <c r="O21" i="41" s="1"/>
  <c r="S20" i="41"/>
  <c r="U20" i="41" s="1"/>
  <c r="M20" i="41"/>
  <c r="T19" i="41"/>
  <c r="S19" i="41"/>
  <c r="U19" i="41" s="1"/>
  <c r="M19" i="41"/>
  <c r="O19" i="41" s="1"/>
  <c r="S18" i="41"/>
  <c r="M18" i="41"/>
  <c r="O18" i="41"/>
  <c r="U17" i="41"/>
  <c r="M17" i="41"/>
  <c r="U16" i="41"/>
  <c r="O16" i="41"/>
  <c r="S15" i="41"/>
  <c r="U15" i="41"/>
  <c r="M15" i="41"/>
  <c r="T14" i="41"/>
  <c r="S14" i="41"/>
  <c r="U14" i="41"/>
  <c r="M14" i="41"/>
  <c r="O14" i="41"/>
  <c r="T13" i="41"/>
  <c r="S13" i="41"/>
  <c r="U13" i="41" s="1"/>
  <c r="N13" i="41"/>
  <c r="M13" i="41"/>
  <c r="O13" i="41"/>
  <c r="B13" i="41"/>
  <c r="B14" i="41"/>
  <c r="B15" i="41" s="1"/>
  <c r="B16" i="41"/>
  <c r="B17" i="41" s="1"/>
  <c r="B18" i="41" s="1"/>
  <c r="B19" i="41" s="1"/>
  <c r="B20" i="41" s="1"/>
  <c r="B21" i="41" s="1"/>
  <c r="B22" i="41" s="1"/>
  <c r="B23" i="41" s="1"/>
  <c r="B24" i="41" s="1"/>
  <c r="B25" i="41" s="1"/>
  <c r="B26" i="41" s="1"/>
  <c r="B27" i="41" s="1"/>
  <c r="B28" i="41" s="1"/>
  <c r="B29" i="41" s="1"/>
  <c r="B30" i="41" s="1"/>
  <c r="B31" i="41" s="1"/>
  <c r="B32" i="41" s="1"/>
  <c r="B33" i="41" s="1"/>
  <c r="B34" i="41" s="1"/>
  <c r="B35" i="41" s="1"/>
  <c r="B36" i="41" s="1"/>
  <c r="B37" i="41" s="1"/>
  <c r="B38" i="41" s="1"/>
  <c r="B39" i="41" s="1"/>
  <c r="B40" i="41" s="1"/>
  <c r="B41" i="41" s="1"/>
  <c r="B42" i="41" s="1"/>
  <c r="B43" i="41" s="1"/>
  <c r="B44" i="41" s="1"/>
  <c r="B45" i="41" s="1"/>
  <c r="B46" i="41" s="1"/>
  <c r="B47" i="41" s="1"/>
  <c r="B48" i="41" s="1"/>
  <c r="B49" i="41" s="1"/>
  <c r="B50" i="41" s="1"/>
  <c r="B51" i="41" s="1"/>
  <c r="B52" i="41" s="1"/>
  <c r="B53" i="41" s="1"/>
  <c r="B54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B67" i="41" s="1"/>
  <c r="B68" i="41" s="1"/>
  <c r="B69" i="41" s="1"/>
  <c r="B70" i="41" s="1"/>
  <c r="B71" i="41" s="1"/>
  <c r="B72" i="41" s="1"/>
  <c r="B73" i="41" s="1"/>
  <c r="B74" i="41" s="1"/>
  <c r="B75" i="41" s="1"/>
  <c r="B76" i="41" s="1"/>
  <c r="B77" i="41" s="1"/>
  <c r="B78" i="41" s="1"/>
  <c r="B79" i="41" s="1"/>
  <c r="B80" i="41" s="1"/>
  <c r="B81" i="41" s="1"/>
  <c r="B82" i="41" s="1"/>
  <c r="B83" i="41" s="1"/>
  <c r="B84" i="41" s="1"/>
  <c r="B85" i="41" s="1"/>
  <c r="B86" i="41" s="1"/>
  <c r="B87" i="41" s="1"/>
  <c r="B88" i="41" s="1"/>
  <c r="B89" i="41" s="1"/>
  <c r="B90" i="41" s="1"/>
  <c r="B91" i="41" s="1"/>
  <c r="B92" i="41" s="1"/>
  <c r="B93" i="41" s="1"/>
  <c r="B94" i="41" s="1"/>
  <c r="B95" i="41" s="1"/>
  <c r="B96" i="41" s="1"/>
  <c r="B97" i="41" s="1"/>
  <c r="B98" i="41" s="1"/>
  <c r="B99" i="41" s="1"/>
  <c r="B100" i="41" s="1"/>
  <c r="B101" i="41" s="1"/>
  <c r="B102" i="41" s="1"/>
  <c r="U12" i="41"/>
  <c r="O12" i="41"/>
  <c r="T11" i="41"/>
  <c r="S11" i="41"/>
  <c r="U11" i="41"/>
  <c r="M11" i="41"/>
  <c r="O11" i="41"/>
  <c r="B11" i="41"/>
  <c r="S10" i="41"/>
  <c r="M10" i="41"/>
  <c r="H9" i="41"/>
  <c r="I9" i="41" s="1"/>
  <c r="J9" i="41" s="1"/>
  <c r="K9" i="41" s="1"/>
  <c r="L9" i="41" s="1"/>
  <c r="M9" i="41" s="1"/>
  <c r="N9" i="41" s="1"/>
  <c r="O9" i="41" s="1"/>
  <c r="P9" i="41" s="1"/>
  <c r="Q9" i="41" s="1"/>
  <c r="R9" i="41" s="1"/>
  <c r="S9" i="41" s="1"/>
  <c r="T9" i="41" s="1"/>
  <c r="U9" i="41" s="1"/>
  <c r="M36" i="40"/>
  <c r="O36" i="40" s="1"/>
  <c r="M95" i="40"/>
  <c r="O95" i="40"/>
  <c r="M94" i="40"/>
  <c r="M90" i="40"/>
  <c r="M87" i="40"/>
  <c r="M85" i="40"/>
  <c r="M83" i="40"/>
  <c r="M82" i="40"/>
  <c r="O82" i="40" s="1"/>
  <c r="M73" i="40"/>
  <c r="M67" i="40"/>
  <c r="M64" i="40"/>
  <c r="M56" i="40"/>
  <c r="M54" i="40"/>
  <c r="M50" i="40"/>
  <c r="M43" i="40"/>
  <c r="M39" i="40"/>
  <c r="M38" i="40"/>
  <c r="M30" i="40"/>
  <c r="S30" i="40"/>
  <c r="M23" i="40"/>
  <c r="S22" i="40"/>
  <c r="U22" i="40"/>
  <c r="M20" i="40"/>
  <c r="M19" i="40"/>
  <c r="O19" i="40" s="1"/>
  <c r="M18" i="40"/>
  <c r="O18" i="40"/>
  <c r="M14" i="40"/>
  <c r="M17" i="40"/>
  <c r="R105" i="40"/>
  <c r="Q105" i="40"/>
  <c r="P105" i="40"/>
  <c r="L105" i="40"/>
  <c r="K105" i="40"/>
  <c r="J105" i="40"/>
  <c r="I105" i="40"/>
  <c r="H105" i="40"/>
  <c r="U104" i="40"/>
  <c r="O104" i="40"/>
  <c r="U103" i="40"/>
  <c r="N103" i="40"/>
  <c r="M103" i="40"/>
  <c r="O103" i="40"/>
  <c r="S102" i="40"/>
  <c r="U102" i="40"/>
  <c r="M102" i="40"/>
  <c r="O102" i="40"/>
  <c r="T101" i="40"/>
  <c r="S101" i="40"/>
  <c r="U101" i="40" s="1"/>
  <c r="N101" i="40"/>
  <c r="M101" i="40"/>
  <c r="O101" i="40"/>
  <c r="S100" i="40"/>
  <c r="U100" i="40"/>
  <c r="N100" i="40"/>
  <c r="M100" i="40"/>
  <c r="O100" i="40" s="1"/>
  <c r="T99" i="40"/>
  <c r="S99" i="40"/>
  <c r="U99" i="40"/>
  <c r="N99" i="40"/>
  <c r="M99" i="40"/>
  <c r="O99" i="40" s="1"/>
  <c r="T98" i="40"/>
  <c r="S98" i="40"/>
  <c r="U98" i="40"/>
  <c r="N98" i="40"/>
  <c r="M98" i="40"/>
  <c r="O98" i="40" s="1"/>
  <c r="U97" i="40"/>
  <c r="N97" i="40"/>
  <c r="M97" i="40"/>
  <c r="O97" i="40" s="1"/>
  <c r="U96" i="40"/>
  <c r="N96" i="40"/>
  <c r="M96" i="40"/>
  <c r="O96" i="40" s="1"/>
  <c r="T95" i="40"/>
  <c r="S95" i="40"/>
  <c r="U95" i="40"/>
  <c r="N95" i="40"/>
  <c r="T94" i="40"/>
  <c r="S94" i="40"/>
  <c r="U94" i="40"/>
  <c r="N94" i="40"/>
  <c r="S93" i="40"/>
  <c r="U93" i="40" s="1"/>
  <c r="N93" i="40"/>
  <c r="M93" i="40"/>
  <c r="U92" i="40"/>
  <c r="N92" i="40"/>
  <c r="M92" i="40"/>
  <c r="O92" i="40" s="1"/>
  <c r="T91" i="40"/>
  <c r="S91" i="40"/>
  <c r="U91" i="40"/>
  <c r="M91" i="40"/>
  <c r="O91" i="40"/>
  <c r="U90" i="40"/>
  <c r="N90" i="40"/>
  <c r="T89" i="40"/>
  <c r="S89" i="40"/>
  <c r="U89" i="40" s="1"/>
  <c r="N89" i="40"/>
  <c r="M89" i="40"/>
  <c r="O89" i="40"/>
  <c r="U88" i="40"/>
  <c r="O88" i="40"/>
  <c r="T87" i="40"/>
  <c r="S87" i="40"/>
  <c r="N87" i="40"/>
  <c r="O87" i="40"/>
  <c r="U86" i="40"/>
  <c r="M86" i="40"/>
  <c r="O86" i="40" s="1"/>
  <c r="T85" i="40"/>
  <c r="S85" i="40"/>
  <c r="U85" i="40"/>
  <c r="N85" i="40"/>
  <c r="U84" i="40"/>
  <c r="N84" i="40"/>
  <c r="M84" i="40"/>
  <c r="O84" i="40" s="1"/>
  <c r="T83" i="40"/>
  <c r="S83" i="40"/>
  <c r="U83" i="40"/>
  <c r="N83" i="40"/>
  <c r="O83" i="40"/>
  <c r="T82" i="40"/>
  <c r="S82" i="40"/>
  <c r="U82" i="40" s="1"/>
  <c r="N82" i="40"/>
  <c r="U81" i="40"/>
  <c r="O81" i="40"/>
  <c r="T80" i="40"/>
  <c r="S80" i="40"/>
  <c r="U80" i="40"/>
  <c r="N80" i="40"/>
  <c r="M80" i="40"/>
  <c r="O80" i="40" s="1"/>
  <c r="T79" i="40"/>
  <c r="S79" i="40"/>
  <c r="U79" i="40"/>
  <c r="N79" i="40"/>
  <c r="M79" i="40"/>
  <c r="U78" i="40"/>
  <c r="O78" i="40"/>
  <c r="U77" i="40"/>
  <c r="N77" i="40"/>
  <c r="M77" i="40"/>
  <c r="O77" i="40"/>
  <c r="U76" i="40"/>
  <c r="N76" i="40"/>
  <c r="M76" i="40"/>
  <c r="O76" i="40"/>
  <c r="T75" i="40"/>
  <c r="S75" i="40"/>
  <c r="N75" i="40"/>
  <c r="M75" i="40"/>
  <c r="O75" i="40" s="1"/>
  <c r="U74" i="40"/>
  <c r="O74" i="40"/>
  <c r="T73" i="40"/>
  <c r="S73" i="40"/>
  <c r="U73" i="40"/>
  <c r="N73" i="40"/>
  <c r="O73" i="40"/>
  <c r="T72" i="40"/>
  <c r="S72" i="40"/>
  <c r="U72" i="40" s="1"/>
  <c r="M72" i="40"/>
  <c r="O72" i="40" s="1"/>
  <c r="S71" i="40"/>
  <c r="U71" i="40" s="1"/>
  <c r="N71" i="40"/>
  <c r="M71" i="40"/>
  <c r="O71" i="40"/>
  <c r="U70" i="40"/>
  <c r="N70" i="40"/>
  <c r="M70" i="40"/>
  <c r="U69" i="40"/>
  <c r="N69" i="40"/>
  <c r="M69" i="40"/>
  <c r="O69" i="40" s="1"/>
  <c r="U68" i="40"/>
  <c r="N68" i="40"/>
  <c r="M68" i="40"/>
  <c r="O68" i="40" s="1"/>
  <c r="T67" i="40"/>
  <c r="S67" i="40"/>
  <c r="U67" i="40"/>
  <c r="N67" i="40"/>
  <c r="O67" i="40"/>
  <c r="U66" i="40"/>
  <c r="N66" i="40"/>
  <c r="M66" i="40"/>
  <c r="O66" i="40"/>
  <c r="S65" i="40"/>
  <c r="U65" i="40"/>
  <c r="N65" i="40"/>
  <c r="M65" i="40"/>
  <c r="O65" i="40" s="1"/>
  <c r="S64" i="40"/>
  <c r="U64" i="40" s="1"/>
  <c r="N64" i="40"/>
  <c r="O64" i="40" s="1"/>
  <c r="T63" i="40"/>
  <c r="S63" i="40"/>
  <c r="U63" i="40"/>
  <c r="O63" i="40"/>
  <c r="T62" i="40"/>
  <c r="S62" i="40"/>
  <c r="U62" i="40"/>
  <c r="N62" i="40"/>
  <c r="M62" i="40"/>
  <c r="O62" i="40" s="1"/>
  <c r="U61" i="40"/>
  <c r="N61" i="40"/>
  <c r="M61" i="40"/>
  <c r="O61" i="40" s="1"/>
  <c r="U60" i="40"/>
  <c r="N60" i="40"/>
  <c r="M60" i="40"/>
  <c r="O60" i="40" s="1"/>
  <c r="U59" i="40"/>
  <c r="O59" i="40"/>
  <c r="U58" i="40"/>
  <c r="O58" i="40"/>
  <c r="U57" i="40"/>
  <c r="O57" i="40"/>
  <c r="T56" i="40"/>
  <c r="S56" i="40"/>
  <c r="U56" i="40"/>
  <c r="N56" i="40"/>
  <c r="T55" i="40"/>
  <c r="S55" i="40"/>
  <c r="U55" i="40"/>
  <c r="M55" i="40"/>
  <c r="O55" i="40"/>
  <c r="T54" i="40"/>
  <c r="S54" i="40"/>
  <c r="N54" i="40"/>
  <c r="O54" i="40"/>
  <c r="U53" i="40"/>
  <c r="M53" i="40"/>
  <c r="O53" i="40" s="1"/>
  <c r="T52" i="40"/>
  <c r="S52" i="40"/>
  <c r="U52" i="40"/>
  <c r="N52" i="40"/>
  <c r="M52" i="40"/>
  <c r="O52" i="40" s="1"/>
  <c r="S51" i="40"/>
  <c r="U51" i="40" s="1"/>
  <c r="N51" i="40"/>
  <c r="M51" i="40"/>
  <c r="O51" i="40"/>
  <c r="T50" i="40"/>
  <c r="S50" i="40"/>
  <c r="U50" i="40" s="1"/>
  <c r="N50" i="40"/>
  <c r="T49" i="40"/>
  <c r="S49" i="40"/>
  <c r="U49" i="40" s="1"/>
  <c r="N49" i="40"/>
  <c r="M49" i="40"/>
  <c r="O49" i="40"/>
  <c r="T48" i="40"/>
  <c r="S48" i="40"/>
  <c r="U48" i="40" s="1"/>
  <c r="N48" i="40"/>
  <c r="M48" i="40"/>
  <c r="O48" i="40"/>
  <c r="U47" i="40"/>
  <c r="N47" i="40"/>
  <c r="M47" i="40"/>
  <c r="O47" i="40"/>
  <c r="U46" i="40"/>
  <c r="N46" i="40"/>
  <c r="M46" i="40"/>
  <c r="O46" i="40"/>
  <c r="U45" i="40"/>
  <c r="O45" i="40"/>
  <c r="T44" i="40"/>
  <c r="S44" i="40"/>
  <c r="U44" i="40" s="1"/>
  <c r="N44" i="40"/>
  <c r="M44" i="40"/>
  <c r="O44" i="40"/>
  <c r="U43" i="40"/>
  <c r="N43" i="40"/>
  <c r="O43" i="40" s="1"/>
  <c r="U42" i="40"/>
  <c r="N42" i="40"/>
  <c r="M42" i="40"/>
  <c r="O42" i="40" s="1"/>
  <c r="T41" i="40"/>
  <c r="S41" i="40"/>
  <c r="U41" i="40"/>
  <c r="N41" i="40"/>
  <c r="M41" i="40"/>
  <c r="O41" i="40" s="1"/>
  <c r="T40" i="40"/>
  <c r="S40" i="40"/>
  <c r="U40" i="40"/>
  <c r="O40" i="40"/>
  <c r="U39" i="40"/>
  <c r="N39" i="40"/>
  <c r="T38" i="40"/>
  <c r="S38" i="40"/>
  <c r="U38" i="40"/>
  <c r="N38" i="40"/>
  <c r="O38" i="40"/>
  <c r="U37" i="40"/>
  <c r="N37" i="40"/>
  <c r="M37" i="40"/>
  <c r="O37" i="40"/>
  <c r="T36" i="40"/>
  <c r="S36" i="40"/>
  <c r="U36" i="40" s="1"/>
  <c r="N36" i="40"/>
  <c r="T35" i="40"/>
  <c r="S35" i="40"/>
  <c r="U35" i="40"/>
  <c r="N35" i="40"/>
  <c r="M35" i="40"/>
  <c r="O35" i="40" s="1"/>
  <c r="U34" i="40"/>
  <c r="N34" i="40"/>
  <c r="M34" i="40"/>
  <c r="O34" i="40" s="1"/>
  <c r="U33" i="40"/>
  <c r="N33" i="40"/>
  <c r="M33" i="40"/>
  <c r="O33" i="40" s="1"/>
  <c r="U32" i="40"/>
  <c r="O32" i="40"/>
  <c r="T31" i="40"/>
  <c r="S31" i="40"/>
  <c r="O31" i="40"/>
  <c r="T30" i="40"/>
  <c r="U30" i="40"/>
  <c r="N30" i="40"/>
  <c r="O30" i="40"/>
  <c r="T29" i="40"/>
  <c r="S29" i="40"/>
  <c r="U29" i="40" s="1"/>
  <c r="N29" i="40"/>
  <c r="M29" i="40"/>
  <c r="O29" i="40"/>
  <c r="U28" i="40"/>
  <c r="O28" i="40"/>
  <c r="T27" i="40"/>
  <c r="S27" i="40"/>
  <c r="U27" i="40" s="1"/>
  <c r="N27" i="40"/>
  <c r="M27" i="40"/>
  <c r="O27" i="40"/>
  <c r="S26" i="40"/>
  <c r="U26" i="40"/>
  <c r="N26" i="40"/>
  <c r="M26" i="40"/>
  <c r="O26" i="40" s="1"/>
  <c r="S25" i="40"/>
  <c r="U25" i="40" s="1"/>
  <c r="N25" i="40"/>
  <c r="M25" i="40"/>
  <c r="O25" i="40"/>
  <c r="U24" i="40"/>
  <c r="N24" i="40"/>
  <c r="M24" i="40"/>
  <c r="U23" i="40"/>
  <c r="N23" i="40"/>
  <c r="O23" i="40"/>
  <c r="N22" i="40"/>
  <c r="M22" i="40"/>
  <c r="O22" i="40" s="1"/>
  <c r="T21" i="40"/>
  <c r="S21" i="40"/>
  <c r="U21" i="40"/>
  <c r="N21" i="40"/>
  <c r="M21" i="40"/>
  <c r="O21" i="40" s="1"/>
  <c r="T20" i="40"/>
  <c r="S20" i="40"/>
  <c r="U20" i="40"/>
  <c r="N20" i="40"/>
  <c r="O20" i="40"/>
  <c r="T19" i="40"/>
  <c r="S19" i="40"/>
  <c r="U19" i="40" s="1"/>
  <c r="N19" i="40"/>
  <c r="S18" i="40"/>
  <c r="U18" i="40" s="1"/>
  <c r="U17" i="40"/>
  <c r="N17" i="40"/>
  <c r="O17" i="40"/>
  <c r="U16" i="40"/>
  <c r="O16" i="40"/>
  <c r="S15" i="40"/>
  <c r="U15" i="40"/>
  <c r="N15" i="40"/>
  <c r="M15" i="40"/>
  <c r="O15" i="40" s="1"/>
  <c r="T14" i="40"/>
  <c r="S14" i="40"/>
  <c r="U14" i="40"/>
  <c r="N14" i="40"/>
  <c r="O14" i="40"/>
  <c r="T13" i="40"/>
  <c r="S13" i="40"/>
  <c r="U13" i="40" s="1"/>
  <c r="N13" i="40"/>
  <c r="M13" i="40"/>
  <c r="O13" i="40"/>
  <c r="B13" i="40"/>
  <c r="B14" i="40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B44" i="40" s="1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B58" i="40" s="1"/>
  <c r="B59" i="40" s="1"/>
  <c r="B60" i="40" s="1"/>
  <c r="B61" i="40" s="1"/>
  <c r="B62" i="40" s="1"/>
  <c r="B63" i="40" s="1"/>
  <c r="B64" i="40" s="1"/>
  <c r="B65" i="40" s="1"/>
  <c r="B66" i="40" s="1"/>
  <c r="B67" i="40" s="1"/>
  <c r="B68" i="40" s="1"/>
  <c r="B69" i="40" s="1"/>
  <c r="B70" i="40" s="1"/>
  <c r="B71" i="40" s="1"/>
  <c r="B72" i="40" s="1"/>
  <c r="B73" i="40" s="1"/>
  <c r="B74" i="40" s="1"/>
  <c r="B75" i="40" s="1"/>
  <c r="B76" i="40" s="1"/>
  <c r="B77" i="40" s="1"/>
  <c r="B78" i="40" s="1"/>
  <c r="B79" i="40" s="1"/>
  <c r="B80" i="40" s="1"/>
  <c r="B81" i="40" s="1"/>
  <c r="B82" i="40" s="1"/>
  <c r="B83" i="40" s="1"/>
  <c r="B84" i="40" s="1"/>
  <c r="B85" i="40" s="1"/>
  <c r="B86" i="40" s="1"/>
  <c r="B87" i="40" s="1"/>
  <c r="B88" i="40" s="1"/>
  <c r="B89" i="40" s="1"/>
  <c r="B90" i="40" s="1"/>
  <c r="B91" i="40" s="1"/>
  <c r="B92" i="40" s="1"/>
  <c r="B93" i="40" s="1"/>
  <c r="B94" i="40" s="1"/>
  <c r="B95" i="40" s="1"/>
  <c r="B96" i="40" s="1"/>
  <c r="B97" i="40" s="1"/>
  <c r="B98" i="40" s="1"/>
  <c r="B99" i="40" s="1"/>
  <c r="B100" i="40" s="1"/>
  <c r="B101" i="40" s="1"/>
  <c r="B102" i="40" s="1"/>
  <c r="U12" i="40"/>
  <c r="O12" i="40"/>
  <c r="T11" i="40"/>
  <c r="S11" i="40"/>
  <c r="U11" i="40" s="1"/>
  <c r="N11" i="40"/>
  <c r="M11" i="40"/>
  <c r="O11" i="40"/>
  <c r="B11" i="40"/>
  <c r="T10" i="40"/>
  <c r="T105" i="40" s="1"/>
  <c r="S10" i="40"/>
  <c r="N10" i="40"/>
  <c r="N105" i="40"/>
  <c r="M10" i="40"/>
  <c r="H9" i="40"/>
  <c r="I9" i="40" s="1"/>
  <c r="J9" i="40" s="1"/>
  <c r="K9" i="40" s="1"/>
  <c r="L9" i="40" s="1"/>
  <c r="M9" i="40" s="1"/>
  <c r="N9" i="40" s="1"/>
  <c r="O9" i="40" s="1"/>
  <c r="P9" i="40" s="1"/>
  <c r="Q9" i="40" s="1"/>
  <c r="R9" i="40" s="1"/>
  <c r="S9" i="40" s="1"/>
  <c r="T9" i="40" s="1"/>
  <c r="U9" i="40" s="1"/>
  <c r="O94" i="40"/>
  <c r="M102" i="39"/>
  <c r="O102" i="39"/>
  <c r="M101" i="39"/>
  <c r="S100" i="39"/>
  <c r="U100" i="39" s="1"/>
  <c r="M100" i="39"/>
  <c r="O100" i="39" s="1"/>
  <c r="S98" i="39"/>
  <c r="M93" i="39"/>
  <c r="S89" i="39"/>
  <c r="M89" i="39"/>
  <c r="M76" i="39"/>
  <c r="S71" i="39"/>
  <c r="U71" i="39" s="1"/>
  <c r="M71" i="39"/>
  <c r="O71" i="39" s="1"/>
  <c r="M70" i="39"/>
  <c r="O70" i="39" s="1"/>
  <c r="M65" i="39"/>
  <c r="S64" i="39"/>
  <c r="U64" i="39"/>
  <c r="M64" i="39"/>
  <c r="M60" i="39"/>
  <c r="O60" i="39" s="1"/>
  <c r="M61" i="39"/>
  <c r="M56" i="39"/>
  <c r="M55" i="39"/>
  <c r="O55" i="39" s="1"/>
  <c r="M54" i="39"/>
  <c r="O54" i="39" s="1"/>
  <c r="S50" i="39"/>
  <c r="M50" i="39"/>
  <c r="M51" i="39"/>
  <c r="M46" i="39"/>
  <c r="M44" i="39"/>
  <c r="M43" i="39"/>
  <c r="M42" i="39"/>
  <c r="O42" i="39" s="1"/>
  <c r="M39" i="39"/>
  <c r="M37" i="39"/>
  <c r="M29" i="39"/>
  <c r="M26" i="39"/>
  <c r="S25" i="39"/>
  <c r="U25" i="39"/>
  <c r="M23" i="39"/>
  <c r="M21" i="39"/>
  <c r="M17" i="39"/>
  <c r="S15" i="39"/>
  <c r="U15" i="39" s="1"/>
  <c r="M15" i="39"/>
  <c r="O15" i="39" s="1"/>
  <c r="M10" i="39"/>
  <c r="R105" i="39"/>
  <c r="Q105" i="39"/>
  <c r="P105" i="39"/>
  <c r="L105" i="39"/>
  <c r="K105" i="39"/>
  <c r="J105" i="39"/>
  <c r="I105" i="39"/>
  <c r="H105" i="39"/>
  <c r="U104" i="39"/>
  <c r="O104" i="39"/>
  <c r="U103" i="39"/>
  <c r="N103" i="39"/>
  <c r="M103" i="39"/>
  <c r="O103" i="39" s="1"/>
  <c r="S102" i="39"/>
  <c r="U102" i="39" s="1"/>
  <c r="T101" i="39"/>
  <c r="S101" i="39"/>
  <c r="U101" i="39"/>
  <c r="N101" i="39"/>
  <c r="N100" i="39"/>
  <c r="T99" i="39"/>
  <c r="S99" i="39"/>
  <c r="U99" i="39"/>
  <c r="N99" i="39"/>
  <c r="M99" i="39"/>
  <c r="O99" i="39" s="1"/>
  <c r="T98" i="39"/>
  <c r="N98" i="39"/>
  <c r="M98" i="39"/>
  <c r="O98" i="39" s="1"/>
  <c r="U97" i="39"/>
  <c r="N97" i="39"/>
  <c r="M97" i="39"/>
  <c r="O97" i="39" s="1"/>
  <c r="U96" i="39"/>
  <c r="N96" i="39"/>
  <c r="M96" i="39"/>
  <c r="O96" i="39" s="1"/>
  <c r="T95" i="39"/>
  <c r="S95" i="39"/>
  <c r="U95" i="39"/>
  <c r="N95" i="39"/>
  <c r="M95" i="39"/>
  <c r="O95" i="39" s="1"/>
  <c r="T94" i="39"/>
  <c r="S94" i="39"/>
  <c r="U94" i="39"/>
  <c r="N94" i="39"/>
  <c r="M94" i="39"/>
  <c r="O94" i="39" s="1"/>
  <c r="S93" i="39"/>
  <c r="U93" i="39" s="1"/>
  <c r="N93" i="39"/>
  <c r="U92" i="39"/>
  <c r="N92" i="39"/>
  <c r="M92" i="39"/>
  <c r="O92" i="39"/>
  <c r="T91" i="39"/>
  <c r="S91" i="39"/>
  <c r="U91" i="39" s="1"/>
  <c r="M91" i="39"/>
  <c r="O91" i="39" s="1"/>
  <c r="U90" i="39"/>
  <c r="N90" i="39"/>
  <c r="M90" i="39"/>
  <c r="O90" i="39" s="1"/>
  <c r="T89" i="39"/>
  <c r="N89" i="39"/>
  <c r="O89" i="39"/>
  <c r="U88" i="39"/>
  <c r="O88" i="39"/>
  <c r="T87" i="39"/>
  <c r="S87" i="39"/>
  <c r="U87" i="39" s="1"/>
  <c r="N87" i="39"/>
  <c r="M87" i="39"/>
  <c r="O87" i="39"/>
  <c r="U86" i="39"/>
  <c r="M86" i="39"/>
  <c r="O86" i="39" s="1"/>
  <c r="T85" i="39"/>
  <c r="S85" i="39"/>
  <c r="N85" i="39"/>
  <c r="M85" i="39"/>
  <c r="U84" i="39"/>
  <c r="N84" i="39"/>
  <c r="M84" i="39"/>
  <c r="O84" i="39" s="1"/>
  <c r="T83" i="39"/>
  <c r="S83" i="39"/>
  <c r="U83" i="39"/>
  <c r="N83" i="39"/>
  <c r="M83" i="39"/>
  <c r="O83" i="39" s="1"/>
  <c r="T82" i="39"/>
  <c r="S82" i="39"/>
  <c r="U82" i="39"/>
  <c r="N82" i="39"/>
  <c r="M82" i="39"/>
  <c r="O82" i="39" s="1"/>
  <c r="U81" i="39"/>
  <c r="O81" i="39"/>
  <c r="T80" i="39"/>
  <c r="S80" i="39"/>
  <c r="U80" i="39"/>
  <c r="N80" i="39"/>
  <c r="M80" i="39"/>
  <c r="O80" i="39" s="1"/>
  <c r="T79" i="39"/>
  <c r="S79" i="39"/>
  <c r="U79" i="39"/>
  <c r="N79" i="39"/>
  <c r="M79" i="39"/>
  <c r="O79" i="39" s="1"/>
  <c r="U78" i="39"/>
  <c r="O78" i="39"/>
  <c r="U77" i="39"/>
  <c r="N77" i="39"/>
  <c r="M77" i="39"/>
  <c r="O77" i="39" s="1"/>
  <c r="U76" i="39"/>
  <c r="N76" i="39"/>
  <c r="T75" i="39"/>
  <c r="S75" i="39"/>
  <c r="U75" i="39"/>
  <c r="N75" i="39"/>
  <c r="M75" i="39"/>
  <c r="O75" i="39" s="1"/>
  <c r="U74" i="39"/>
  <c r="O74" i="39"/>
  <c r="T73" i="39"/>
  <c r="S73" i="39"/>
  <c r="U73" i="39"/>
  <c r="N73" i="39"/>
  <c r="M73" i="39"/>
  <c r="O73" i="39" s="1"/>
  <c r="T72" i="39"/>
  <c r="S72" i="39"/>
  <c r="U72" i="39"/>
  <c r="M72" i="39"/>
  <c r="O72" i="39"/>
  <c r="N71" i="39"/>
  <c r="U70" i="39"/>
  <c r="N70" i="39"/>
  <c r="U69" i="39"/>
  <c r="N69" i="39"/>
  <c r="M69" i="39"/>
  <c r="O69" i="39" s="1"/>
  <c r="U68" i="39"/>
  <c r="N68" i="39"/>
  <c r="M68" i="39"/>
  <c r="O68" i="39" s="1"/>
  <c r="T67" i="39"/>
  <c r="S67" i="39"/>
  <c r="U67" i="39"/>
  <c r="N67" i="39"/>
  <c r="M67" i="39"/>
  <c r="O67" i="39" s="1"/>
  <c r="U66" i="39"/>
  <c r="N66" i="39"/>
  <c r="M66" i="39"/>
  <c r="O66" i="39" s="1"/>
  <c r="S65" i="39"/>
  <c r="U65" i="39" s="1"/>
  <c r="N65" i="39"/>
  <c r="N64" i="39"/>
  <c r="T63" i="39"/>
  <c r="S63" i="39"/>
  <c r="U63" i="39"/>
  <c r="O63" i="39"/>
  <c r="T62" i="39"/>
  <c r="S62" i="39"/>
  <c r="U62" i="39"/>
  <c r="N62" i="39"/>
  <c r="M62" i="39"/>
  <c r="U61" i="39"/>
  <c r="N61" i="39"/>
  <c r="U60" i="39"/>
  <c r="N60" i="39"/>
  <c r="U59" i="39"/>
  <c r="O59" i="39"/>
  <c r="U58" i="39"/>
  <c r="O58" i="39"/>
  <c r="U57" i="39"/>
  <c r="O57" i="39"/>
  <c r="T56" i="39"/>
  <c r="S56" i="39"/>
  <c r="U56" i="39" s="1"/>
  <c r="N56" i="39"/>
  <c r="T55" i="39"/>
  <c r="S55" i="39"/>
  <c r="U55" i="39" s="1"/>
  <c r="T54" i="39"/>
  <c r="S54" i="39"/>
  <c r="U54" i="39"/>
  <c r="N54" i="39"/>
  <c r="U53" i="39"/>
  <c r="M53" i="39"/>
  <c r="O53" i="39"/>
  <c r="T52" i="39"/>
  <c r="S52" i="39"/>
  <c r="U52" i="39" s="1"/>
  <c r="N52" i="39"/>
  <c r="M52" i="39"/>
  <c r="O52" i="39"/>
  <c r="S51" i="39"/>
  <c r="U51" i="39"/>
  <c r="N51" i="39"/>
  <c r="T50" i="39"/>
  <c r="N50" i="39"/>
  <c r="T49" i="39"/>
  <c r="S49" i="39"/>
  <c r="U49" i="39"/>
  <c r="N49" i="39"/>
  <c r="M49" i="39"/>
  <c r="O49" i="39" s="1"/>
  <c r="T48" i="39"/>
  <c r="S48" i="39"/>
  <c r="U48" i="39"/>
  <c r="N48" i="39"/>
  <c r="M48" i="39"/>
  <c r="O48" i="39" s="1"/>
  <c r="U47" i="39"/>
  <c r="N47" i="39"/>
  <c r="M47" i="39"/>
  <c r="U46" i="39"/>
  <c r="N46" i="39"/>
  <c r="O46" i="39" s="1"/>
  <c r="U45" i="39"/>
  <c r="O45" i="39"/>
  <c r="T44" i="39"/>
  <c r="S44" i="39"/>
  <c r="U44" i="39"/>
  <c r="N44" i="39"/>
  <c r="U43" i="39"/>
  <c r="N43" i="39"/>
  <c r="O43" i="39"/>
  <c r="U42" i="39"/>
  <c r="N42" i="39"/>
  <c r="T41" i="39"/>
  <c r="S41" i="39"/>
  <c r="U41" i="39"/>
  <c r="N41" i="39"/>
  <c r="M41" i="39"/>
  <c r="T40" i="39"/>
  <c r="S40" i="39"/>
  <c r="U40" i="39" s="1"/>
  <c r="O40" i="39"/>
  <c r="U39" i="39"/>
  <c r="N39" i="39"/>
  <c r="O39" i="39" s="1"/>
  <c r="T38" i="39"/>
  <c r="S38" i="39"/>
  <c r="U38" i="39"/>
  <c r="N38" i="39"/>
  <c r="M38" i="39"/>
  <c r="O38" i="39" s="1"/>
  <c r="U37" i="39"/>
  <c r="N37" i="39"/>
  <c r="O37" i="39"/>
  <c r="T36" i="39"/>
  <c r="S36" i="39"/>
  <c r="U36" i="39" s="1"/>
  <c r="N36" i="39"/>
  <c r="M36" i="39"/>
  <c r="T35" i="39"/>
  <c r="S35" i="39"/>
  <c r="U35" i="39"/>
  <c r="N35" i="39"/>
  <c r="M35" i="39"/>
  <c r="O35" i="39" s="1"/>
  <c r="U34" i="39"/>
  <c r="N34" i="39"/>
  <c r="M34" i="39"/>
  <c r="U33" i="39"/>
  <c r="N33" i="39"/>
  <c r="M33" i="39"/>
  <c r="O33" i="39"/>
  <c r="U32" i="39"/>
  <c r="O32" i="39"/>
  <c r="T31" i="39"/>
  <c r="S31" i="39"/>
  <c r="U31" i="39" s="1"/>
  <c r="O31" i="39"/>
  <c r="T30" i="39"/>
  <c r="S30" i="39"/>
  <c r="U30" i="39" s="1"/>
  <c r="N30" i="39"/>
  <c r="M30" i="39"/>
  <c r="O30" i="39"/>
  <c r="T29" i="39"/>
  <c r="S29" i="39"/>
  <c r="U29" i="39" s="1"/>
  <c r="N29" i="39"/>
  <c r="O29" i="39" s="1"/>
  <c r="U28" i="39"/>
  <c r="O28" i="39"/>
  <c r="T27" i="39"/>
  <c r="S27" i="39"/>
  <c r="U27" i="39"/>
  <c r="N27" i="39"/>
  <c r="M27" i="39"/>
  <c r="O27" i="39" s="1"/>
  <c r="S26" i="39"/>
  <c r="U26" i="39" s="1"/>
  <c r="N26" i="39"/>
  <c r="N25" i="39"/>
  <c r="M25" i="39"/>
  <c r="O25" i="39" s="1"/>
  <c r="U24" i="39"/>
  <c r="N24" i="39"/>
  <c r="M24" i="39"/>
  <c r="O24" i="39" s="1"/>
  <c r="U23" i="39"/>
  <c r="N23" i="39"/>
  <c r="U22" i="39"/>
  <c r="N22" i="39"/>
  <c r="M22" i="39"/>
  <c r="O22" i="39" s="1"/>
  <c r="T21" i="39"/>
  <c r="S21" i="39"/>
  <c r="U21" i="39"/>
  <c r="N21" i="39"/>
  <c r="T20" i="39"/>
  <c r="S20" i="39"/>
  <c r="U20" i="39"/>
  <c r="N20" i="39"/>
  <c r="M20" i="39"/>
  <c r="O20" i="39" s="1"/>
  <c r="T19" i="39"/>
  <c r="S19" i="39"/>
  <c r="U19" i="39"/>
  <c r="N19" i="39"/>
  <c r="M19" i="39"/>
  <c r="S18" i="39"/>
  <c r="U18" i="39"/>
  <c r="M18" i="39"/>
  <c r="O18" i="39"/>
  <c r="U17" i="39"/>
  <c r="N17" i="39"/>
  <c r="O17" i="39" s="1"/>
  <c r="U16" i="39"/>
  <c r="O16" i="39"/>
  <c r="N15" i="39"/>
  <c r="T14" i="39"/>
  <c r="S14" i="39"/>
  <c r="U14" i="39"/>
  <c r="N14" i="39"/>
  <c r="M14" i="39"/>
  <c r="O14" i="39" s="1"/>
  <c r="T13" i="39"/>
  <c r="S13" i="39"/>
  <c r="U13" i="39"/>
  <c r="N13" i="39"/>
  <c r="M13" i="39"/>
  <c r="O13" i="39" s="1"/>
  <c r="B13" i="39"/>
  <c r="B14" i="39" s="1"/>
  <c r="B15" i="39" s="1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29" i="39" s="1"/>
  <c r="B30" i="39" s="1"/>
  <c r="B31" i="39" s="1"/>
  <c r="B32" i="39" s="1"/>
  <c r="B33" i="39" s="1"/>
  <c r="B34" i="39" s="1"/>
  <c r="B35" i="39" s="1"/>
  <c r="B36" i="39" s="1"/>
  <c r="B37" i="39" s="1"/>
  <c r="B38" i="39" s="1"/>
  <c r="B39" i="39" s="1"/>
  <c r="B40" i="39" s="1"/>
  <c r="B41" i="39" s="1"/>
  <c r="B42" i="39" s="1"/>
  <c r="B43" i="39" s="1"/>
  <c r="B44" i="39" s="1"/>
  <c r="B45" i="39" s="1"/>
  <c r="B46" i="39" s="1"/>
  <c r="B47" i="39" s="1"/>
  <c r="B48" i="39" s="1"/>
  <c r="B49" i="39" s="1"/>
  <c r="B50" i="39" s="1"/>
  <c r="B51" i="39" s="1"/>
  <c r="B52" i="39" s="1"/>
  <c r="B53" i="39" s="1"/>
  <c r="B54" i="39" s="1"/>
  <c r="B55" i="39" s="1"/>
  <c r="B56" i="39" s="1"/>
  <c r="B57" i="39" s="1"/>
  <c r="B58" i="39" s="1"/>
  <c r="B59" i="39" s="1"/>
  <c r="B60" i="39" s="1"/>
  <c r="B61" i="39" s="1"/>
  <c r="B62" i="39" s="1"/>
  <c r="B63" i="39" s="1"/>
  <c r="B64" i="39" s="1"/>
  <c r="B65" i="39" s="1"/>
  <c r="B66" i="39" s="1"/>
  <c r="B67" i="39" s="1"/>
  <c r="B68" i="39" s="1"/>
  <c r="B69" i="39" s="1"/>
  <c r="B70" i="39" s="1"/>
  <c r="B71" i="39" s="1"/>
  <c r="B72" i="39" s="1"/>
  <c r="B73" i="39" s="1"/>
  <c r="B74" i="39" s="1"/>
  <c r="B75" i="39" s="1"/>
  <c r="B76" i="39" s="1"/>
  <c r="B77" i="39" s="1"/>
  <c r="B78" i="39" s="1"/>
  <c r="B79" i="39" s="1"/>
  <c r="B80" i="39" s="1"/>
  <c r="B81" i="39" s="1"/>
  <c r="B82" i="39" s="1"/>
  <c r="B83" i="39" s="1"/>
  <c r="B84" i="39" s="1"/>
  <c r="B85" i="39" s="1"/>
  <c r="B86" i="39" s="1"/>
  <c r="B87" i="39" s="1"/>
  <c r="B88" i="39" s="1"/>
  <c r="B89" i="39" s="1"/>
  <c r="B90" i="39" s="1"/>
  <c r="B91" i="39" s="1"/>
  <c r="B92" i="39" s="1"/>
  <c r="B93" i="39" s="1"/>
  <c r="B94" i="39" s="1"/>
  <c r="B95" i="39" s="1"/>
  <c r="B96" i="39" s="1"/>
  <c r="B97" i="39" s="1"/>
  <c r="B98" i="39" s="1"/>
  <c r="B99" i="39" s="1"/>
  <c r="B100" i="39" s="1"/>
  <c r="B101" i="39" s="1"/>
  <c r="B102" i="39" s="1"/>
  <c r="U12" i="39"/>
  <c r="O12" i="39"/>
  <c r="T11" i="39"/>
  <c r="S11" i="39"/>
  <c r="U11" i="39"/>
  <c r="N11" i="39"/>
  <c r="M11" i="39"/>
  <c r="O11" i="39" s="1"/>
  <c r="B11" i="39"/>
  <c r="T10" i="39"/>
  <c r="S10" i="39"/>
  <c r="N10" i="39"/>
  <c r="O10" i="39"/>
  <c r="H9" i="39"/>
  <c r="I9" i="39"/>
  <c r="J9" i="39" s="1"/>
  <c r="K9" i="39" s="1"/>
  <c r="L9" i="39" s="1"/>
  <c r="M9" i="39" s="1"/>
  <c r="N9" i="39" s="1"/>
  <c r="O9" i="39" s="1"/>
  <c r="P9" i="39" s="1"/>
  <c r="Q9" i="39" s="1"/>
  <c r="R9" i="39" s="1"/>
  <c r="S9" i="39" s="1"/>
  <c r="T9" i="39" s="1"/>
  <c r="U9" i="39" s="1"/>
  <c r="M80" i="38"/>
  <c r="M99" i="38"/>
  <c r="M98" i="38"/>
  <c r="O98" i="38"/>
  <c r="M91" i="38"/>
  <c r="O91" i="38"/>
  <c r="M90" i="38"/>
  <c r="S87" i="38"/>
  <c r="U87" i="38" s="1"/>
  <c r="M87" i="38"/>
  <c r="M85" i="38"/>
  <c r="M86" i="38"/>
  <c r="O86" i="38"/>
  <c r="M82" i="38"/>
  <c r="M77" i="38"/>
  <c r="O77" i="38" s="1"/>
  <c r="M67" i="38"/>
  <c r="M65" i="38"/>
  <c r="M54" i="38"/>
  <c r="M51" i="38"/>
  <c r="S51" i="38"/>
  <c r="U51" i="38"/>
  <c r="M50" i="38"/>
  <c r="M49" i="38"/>
  <c r="M47" i="38"/>
  <c r="S44" i="38"/>
  <c r="M44" i="38"/>
  <c r="M29" i="38"/>
  <c r="O29" i="38" s="1"/>
  <c r="M27" i="38"/>
  <c r="S26" i="38"/>
  <c r="U26" i="38" s="1"/>
  <c r="M26" i="38"/>
  <c r="S25" i="38"/>
  <c r="M25" i="38"/>
  <c r="O25" i="38" s="1"/>
  <c r="M22" i="38"/>
  <c r="M21" i="38"/>
  <c r="M18" i="38"/>
  <c r="O18" i="38"/>
  <c r="M15" i="38"/>
  <c r="M14" i="38"/>
  <c r="O14" i="38" s="1"/>
  <c r="O64" i="39"/>
  <c r="R105" i="38"/>
  <c r="Q105" i="38"/>
  <c r="P105" i="38"/>
  <c r="L105" i="38"/>
  <c r="K105" i="38"/>
  <c r="J105" i="38"/>
  <c r="I105" i="38"/>
  <c r="H105" i="38"/>
  <c r="U104" i="38"/>
  <c r="O104" i="38"/>
  <c r="U103" i="38"/>
  <c r="N103" i="38"/>
  <c r="M103" i="38"/>
  <c r="O103" i="38" s="1"/>
  <c r="S102" i="38"/>
  <c r="U102" i="38" s="1"/>
  <c r="M102" i="38"/>
  <c r="O102" i="38" s="1"/>
  <c r="T101" i="38"/>
  <c r="S101" i="38"/>
  <c r="U101" i="38"/>
  <c r="N101" i="38"/>
  <c r="M101" i="38"/>
  <c r="O101" i="38" s="1"/>
  <c r="U100" i="38"/>
  <c r="N100" i="38"/>
  <c r="M100" i="38"/>
  <c r="O100" i="38" s="1"/>
  <c r="T99" i="38"/>
  <c r="S99" i="38"/>
  <c r="U99" i="38"/>
  <c r="N99" i="38"/>
  <c r="T98" i="38"/>
  <c r="S98" i="38"/>
  <c r="U98" i="38"/>
  <c r="N98" i="38"/>
  <c r="U97" i="38"/>
  <c r="N97" i="38"/>
  <c r="M97" i="38"/>
  <c r="O97" i="38" s="1"/>
  <c r="U96" i="38"/>
  <c r="N96" i="38"/>
  <c r="M96" i="38"/>
  <c r="O96" i="38" s="1"/>
  <c r="T95" i="38"/>
  <c r="S95" i="38"/>
  <c r="U95" i="38"/>
  <c r="N95" i="38"/>
  <c r="M95" i="38"/>
  <c r="T94" i="38"/>
  <c r="S94" i="38"/>
  <c r="U94" i="38" s="1"/>
  <c r="N94" i="38"/>
  <c r="M94" i="38"/>
  <c r="O94" i="38"/>
  <c r="S93" i="38"/>
  <c r="U93" i="38"/>
  <c r="N93" i="38"/>
  <c r="M93" i="38"/>
  <c r="O93" i="38" s="1"/>
  <c r="U92" i="38"/>
  <c r="N92" i="38"/>
  <c r="M92" i="38"/>
  <c r="O92" i="38" s="1"/>
  <c r="T91" i="38"/>
  <c r="S91" i="38"/>
  <c r="U91" i="38"/>
  <c r="U90" i="38"/>
  <c r="N90" i="38"/>
  <c r="O90" i="38" s="1"/>
  <c r="T89" i="38"/>
  <c r="S89" i="38"/>
  <c r="U89" i="38"/>
  <c r="N89" i="38"/>
  <c r="M89" i="38"/>
  <c r="O89" i="38" s="1"/>
  <c r="U88" i="38"/>
  <c r="O88" i="38"/>
  <c r="T87" i="38"/>
  <c r="N87" i="38"/>
  <c r="U86" i="38"/>
  <c r="T85" i="38"/>
  <c r="S85" i="38"/>
  <c r="U85" i="38"/>
  <c r="N85" i="38"/>
  <c r="O85" i="38"/>
  <c r="U84" i="38"/>
  <c r="N84" i="38"/>
  <c r="M84" i="38"/>
  <c r="O84" i="38"/>
  <c r="T83" i="38"/>
  <c r="S83" i="38"/>
  <c r="U83" i="38" s="1"/>
  <c r="N83" i="38"/>
  <c r="M83" i="38"/>
  <c r="O83" i="38"/>
  <c r="T82" i="38"/>
  <c r="S82" i="38"/>
  <c r="U82" i="38" s="1"/>
  <c r="N82" i="38"/>
  <c r="O82" i="38" s="1"/>
  <c r="U81" i="38"/>
  <c r="O81" i="38"/>
  <c r="T80" i="38"/>
  <c r="S80" i="38"/>
  <c r="U80" i="38"/>
  <c r="N80" i="38"/>
  <c r="O80" i="38"/>
  <c r="T79" i="38"/>
  <c r="S79" i="38"/>
  <c r="U79" i="38" s="1"/>
  <c r="N79" i="38"/>
  <c r="M79" i="38"/>
  <c r="O79" i="38"/>
  <c r="U78" i="38"/>
  <c r="O78" i="38"/>
  <c r="U77" i="38"/>
  <c r="N77" i="38"/>
  <c r="U76" i="38"/>
  <c r="N76" i="38"/>
  <c r="M76" i="38"/>
  <c r="O76" i="38" s="1"/>
  <c r="T75" i="38"/>
  <c r="S75" i="38"/>
  <c r="U75" i="38"/>
  <c r="N75" i="38"/>
  <c r="M75" i="38"/>
  <c r="O75" i="38" s="1"/>
  <c r="U74" i="38"/>
  <c r="O74" i="38"/>
  <c r="T73" i="38"/>
  <c r="S73" i="38"/>
  <c r="U73" i="38"/>
  <c r="N73" i="38"/>
  <c r="M73" i="38"/>
  <c r="O73" i="38" s="1"/>
  <c r="T72" i="38"/>
  <c r="S72" i="38"/>
  <c r="U72" i="38"/>
  <c r="M72" i="38"/>
  <c r="O72" i="38"/>
  <c r="S71" i="38"/>
  <c r="U71" i="38"/>
  <c r="N71" i="38"/>
  <c r="M71" i="38"/>
  <c r="O71" i="38" s="1"/>
  <c r="U70" i="38"/>
  <c r="N70" i="38"/>
  <c r="M70" i="38"/>
  <c r="O70" i="38" s="1"/>
  <c r="U69" i="38"/>
  <c r="N69" i="38"/>
  <c r="M69" i="38"/>
  <c r="O69" i="38" s="1"/>
  <c r="U68" i="38"/>
  <c r="N68" i="38"/>
  <c r="M68" i="38"/>
  <c r="O68" i="38" s="1"/>
  <c r="T67" i="38"/>
  <c r="S67" i="38"/>
  <c r="U67" i="38"/>
  <c r="N67" i="38"/>
  <c r="O67" i="38"/>
  <c r="U66" i="38"/>
  <c r="N66" i="38"/>
  <c r="M66" i="38"/>
  <c r="O66" i="38"/>
  <c r="S65" i="38"/>
  <c r="U65" i="38"/>
  <c r="N65" i="38"/>
  <c r="U64" i="38"/>
  <c r="N64" i="38"/>
  <c r="M64" i="38"/>
  <c r="T63" i="38"/>
  <c r="S63" i="38"/>
  <c r="U63" i="38" s="1"/>
  <c r="O63" i="38"/>
  <c r="T62" i="38"/>
  <c r="S62" i="38"/>
  <c r="U62" i="38" s="1"/>
  <c r="N62" i="38"/>
  <c r="M62" i="38"/>
  <c r="O62" i="38"/>
  <c r="U61" i="38"/>
  <c r="N61" i="38"/>
  <c r="M61" i="38"/>
  <c r="O61" i="38"/>
  <c r="U60" i="38"/>
  <c r="N60" i="38"/>
  <c r="M60" i="38"/>
  <c r="O60" i="38"/>
  <c r="U59" i="38"/>
  <c r="O59" i="38"/>
  <c r="U58" i="38"/>
  <c r="O58" i="38"/>
  <c r="U57" i="38"/>
  <c r="O57" i="38"/>
  <c r="T56" i="38"/>
  <c r="S56" i="38"/>
  <c r="U56" i="38" s="1"/>
  <c r="N56" i="38"/>
  <c r="M56" i="38"/>
  <c r="O56" i="38"/>
  <c r="T55" i="38"/>
  <c r="S55" i="38"/>
  <c r="U55" i="38" s="1"/>
  <c r="O55" i="38"/>
  <c r="T54" i="38"/>
  <c r="S54" i="38"/>
  <c r="U54" i="38" s="1"/>
  <c r="N54" i="38"/>
  <c r="O54" i="38" s="1"/>
  <c r="U53" i="38"/>
  <c r="M53" i="38"/>
  <c r="O53" i="38"/>
  <c r="T52" i="38"/>
  <c r="S52" i="38"/>
  <c r="U52" i="38" s="1"/>
  <c r="N52" i="38"/>
  <c r="M52" i="38"/>
  <c r="O52" i="38"/>
  <c r="N51" i="38"/>
  <c r="T50" i="38"/>
  <c r="S50" i="38"/>
  <c r="U50" i="38"/>
  <c r="N50" i="38"/>
  <c r="O50" i="38"/>
  <c r="T49" i="38"/>
  <c r="S49" i="38"/>
  <c r="N49" i="38"/>
  <c r="O49" i="38"/>
  <c r="T48" i="38"/>
  <c r="S48" i="38"/>
  <c r="U48" i="38" s="1"/>
  <c r="N48" i="38"/>
  <c r="M48" i="38"/>
  <c r="O48" i="38"/>
  <c r="U47" i="38"/>
  <c r="N47" i="38"/>
  <c r="O47" i="38" s="1"/>
  <c r="U46" i="38"/>
  <c r="N46" i="38"/>
  <c r="M46" i="38"/>
  <c r="O46" i="38" s="1"/>
  <c r="U45" i="38"/>
  <c r="O45" i="38"/>
  <c r="T44" i="38"/>
  <c r="N44" i="38"/>
  <c r="O44" i="38"/>
  <c r="U43" i="38"/>
  <c r="N43" i="38"/>
  <c r="M43" i="38"/>
  <c r="O43" i="38"/>
  <c r="U42" i="38"/>
  <c r="N42" i="38"/>
  <c r="M42" i="38"/>
  <c r="O42" i="38"/>
  <c r="T41" i="38"/>
  <c r="S41" i="38"/>
  <c r="N41" i="38"/>
  <c r="M41" i="38"/>
  <c r="O41" i="38" s="1"/>
  <c r="T40" i="38"/>
  <c r="S40" i="38"/>
  <c r="U40" i="38"/>
  <c r="O40" i="38"/>
  <c r="U39" i="38"/>
  <c r="N39" i="38"/>
  <c r="M39" i="38"/>
  <c r="O39" i="38" s="1"/>
  <c r="T38" i="38"/>
  <c r="S38" i="38"/>
  <c r="U38" i="38"/>
  <c r="N38" i="38"/>
  <c r="M38" i="38"/>
  <c r="O38" i="38" s="1"/>
  <c r="U37" i="38"/>
  <c r="N37" i="38"/>
  <c r="M37" i="38"/>
  <c r="O37" i="38" s="1"/>
  <c r="T36" i="38"/>
  <c r="S36" i="38"/>
  <c r="U36" i="38"/>
  <c r="N36" i="38"/>
  <c r="M36" i="38"/>
  <c r="O36" i="38" s="1"/>
  <c r="T35" i="38"/>
  <c r="S35" i="38"/>
  <c r="U35" i="38"/>
  <c r="N35" i="38"/>
  <c r="M35" i="38"/>
  <c r="O35" i="38" s="1"/>
  <c r="U34" i="38"/>
  <c r="N34" i="38"/>
  <c r="M34" i="38"/>
  <c r="O34" i="38" s="1"/>
  <c r="U33" i="38"/>
  <c r="N33" i="38"/>
  <c r="M33" i="38"/>
  <c r="O33" i="38" s="1"/>
  <c r="U32" i="38"/>
  <c r="O32" i="38"/>
  <c r="T31" i="38"/>
  <c r="S31" i="38"/>
  <c r="U31" i="38"/>
  <c r="O31" i="38"/>
  <c r="T30" i="38"/>
  <c r="S30" i="38"/>
  <c r="U30" i="38"/>
  <c r="N30" i="38"/>
  <c r="M30" i="38"/>
  <c r="T29" i="38"/>
  <c r="S29" i="38"/>
  <c r="U29" i="38" s="1"/>
  <c r="N29" i="38"/>
  <c r="U28" i="38"/>
  <c r="O28" i="38"/>
  <c r="T27" i="38"/>
  <c r="S27" i="38"/>
  <c r="U27" i="38"/>
  <c r="N27" i="38"/>
  <c r="O27" i="38"/>
  <c r="N26" i="38"/>
  <c r="O26" i="38" s="1"/>
  <c r="U25" i="38"/>
  <c r="N25" i="38"/>
  <c r="U24" i="38"/>
  <c r="N24" i="38"/>
  <c r="M24" i="38"/>
  <c r="O24" i="38" s="1"/>
  <c r="U23" i="38"/>
  <c r="N23" i="38"/>
  <c r="M23" i="38"/>
  <c r="O23" i="38" s="1"/>
  <c r="U22" i="38"/>
  <c r="N22" i="38"/>
  <c r="T21" i="38"/>
  <c r="S21" i="38"/>
  <c r="U21" i="38"/>
  <c r="N21" i="38"/>
  <c r="O21" i="38"/>
  <c r="T20" i="38"/>
  <c r="S20" i="38"/>
  <c r="U20" i="38" s="1"/>
  <c r="N20" i="38"/>
  <c r="M20" i="38"/>
  <c r="O20" i="38"/>
  <c r="T19" i="38"/>
  <c r="S19" i="38"/>
  <c r="U19" i="38" s="1"/>
  <c r="N19" i="38"/>
  <c r="M19" i="38"/>
  <c r="O19" i="38"/>
  <c r="S18" i="38"/>
  <c r="U18" i="38"/>
  <c r="U17" i="38"/>
  <c r="N17" i="38"/>
  <c r="M17" i="38"/>
  <c r="O17" i="38"/>
  <c r="U16" i="38"/>
  <c r="O16" i="38"/>
  <c r="U15" i="38"/>
  <c r="N15" i="38"/>
  <c r="T14" i="38"/>
  <c r="S14" i="38"/>
  <c r="U14" i="38" s="1"/>
  <c r="N14" i="38"/>
  <c r="T13" i="38"/>
  <c r="S13" i="38"/>
  <c r="U13" i="38"/>
  <c r="N13" i="38"/>
  <c r="M13" i="38"/>
  <c r="O13" i="38" s="1"/>
  <c r="B13" i="38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B40" i="38" s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2" i="38" s="1"/>
  <c r="B63" i="38" s="1"/>
  <c r="B64" i="38" s="1"/>
  <c r="B65" i="38" s="1"/>
  <c r="B66" i="38" s="1"/>
  <c r="B67" i="38" s="1"/>
  <c r="B68" i="38" s="1"/>
  <c r="B69" i="38" s="1"/>
  <c r="B70" i="38" s="1"/>
  <c r="B71" i="38" s="1"/>
  <c r="B72" i="38" s="1"/>
  <c r="B73" i="38" s="1"/>
  <c r="B74" i="38" s="1"/>
  <c r="B75" i="38" s="1"/>
  <c r="B76" i="38" s="1"/>
  <c r="B77" i="38" s="1"/>
  <c r="B78" i="38" s="1"/>
  <c r="B79" i="38" s="1"/>
  <c r="B80" i="38" s="1"/>
  <c r="B81" i="38" s="1"/>
  <c r="B82" i="38" s="1"/>
  <c r="B83" i="38" s="1"/>
  <c r="B84" i="38" s="1"/>
  <c r="B85" i="38" s="1"/>
  <c r="B86" i="38" s="1"/>
  <c r="B87" i="38" s="1"/>
  <c r="B88" i="38" s="1"/>
  <c r="B89" i="38" s="1"/>
  <c r="B90" i="38" s="1"/>
  <c r="B91" i="38" s="1"/>
  <c r="B92" i="38" s="1"/>
  <c r="B93" i="38" s="1"/>
  <c r="B94" i="38" s="1"/>
  <c r="B95" i="38" s="1"/>
  <c r="B96" i="38" s="1"/>
  <c r="B97" i="38" s="1"/>
  <c r="B98" i="38" s="1"/>
  <c r="B99" i="38" s="1"/>
  <c r="B100" i="38" s="1"/>
  <c r="B101" i="38" s="1"/>
  <c r="B102" i="38" s="1"/>
  <c r="U12" i="38"/>
  <c r="O12" i="38"/>
  <c r="T11" i="38"/>
  <c r="S11" i="38"/>
  <c r="U11" i="38"/>
  <c r="N11" i="38"/>
  <c r="M11" i="38"/>
  <c r="B11" i="38"/>
  <c r="T10" i="38"/>
  <c r="S10" i="38"/>
  <c r="U10" i="38"/>
  <c r="N10" i="38"/>
  <c r="M10" i="38"/>
  <c r="O10" i="38" s="1"/>
  <c r="H9" i="38"/>
  <c r="I9" i="38" s="1"/>
  <c r="J9" i="38" s="1"/>
  <c r="K9" i="38" s="1"/>
  <c r="L9" i="38" s="1"/>
  <c r="M9" i="38" s="1"/>
  <c r="N9" i="38" s="1"/>
  <c r="O9" i="38" s="1"/>
  <c r="P9" i="38" s="1"/>
  <c r="Q9" i="38" s="1"/>
  <c r="R9" i="38" s="1"/>
  <c r="S9" i="38" s="1"/>
  <c r="T9" i="38" s="1"/>
  <c r="U9" i="38" s="1"/>
  <c r="S95" i="37"/>
  <c r="S101" i="37"/>
  <c r="T101" i="37"/>
  <c r="M71" i="37"/>
  <c r="M101" i="37"/>
  <c r="O101" i="37" s="1"/>
  <c r="S94" i="37"/>
  <c r="U94" i="37" s="1"/>
  <c r="M94" i="37"/>
  <c r="O94" i="37" s="1"/>
  <c r="M93" i="37"/>
  <c r="M87" i="37"/>
  <c r="M84" i="37"/>
  <c r="M85" i="37"/>
  <c r="M83" i="37"/>
  <c r="M73" i="37"/>
  <c r="O73" i="37" s="1"/>
  <c r="S73" i="37"/>
  <c r="S65" i="37"/>
  <c r="U65" i="37" s="1"/>
  <c r="S71" i="37"/>
  <c r="U71" i="37" s="1"/>
  <c r="M65" i="37"/>
  <c r="M60" i="37"/>
  <c r="M67" i="37"/>
  <c r="O67" i="37" s="1"/>
  <c r="M61" i="37"/>
  <c r="M56" i="37"/>
  <c r="O56" i="37" s="1"/>
  <c r="M27" i="37"/>
  <c r="S41" i="37"/>
  <c r="M41" i="37"/>
  <c r="M38" i="37"/>
  <c r="O38" i="37"/>
  <c r="M20" i="37"/>
  <c r="M18" i="37"/>
  <c r="O18" i="37" s="1"/>
  <c r="T63" i="37"/>
  <c r="N101" i="37"/>
  <c r="T98" i="37"/>
  <c r="N93" i="37"/>
  <c r="N94" i="37"/>
  <c r="N92" i="37"/>
  <c r="N90" i="37"/>
  <c r="N89" i="37"/>
  <c r="N85" i="37"/>
  <c r="N82" i="37"/>
  <c r="N80" i="37"/>
  <c r="N79" i="37"/>
  <c r="N76" i="37"/>
  <c r="N70" i="37"/>
  <c r="N69" i="37"/>
  <c r="N64" i="37"/>
  <c r="T49" i="37"/>
  <c r="N46" i="37"/>
  <c r="N44" i="37"/>
  <c r="N42" i="37"/>
  <c r="N39" i="37"/>
  <c r="T38" i="37"/>
  <c r="N38" i="37"/>
  <c r="N37" i="37"/>
  <c r="N29" i="37"/>
  <c r="T21" i="37"/>
  <c r="N21" i="37"/>
  <c r="R105" i="37"/>
  <c r="Q105" i="37"/>
  <c r="P105" i="37"/>
  <c r="L105" i="37"/>
  <c r="K105" i="37"/>
  <c r="J105" i="37"/>
  <c r="I105" i="37"/>
  <c r="H105" i="37"/>
  <c r="U104" i="37"/>
  <c r="O104" i="37"/>
  <c r="U103" i="37"/>
  <c r="N103" i="37"/>
  <c r="M103" i="37"/>
  <c r="O103" i="37" s="1"/>
  <c r="S102" i="37"/>
  <c r="U102" i="37" s="1"/>
  <c r="M102" i="37"/>
  <c r="O102" i="37" s="1"/>
  <c r="U100" i="37"/>
  <c r="N100" i="37"/>
  <c r="M100" i="37"/>
  <c r="O100" i="37" s="1"/>
  <c r="T99" i="37"/>
  <c r="S99" i="37"/>
  <c r="U99" i="37"/>
  <c r="N99" i="37"/>
  <c r="M99" i="37"/>
  <c r="O99" i="37" s="1"/>
  <c r="S98" i="37"/>
  <c r="U98" i="37" s="1"/>
  <c r="N98" i="37"/>
  <c r="M98" i="37"/>
  <c r="O98" i="37"/>
  <c r="U97" i="37"/>
  <c r="N97" i="37"/>
  <c r="M97" i="37"/>
  <c r="U96" i="37"/>
  <c r="N96" i="37"/>
  <c r="M96" i="37"/>
  <c r="O96" i="37" s="1"/>
  <c r="T95" i="37"/>
  <c r="U95" i="37"/>
  <c r="N95" i="37"/>
  <c r="M95" i="37"/>
  <c r="O95" i="37" s="1"/>
  <c r="T94" i="37"/>
  <c r="S93" i="37"/>
  <c r="U93" i="37"/>
  <c r="U92" i="37"/>
  <c r="M92" i="37"/>
  <c r="O92" i="37" s="1"/>
  <c r="T91" i="37"/>
  <c r="S91" i="37"/>
  <c r="U91" i="37"/>
  <c r="M91" i="37"/>
  <c r="O91" i="37"/>
  <c r="U90" i="37"/>
  <c r="M90" i="37"/>
  <c r="T89" i="37"/>
  <c r="S89" i="37"/>
  <c r="U89" i="37" s="1"/>
  <c r="M89" i="37"/>
  <c r="O89" i="37" s="1"/>
  <c r="U88" i="37"/>
  <c r="O88" i="37"/>
  <c r="T87" i="37"/>
  <c r="S87" i="37"/>
  <c r="U87" i="37"/>
  <c r="N87" i="37"/>
  <c r="O87" i="37"/>
  <c r="U86" i="37"/>
  <c r="O86" i="37"/>
  <c r="T85" i="37"/>
  <c r="S85" i="37"/>
  <c r="U85" i="37" s="1"/>
  <c r="U84" i="37"/>
  <c r="N84" i="37"/>
  <c r="T83" i="37"/>
  <c r="S83" i="37"/>
  <c r="U83" i="37"/>
  <c r="N83" i="37"/>
  <c r="T82" i="37"/>
  <c r="S82" i="37"/>
  <c r="U82" i="37"/>
  <c r="M82" i="37"/>
  <c r="O82" i="37"/>
  <c r="U81" i="37"/>
  <c r="O81" i="37"/>
  <c r="T80" i="37"/>
  <c r="S80" i="37"/>
  <c r="U80" i="37" s="1"/>
  <c r="M80" i="37"/>
  <c r="O80" i="37" s="1"/>
  <c r="T79" i="37"/>
  <c r="S79" i="37"/>
  <c r="U79" i="37"/>
  <c r="M79" i="37"/>
  <c r="U78" i="37"/>
  <c r="O78" i="37"/>
  <c r="U77" i="37"/>
  <c r="N77" i="37"/>
  <c r="M77" i="37"/>
  <c r="U76" i="37"/>
  <c r="M76" i="37"/>
  <c r="O76" i="37" s="1"/>
  <c r="T75" i="37"/>
  <c r="S75" i="37"/>
  <c r="U75" i="37"/>
  <c r="N75" i="37"/>
  <c r="M75" i="37"/>
  <c r="O75" i="37" s="1"/>
  <c r="U74" i="37"/>
  <c r="O74" i="37"/>
  <c r="T73" i="37"/>
  <c r="U73" i="37" s="1"/>
  <c r="N73" i="37"/>
  <c r="T72" i="37"/>
  <c r="S72" i="37"/>
  <c r="U72" i="37"/>
  <c r="M72" i="37"/>
  <c r="O72" i="37"/>
  <c r="N71" i="37"/>
  <c r="O71" i="37"/>
  <c r="U70" i="37"/>
  <c r="M70" i="37"/>
  <c r="O70" i="37" s="1"/>
  <c r="U69" i="37"/>
  <c r="M69" i="37"/>
  <c r="O69" i="37"/>
  <c r="U68" i="37"/>
  <c r="N68" i="37"/>
  <c r="M68" i="37"/>
  <c r="O68" i="37"/>
  <c r="T67" i="37"/>
  <c r="S67" i="37"/>
  <c r="U67" i="37" s="1"/>
  <c r="N67" i="37"/>
  <c r="U66" i="37"/>
  <c r="N66" i="37"/>
  <c r="M66" i="37"/>
  <c r="O66" i="37" s="1"/>
  <c r="N65" i="37"/>
  <c r="U64" i="37"/>
  <c r="M64" i="37"/>
  <c r="O64" i="37" s="1"/>
  <c r="S63" i="37"/>
  <c r="O63" i="37"/>
  <c r="T62" i="37"/>
  <c r="S62" i="37"/>
  <c r="U62" i="37"/>
  <c r="N62" i="37"/>
  <c r="M62" i="37"/>
  <c r="O62" i="37" s="1"/>
  <c r="U61" i="37"/>
  <c r="N61" i="37"/>
  <c r="U60" i="37"/>
  <c r="N60" i="37"/>
  <c r="O60" i="37"/>
  <c r="U59" i="37"/>
  <c r="O59" i="37"/>
  <c r="U58" i="37"/>
  <c r="O58" i="37"/>
  <c r="U57" i="37"/>
  <c r="O57" i="37"/>
  <c r="T56" i="37"/>
  <c r="S56" i="37"/>
  <c r="U56" i="37" s="1"/>
  <c r="N56" i="37"/>
  <c r="T55" i="37"/>
  <c r="S55" i="37"/>
  <c r="U55" i="37"/>
  <c r="O55" i="37"/>
  <c r="T54" i="37"/>
  <c r="S54" i="37"/>
  <c r="U54" i="37"/>
  <c r="N54" i="37"/>
  <c r="M54" i="37"/>
  <c r="O54" i="37" s="1"/>
  <c r="U53" i="37"/>
  <c r="M53" i="37"/>
  <c r="O53" i="37"/>
  <c r="T52" i="37"/>
  <c r="S52" i="37"/>
  <c r="U52" i="37" s="1"/>
  <c r="N52" i="37"/>
  <c r="M52" i="37"/>
  <c r="O52" i="37"/>
  <c r="U51" i="37"/>
  <c r="N51" i="37"/>
  <c r="M51" i="37"/>
  <c r="O51" i="37"/>
  <c r="T50" i="37"/>
  <c r="S50" i="37"/>
  <c r="U50" i="37" s="1"/>
  <c r="N50" i="37"/>
  <c r="M50" i="37"/>
  <c r="O50" i="37"/>
  <c r="S49" i="37"/>
  <c r="U49" i="37"/>
  <c r="N49" i="37"/>
  <c r="M49" i="37"/>
  <c r="O49" i="37" s="1"/>
  <c r="T48" i="37"/>
  <c r="S48" i="37"/>
  <c r="U48" i="37"/>
  <c r="N48" i="37"/>
  <c r="M48" i="37"/>
  <c r="O48" i="37" s="1"/>
  <c r="U47" i="37"/>
  <c r="N47" i="37"/>
  <c r="M47" i="37"/>
  <c r="O47" i="37" s="1"/>
  <c r="U46" i="37"/>
  <c r="M46" i="37"/>
  <c r="O46" i="37"/>
  <c r="U45" i="37"/>
  <c r="O45" i="37"/>
  <c r="T44" i="37"/>
  <c r="S44" i="37"/>
  <c r="U44" i="37" s="1"/>
  <c r="M44" i="37"/>
  <c r="O44" i="37" s="1"/>
  <c r="U43" i="37"/>
  <c r="N43" i="37"/>
  <c r="M43" i="37"/>
  <c r="O43" i="37" s="1"/>
  <c r="U42" i="37"/>
  <c r="M42" i="37"/>
  <c r="O42" i="37"/>
  <c r="T41" i="37"/>
  <c r="N41" i="37"/>
  <c r="O41" i="37" s="1"/>
  <c r="T40" i="37"/>
  <c r="S40" i="37"/>
  <c r="U40" i="37" s="1"/>
  <c r="O40" i="37"/>
  <c r="U39" i="37"/>
  <c r="M39" i="37"/>
  <c r="O39" i="37" s="1"/>
  <c r="S38" i="37"/>
  <c r="U37" i="37"/>
  <c r="M37" i="37"/>
  <c r="O37" i="37" s="1"/>
  <c r="T36" i="37"/>
  <c r="S36" i="37"/>
  <c r="U36" i="37"/>
  <c r="N36" i="37"/>
  <c r="M36" i="37"/>
  <c r="O36" i="37" s="1"/>
  <c r="T35" i="37"/>
  <c r="S35" i="37"/>
  <c r="U35" i="37"/>
  <c r="N35" i="37"/>
  <c r="M35" i="37"/>
  <c r="O35" i="37" s="1"/>
  <c r="U34" i="37"/>
  <c r="N34" i="37"/>
  <c r="M34" i="37"/>
  <c r="O34" i="37" s="1"/>
  <c r="U33" i="37"/>
  <c r="N33" i="37"/>
  <c r="M33" i="37"/>
  <c r="O33" i="37" s="1"/>
  <c r="U32" i="37"/>
  <c r="O32" i="37"/>
  <c r="T31" i="37"/>
  <c r="S31" i="37"/>
  <c r="U31" i="37"/>
  <c r="O31" i="37"/>
  <c r="T30" i="37"/>
  <c r="S30" i="37"/>
  <c r="U30" i="37"/>
  <c r="N30" i="37"/>
  <c r="M30" i="37"/>
  <c r="O30" i="37" s="1"/>
  <c r="T29" i="37"/>
  <c r="S29" i="37"/>
  <c r="U29" i="37"/>
  <c r="M29" i="37"/>
  <c r="O29" i="37"/>
  <c r="U28" i="37"/>
  <c r="O28" i="37"/>
  <c r="T27" i="37"/>
  <c r="S27" i="37"/>
  <c r="U27" i="37" s="1"/>
  <c r="N27" i="37"/>
  <c r="O27" i="37" s="1"/>
  <c r="U26" i="37"/>
  <c r="N26" i="37"/>
  <c r="M26" i="37"/>
  <c r="O26" i="37" s="1"/>
  <c r="U25" i="37"/>
  <c r="N25" i="37"/>
  <c r="M25" i="37"/>
  <c r="O25" i="37" s="1"/>
  <c r="U24" i="37"/>
  <c r="N24" i="37"/>
  <c r="M24" i="37"/>
  <c r="O24" i="37" s="1"/>
  <c r="U23" i="37"/>
  <c r="N23" i="37"/>
  <c r="M23" i="37"/>
  <c r="O23" i="37" s="1"/>
  <c r="U22" i="37"/>
  <c r="N22" i="37"/>
  <c r="M22" i="37"/>
  <c r="O22" i="37" s="1"/>
  <c r="S21" i="37"/>
  <c r="U21" i="37" s="1"/>
  <c r="M21" i="37"/>
  <c r="O21" i="37" s="1"/>
  <c r="T20" i="37"/>
  <c r="S20" i="37"/>
  <c r="U20" i="37"/>
  <c r="N20" i="37"/>
  <c r="O20" i="37"/>
  <c r="T19" i="37"/>
  <c r="S19" i="37"/>
  <c r="U19" i="37" s="1"/>
  <c r="N19" i="37"/>
  <c r="M19" i="37"/>
  <c r="O19" i="37"/>
  <c r="S18" i="37"/>
  <c r="U18" i="37"/>
  <c r="U17" i="37"/>
  <c r="N17" i="37"/>
  <c r="M17" i="37"/>
  <c r="O17" i="37"/>
  <c r="U16" i="37"/>
  <c r="O16" i="37"/>
  <c r="U15" i="37"/>
  <c r="N15" i="37"/>
  <c r="M15" i="37"/>
  <c r="O15" i="37"/>
  <c r="T14" i="37"/>
  <c r="S14" i="37"/>
  <c r="U14" i="37" s="1"/>
  <c r="N14" i="37"/>
  <c r="M14" i="37"/>
  <c r="O14" i="37"/>
  <c r="T13" i="37"/>
  <c r="S13" i="37"/>
  <c r="U13" i="37" s="1"/>
  <c r="N13" i="37"/>
  <c r="M13" i="37"/>
  <c r="O13" i="37"/>
  <c r="B13" i="37"/>
  <c r="B14" i="37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B101" i="37" s="1"/>
  <c r="B102" i="37" s="1"/>
  <c r="U12" i="37"/>
  <c r="O12" i="37"/>
  <c r="T11" i="37"/>
  <c r="S11" i="37"/>
  <c r="N11" i="37"/>
  <c r="M11" i="37"/>
  <c r="B11" i="37"/>
  <c r="T10" i="37"/>
  <c r="S10" i="37"/>
  <c r="N10" i="37"/>
  <c r="M10" i="37"/>
  <c r="H9" i="37"/>
  <c r="I9" i="37" s="1"/>
  <c r="J9" i="37" s="1"/>
  <c r="K9" i="37" s="1"/>
  <c r="L9" i="37" s="1"/>
  <c r="M9" i="37" s="1"/>
  <c r="N9" i="37" s="1"/>
  <c r="O9" i="37" s="1"/>
  <c r="P9" i="37" s="1"/>
  <c r="Q9" i="37" s="1"/>
  <c r="R9" i="37" s="1"/>
  <c r="S9" i="37" s="1"/>
  <c r="T9" i="37" s="1"/>
  <c r="U9" i="37" s="1"/>
  <c r="M95" i="36"/>
  <c r="M96" i="36"/>
  <c r="S63" i="36"/>
  <c r="M90" i="36"/>
  <c r="M102" i="36"/>
  <c r="O102" i="36" s="1"/>
  <c r="M94" i="36"/>
  <c r="O94" i="36" s="1"/>
  <c r="M93" i="36"/>
  <c r="M92" i="36"/>
  <c r="M85" i="36"/>
  <c r="M77" i="36"/>
  <c r="M76" i="36"/>
  <c r="M72" i="36"/>
  <c r="O72" i="36" s="1"/>
  <c r="M67" i="36"/>
  <c r="O67" i="36" s="1"/>
  <c r="M65" i="36"/>
  <c r="M62" i="36"/>
  <c r="O62" i="36" s="1"/>
  <c r="M60" i="36"/>
  <c r="M61" i="36"/>
  <c r="M56" i="36"/>
  <c r="M54" i="36"/>
  <c r="M52" i="36"/>
  <c r="S52" i="36"/>
  <c r="M51" i="36"/>
  <c r="M47" i="36"/>
  <c r="O47" i="36" s="1"/>
  <c r="M44" i="36"/>
  <c r="M43" i="36"/>
  <c r="O43" i="36" s="1"/>
  <c r="M41" i="36"/>
  <c r="M38" i="36"/>
  <c r="M27" i="36"/>
  <c r="M23" i="36"/>
  <c r="M22" i="36"/>
  <c r="M20" i="36"/>
  <c r="S18" i="36"/>
  <c r="U18" i="36"/>
  <c r="M18" i="36"/>
  <c r="O18" i="36"/>
  <c r="M14" i="36"/>
  <c r="M11" i="36"/>
  <c r="M19" i="36"/>
  <c r="S19" i="36"/>
  <c r="M21" i="36"/>
  <c r="U38" i="37"/>
  <c r="N56" i="36"/>
  <c r="N77" i="36"/>
  <c r="N39" i="36"/>
  <c r="R105" i="36"/>
  <c r="Q105" i="36"/>
  <c r="P105" i="36"/>
  <c r="L105" i="36"/>
  <c r="K105" i="36"/>
  <c r="J105" i="36"/>
  <c r="I105" i="36"/>
  <c r="H105" i="36"/>
  <c r="U104" i="36"/>
  <c r="O104" i="36"/>
  <c r="U103" i="36"/>
  <c r="N103" i="36"/>
  <c r="M103" i="36"/>
  <c r="O103" i="36"/>
  <c r="S102" i="36"/>
  <c r="U102" i="36"/>
  <c r="T101" i="36"/>
  <c r="S101" i="36"/>
  <c r="U101" i="36" s="1"/>
  <c r="N101" i="36"/>
  <c r="M101" i="36"/>
  <c r="O101" i="36"/>
  <c r="U100" i="36"/>
  <c r="N100" i="36"/>
  <c r="M100" i="36"/>
  <c r="O100" i="36"/>
  <c r="T99" i="36"/>
  <c r="S99" i="36"/>
  <c r="U99" i="36" s="1"/>
  <c r="N99" i="36"/>
  <c r="M99" i="36"/>
  <c r="O99" i="36"/>
  <c r="S98" i="36"/>
  <c r="U98" i="36"/>
  <c r="N98" i="36"/>
  <c r="M98" i="36"/>
  <c r="O98" i="36" s="1"/>
  <c r="U97" i="36"/>
  <c r="N97" i="36"/>
  <c r="M97" i="36"/>
  <c r="O97" i="36" s="1"/>
  <c r="U96" i="36"/>
  <c r="N96" i="36"/>
  <c r="T95" i="36"/>
  <c r="S95" i="36"/>
  <c r="U95" i="36"/>
  <c r="N95" i="36"/>
  <c r="O95" i="36"/>
  <c r="T94" i="36"/>
  <c r="S94" i="36"/>
  <c r="U94" i="36" s="1"/>
  <c r="N94" i="36"/>
  <c r="S93" i="36"/>
  <c r="U93" i="36" s="1"/>
  <c r="N93" i="36"/>
  <c r="O93" i="36" s="1"/>
  <c r="U92" i="36"/>
  <c r="N92" i="36"/>
  <c r="T91" i="36"/>
  <c r="S91" i="36"/>
  <c r="U91" i="36"/>
  <c r="M91" i="36"/>
  <c r="O91" i="36"/>
  <c r="U90" i="36"/>
  <c r="N90" i="36"/>
  <c r="O90" i="36" s="1"/>
  <c r="T89" i="36"/>
  <c r="S89" i="36"/>
  <c r="U89" i="36"/>
  <c r="N89" i="36"/>
  <c r="M89" i="36"/>
  <c r="O89" i="36" s="1"/>
  <c r="U88" i="36"/>
  <c r="O88" i="36"/>
  <c r="T87" i="36"/>
  <c r="S87" i="36"/>
  <c r="U87" i="36"/>
  <c r="N87" i="36"/>
  <c r="M87" i="36"/>
  <c r="O87" i="36" s="1"/>
  <c r="U86" i="36"/>
  <c r="O86" i="36"/>
  <c r="T85" i="36"/>
  <c r="S85" i="36"/>
  <c r="U85" i="36"/>
  <c r="N85" i="36"/>
  <c r="U84" i="36"/>
  <c r="N84" i="36"/>
  <c r="M84" i="36"/>
  <c r="O84" i="36" s="1"/>
  <c r="T83" i="36"/>
  <c r="S83" i="36"/>
  <c r="U83" i="36"/>
  <c r="N83" i="36"/>
  <c r="M83" i="36"/>
  <c r="O83" i="36" s="1"/>
  <c r="T82" i="36"/>
  <c r="S82" i="36"/>
  <c r="U82" i="36"/>
  <c r="N82" i="36"/>
  <c r="M82" i="36"/>
  <c r="O82" i="36" s="1"/>
  <c r="U81" i="36"/>
  <c r="O81" i="36"/>
  <c r="T80" i="36"/>
  <c r="S80" i="36"/>
  <c r="U80" i="36"/>
  <c r="N80" i="36"/>
  <c r="M80" i="36"/>
  <c r="O80" i="36" s="1"/>
  <c r="T79" i="36"/>
  <c r="S79" i="36"/>
  <c r="U79" i="36"/>
  <c r="N79" i="36"/>
  <c r="M79" i="36"/>
  <c r="O79" i="36" s="1"/>
  <c r="U78" i="36"/>
  <c r="O78" i="36"/>
  <c r="U77" i="36"/>
  <c r="U76" i="36"/>
  <c r="N76" i="36"/>
  <c r="O76" i="36" s="1"/>
  <c r="T75" i="36"/>
  <c r="S75" i="36"/>
  <c r="U75" i="36"/>
  <c r="N75" i="36"/>
  <c r="M75" i="36"/>
  <c r="O75" i="36" s="1"/>
  <c r="U74" i="36"/>
  <c r="O74" i="36"/>
  <c r="T73" i="36"/>
  <c r="S73" i="36"/>
  <c r="U73" i="36"/>
  <c r="N73" i="36"/>
  <c r="M73" i="36"/>
  <c r="O73" i="36" s="1"/>
  <c r="T72" i="36"/>
  <c r="S72" i="36"/>
  <c r="U72" i="36"/>
  <c r="U71" i="36"/>
  <c r="N71" i="36"/>
  <c r="M71" i="36"/>
  <c r="O71" i="36"/>
  <c r="U70" i="36"/>
  <c r="N70" i="36"/>
  <c r="M70" i="36"/>
  <c r="O70" i="36"/>
  <c r="U69" i="36"/>
  <c r="N69" i="36"/>
  <c r="M69" i="36"/>
  <c r="O69" i="36"/>
  <c r="U68" i="36"/>
  <c r="N68" i="36"/>
  <c r="M68" i="36"/>
  <c r="O68" i="36"/>
  <c r="T67" i="36"/>
  <c r="S67" i="36"/>
  <c r="U67" i="36" s="1"/>
  <c r="N67" i="36"/>
  <c r="U66" i="36"/>
  <c r="N66" i="36"/>
  <c r="M66" i="36"/>
  <c r="O66" i="36" s="1"/>
  <c r="U65" i="36"/>
  <c r="N65" i="36"/>
  <c r="O65" i="36"/>
  <c r="U64" i="36"/>
  <c r="N64" i="36"/>
  <c r="M64" i="36"/>
  <c r="O64" i="36"/>
  <c r="T63" i="36"/>
  <c r="O63" i="36"/>
  <c r="T62" i="36"/>
  <c r="S62" i="36"/>
  <c r="U62" i="36" s="1"/>
  <c r="N62" i="36"/>
  <c r="U61" i="36"/>
  <c r="N61" i="36"/>
  <c r="O61" i="36"/>
  <c r="U60" i="36"/>
  <c r="N60" i="36"/>
  <c r="U59" i="36"/>
  <c r="O59" i="36"/>
  <c r="U58" i="36"/>
  <c r="O58" i="36"/>
  <c r="U57" i="36"/>
  <c r="O57" i="36"/>
  <c r="T56" i="36"/>
  <c r="S56" i="36"/>
  <c r="U56" i="36" s="1"/>
  <c r="T55" i="36"/>
  <c r="S55" i="36"/>
  <c r="U55" i="36"/>
  <c r="O55" i="36"/>
  <c r="T54" i="36"/>
  <c r="S54" i="36"/>
  <c r="U54" i="36"/>
  <c r="N54" i="36"/>
  <c r="O54" i="36"/>
  <c r="U53" i="36"/>
  <c r="M53" i="36"/>
  <c r="O53" i="36" s="1"/>
  <c r="T52" i="36"/>
  <c r="N52" i="36"/>
  <c r="U51" i="36"/>
  <c r="N51" i="36"/>
  <c r="O51" i="36"/>
  <c r="T50" i="36"/>
  <c r="S50" i="36"/>
  <c r="U50" i="36" s="1"/>
  <c r="N50" i="36"/>
  <c r="M50" i="36"/>
  <c r="O50" i="36"/>
  <c r="T49" i="36"/>
  <c r="S49" i="36"/>
  <c r="U49" i="36" s="1"/>
  <c r="N49" i="36"/>
  <c r="M49" i="36"/>
  <c r="O49" i="36"/>
  <c r="T48" i="36"/>
  <c r="S48" i="36"/>
  <c r="U48" i="36" s="1"/>
  <c r="N48" i="36"/>
  <c r="M48" i="36"/>
  <c r="O48" i="36"/>
  <c r="U47" i="36"/>
  <c r="N47" i="36"/>
  <c r="U46" i="36"/>
  <c r="N46" i="36"/>
  <c r="M46" i="36"/>
  <c r="O46" i="36" s="1"/>
  <c r="U45" i="36"/>
  <c r="O45" i="36"/>
  <c r="T44" i="36"/>
  <c r="S44" i="36"/>
  <c r="U44" i="36"/>
  <c r="N44" i="36"/>
  <c r="O44" i="36"/>
  <c r="U43" i="36"/>
  <c r="N43" i="36"/>
  <c r="U42" i="36"/>
  <c r="M42" i="36"/>
  <c r="O42" i="36"/>
  <c r="T41" i="36"/>
  <c r="S41" i="36"/>
  <c r="U41" i="36" s="1"/>
  <c r="N41" i="36"/>
  <c r="T40" i="36"/>
  <c r="S40" i="36"/>
  <c r="U40" i="36" s="1"/>
  <c r="O40" i="36"/>
  <c r="U39" i="36"/>
  <c r="M39" i="36"/>
  <c r="O39" i="36" s="1"/>
  <c r="T38" i="36"/>
  <c r="S38" i="36"/>
  <c r="U38" i="36"/>
  <c r="N38" i="36"/>
  <c r="U37" i="36"/>
  <c r="N37" i="36"/>
  <c r="M37" i="36"/>
  <c r="O37" i="36" s="1"/>
  <c r="T36" i="36"/>
  <c r="S36" i="36"/>
  <c r="U36" i="36"/>
  <c r="N36" i="36"/>
  <c r="M36" i="36"/>
  <c r="O36" i="36" s="1"/>
  <c r="T35" i="36"/>
  <c r="S35" i="36"/>
  <c r="U35" i="36"/>
  <c r="N35" i="36"/>
  <c r="M35" i="36"/>
  <c r="O35" i="36" s="1"/>
  <c r="U34" i="36"/>
  <c r="N34" i="36"/>
  <c r="M34" i="36"/>
  <c r="O34" i="36" s="1"/>
  <c r="U33" i="36"/>
  <c r="N33" i="36"/>
  <c r="M33" i="36"/>
  <c r="O33" i="36" s="1"/>
  <c r="U32" i="36"/>
  <c r="O32" i="36"/>
  <c r="T31" i="36"/>
  <c r="S31" i="36"/>
  <c r="U31" i="36"/>
  <c r="O31" i="36"/>
  <c r="T30" i="36"/>
  <c r="S30" i="36"/>
  <c r="U30" i="36"/>
  <c r="N30" i="36"/>
  <c r="M30" i="36"/>
  <c r="O30" i="36" s="1"/>
  <c r="T29" i="36"/>
  <c r="S29" i="36"/>
  <c r="U29" i="36"/>
  <c r="N29" i="36"/>
  <c r="M29" i="36"/>
  <c r="O29" i="36" s="1"/>
  <c r="U28" i="36"/>
  <c r="O28" i="36"/>
  <c r="T27" i="36"/>
  <c r="S27" i="36"/>
  <c r="U27" i="36"/>
  <c r="N27" i="36"/>
  <c r="U26" i="36"/>
  <c r="N26" i="36"/>
  <c r="M26" i="36"/>
  <c r="O26" i="36" s="1"/>
  <c r="U25" i="36"/>
  <c r="N25" i="36"/>
  <c r="M25" i="36"/>
  <c r="O25" i="36" s="1"/>
  <c r="U24" i="36"/>
  <c r="N24" i="36"/>
  <c r="M24" i="36"/>
  <c r="O24" i="36" s="1"/>
  <c r="U23" i="36"/>
  <c r="N23" i="36"/>
  <c r="U22" i="36"/>
  <c r="N22" i="36"/>
  <c r="O22" i="36"/>
  <c r="T21" i="36"/>
  <c r="S21" i="36"/>
  <c r="U21" i="36" s="1"/>
  <c r="N21" i="36"/>
  <c r="T20" i="36"/>
  <c r="S20" i="36"/>
  <c r="U20" i="36" s="1"/>
  <c r="N20" i="36"/>
  <c r="T19" i="36"/>
  <c r="N19" i="36"/>
  <c r="U17" i="36"/>
  <c r="N17" i="36"/>
  <c r="M17" i="36"/>
  <c r="O17" i="36"/>
  <c r="U16" i="36"/>
  <c r="O16" i="36"/>
  <c r="U15" i="36"/>
  <c r="N15" i="36"/>
  <c r="M15" i="36"/>
  <c r="O15" i="36"/>
  <c r="T14" i="36"/>
  <c r="S14" i="36"/>
  <c r="N14" i="36"/>
  <c r="T13" i="36"/>
  <c r="S13" i="36"/>
  <c r="U13" i="36"/>
  <c r="N13" i="36"/>
  <c r="M13" i="36"/>
  <c r="O13" i="36" s="1"/>
  <c r="B13" i="36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31" i="36" s="1"/>
  <c r="B32" i="36" s="1"/>
  <c r="B33" i="36" s="1"/>
  <c r="B34" i="36" s="1"/>
  <c r="B35" i="36" s="1"/>
  <c r="B36" i="36" s="1"/>
  <c r="B37" i="36" s="1"/>
  <c r="B38" i="36" s="1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B51" i="36" s="1"/>
  <c r="B52" i="36" s="1"/>
  <c r="B53" i="36" s="1"/>
  <c r="B54" i="36" s="1"/>
  <c r="B55" i="36" s="1"/>
  <c r="B56" i="36" s="1"/>
  <c r="B57" i="36" s="1"/>
  <c r="B58" i="36" s="1"/>
  <c r="B59" i="36" s="1"/>
  <c r="B60" i="36" s="1"/>
  <c r="B61" i="36" s="1"/>
  <c r="B62" i="36" s="1"/>
  <c r="B63" i="36" s="1"/>
  <c r="B64" i="36" s="1"/>
  <c r="B65" i="36" s="1"/>
  <c r="B66" i="36" s="1"/>
  <c r="B67" i="36" s="1"/>
  <c r="B68" i="36" s="1"/>
  <c r="B69" i="36" s="1"/>
  <c r="B70" i="36" s="1"/>
  <c r="B71" i="36" s="1"/>
  <c r="B72" i="36" s="1"/>
  <c r="B73" i="36" s="1"/>
  <c r="B74" i="36" s="1"/>
  <c r="B75" i="36" s="1"/>
  <c r="B76" i="36" s="1"/>
  <c r="B77" i="36" s="1"/>
  <c r="B78" i="36" s="1"/>
  <c r="B79" i="36" s="1"/>
  <c r="B80" i="36" s="1"/>
  <c r="B81" i="36" s="1"/>
  <c r="B82" i="36" s="1"/>
  <c r="B83" i="36" s="1"/>
  <c r="B84" i="36" s="1"/>
  <c r="B85" i="36" s="1"/>
  <c r="B86" i="36" s="1"/>
  <c r="B87" i="36" s="1"/>
  <c r="B88" i="36" s="1"/>
  <c r="B89" i="36" s="1"/>
  <c r="B90" i="36" s="1"/>
  <c r="B91" i="36" s="1"/>
  <c r="B92" i="36" s="1"/>
  <c r="B93" i="36" s="1"/>
  <c r="B94" i="36" s="1"/>
  <c r="B95" i="36" s="1"/>
  <c r="B96" i="36" s="1"/>
  <c r="B97" i="36" s="1"/>
  <c r="B98" i="36" s="1"/>
  <c r="B99" i="36" s="1"/>
  <c r="B100" i="36" s="1"/>
  <c r="B101" i="36" s="1"/>
  <c r="B102" i="36" s="1"/>
  <c r="U12" i="36"/>
  <c r="O12" i="36"/>
  <c r="T11" i="36"/>
  <c r="S11" i="36"/>
  <c r="U11" i="36"/>
  <c r="N11" i="36"/>
  <c r="O11" i="36"/>
  <c r="B11" i="36"/>
  <c r="T10" i="36"/>
  <c r="S10" i="36"/>
  <c r="N10" i="36"/>
  <c r="M10" i="36"/>
  <c r="O10" i="36"/>
  <c r="H9" i="36"/>
  <c r="I9" i="36"/>
  <c r="J9" i="36" s="1"/>
  <c r="K9" i="36" s="1"/>
  <c r="L9" i="36" s="1"/>
  <c r="M9" i="36" s="1"/>
  <c r="N9" i="36" s="1"/>
  <c r="O9" i="36" s="1"/>
  <c r="P9" i="36" s="1"/>
  <c r="Q9" i="36" s="1"/>
  <c r="R9" i="36" s="1"/>
  <c r="S9" i="36" s="1"/>
  <c r="T9" i="36" s="1"/>
  <c r="U9" i="36" s="1"/>
  <c r="M93" i="35"/>
  <c r="M33" i="35"/>
  <c r="S36" i="35"/>
  <c r="M36" i="35"/>
  <c r="S102" i="35"/>
  <c r="U102" i="35"/>
  <c r="M102" i="35"/>
  <c r="O102" i="35"/>
  <c r="M99" i="35"/>
  <c r="M96" i="35"/>
  <c r="S95" i="35"/>
  <c r="M95" i="35"/>
  <c r="M94" i="35"/>
  <c r="M92" i="35"/>
  <c r="S91" i="35"/>
  <c r="M91" i="35"/>
  <c r="O91" i="35" s="1"/>
  <c r="M85" i="35"/>
  <c r="M84" i="35"/>
  <c r="M79" i="35"/>
  <c r="M77" i="35"/>
  <c r="M73" i="35"/>
  <c r="M72" i="35"/>
  <c r="O72" i="35"/>
  <c r="M71" i="35"/>
  <c r="M70" i="35"/>
  <c r="O70" i="35" s="1"/>
  <c r="M68" i="35"/>
  <c r="M62" i="35"/>
  <c r="M56" i="35"/>
  <c r="O56" i="35" s="1"/>
  <c r="M48" i="35"/>
  <c r="S44" i="35"/>
  <c r="S38" i="35"/>
  <c r="M38" i="35"/>
  <c r="M37" i="35"/>
  <c r="M30" i="35"/>
  <c r="M23" i="35"/>
  <c r="O23" i="35" s="1"/>
  <c r="S20" i="35"/>
  <c r="M11" i="35"/>
  <c r="M21" i="35"/>
  <c r="O85" i="36"/>
  <c r="R105" i="35"/>
  <c r="Q105" i="35"/>
  <c r="P105" i="35"/>
  <c r="L105" i="35"/>
  <c r="K105" i="35"/>
  <c r="J105" i="35"/>
  <c r="I105" i="35"/>
  <c r="H105" i="35"/>
  <c r="U104" i="35"/>
  <c r="O104" i="35"/>
  <c r="U103" i="35"/>
  <c r="N103" i="35"/>
  <c r="M103" i="35"/>
  <c r="O103" i="35"/>
  <c r="T101" i="35"/>
  <c r="S101" i="35"/>
  <c r="U101" i="35" s="1"/>
  <c r="N101" i="35"/>
  <c r="M101" i="35"/>
  <c r="O101" i="35"/>
  <c r="U100" i="35"/>
  <c r="N100" i="35"/>
  <c r="M100" i="35"/>
  <c r="O100" i="35"/>
  <c r="T99" i="35"/>
  <c r="S99" i="35"/>
  <c r="U99" i="35" s="1"/>
  <c r="N99" i="35"/>
  <c r="O99" i="35" s="1"/>
  <c r="S98" i="35"/>
  <c r="U98" i="35" s="1"/>
  <c r="N98" i="35"/>
  <c r="M98" i="35"/>
  <c r="O98" i="35"/>
  <c r="U97" i="35"/>
  <c r="N97" i="35"/>
  <c r="M97" i="35"/>
  <c r="O97" i="35"/>
  <c r="U96" i="35"/>
  <c r="N96" i="35"/>
  <c r="T95" i="35"/>
  <c r="N95" i="35"/>
  <c r="T94" i="35"/>
  <c r="S94" i="35"/>
  <c r="U94" i="35" s="1"/>
  <c r="N94" i="35"/>
  <c r="S93" i="35"/>
  <c r="U93" i="35"/>
  <c r="N93" i="35"/>
  <c r="O93" i="35"/>
  <c r="U92" i="35"/>
  <c r="N92" i="35"/>
  <c r="T91" i="35"/>
  <c r="U90" i="35"/>
  <c r="N90" i="35"/>
  <c r="M90" i="35"/>
  <c r="O90" i="35"/>
  <c r="T89" i="35"/>
  <c r="S89" i="35"/>
  <c r="U89" i="35" s="1"/>
  <c r="N89" i="35"/>
  <c r="M89" i="35"/>
  <c r="U88" i="35"/>
  <c r="O88" i="35"/>
  <c r="T87" i="35"/>
  <c r="S87" i="35"/>
  <c r="U87" i="35"/>
  <c r="N87" i="35"/>
  <c r="M87" i="35"/>
  <c r="O87" i="35" s="1"/>
  <c r="U86" i="35"/>
  <c r="O86" i="35"/>
  <c r="T85" i="35"/>
  <c r="S85" i="35"/>
  <c r="U85" i="35"/>
  <c r="N85" i="35"/>
  <c r="O85" i="35"/>
  <c r="U84" i="35"/>
  <c r="N84" i="35"/>
  <c r="T83" i="35"/>
  <c r="S83" i="35"/>
  <c r="U83" i="35" s="1"/>
  <c r="N83" i="35"/>
  <c r="M83" i="35"/>
  <c r="O83" i="35"/>
  <c r="T82" i="35"/>
  <c r="S82" i="35"/>
  <c r="U82" i="35" s="1"/>
  <c r="N82" i="35"/>
  <c r="M82" i="35"/>
  <c r="O82" i="35"/>
  <c r="U81" i="35"/>
  <c r="O81" i="35"/>
  <c r="T80" i="35"/>
  <c r="S80" i="35"/>
  <c r="U80" i="35" s="1"/>
  <c r="N80" i="35"/>
  <c r="M80" i="35"/>
  <c r="O80" i="35"/>
  <c r="T79" i="35"/>
  <c r="S79" i="35"/>
  <c r="U79" i="35" s="1"/>
  <c r="N79" i="35"/>
  <c r="U78" i="35"/>
  <c r="O78" i="35"/>
  <c r="U77" i="35"/>
  <c r="N77" i="35"/>
  <c r="O77" i="35" s="1"/>
  <c r="U76" i="35"/>
  <c r="N76" i="35"/>
  <c r="M76" i="35"/>
  <c r="T75" i="35"/>
  <c r="S75" i="35"/>
  <c r="U75" i="35" s="1"/>
  <c r="N75" i="35"/>
  <c r="M75" i="35"/>
  <c r="O75" i="35"/>
  <c r="U74" i="35"/>
  <c r="O74" i="35"/>
  <c r="T73" i="35"/>
  <c r="S73" i="35"/>
  <c r="U73" i="35" s="1"/>
  <c r="N73" i="35"/>
  <c r="T72" i="35"/>
  <c r="S72" i="35"/>
  <c r="U71" i="35"/>
  <c r="N71" i="35"/>
  <c r="U70" i="35"/>
  <c r="N70" i="35"/>
  <c r="U69" i="35"/>
  <c r="N69" i="35"/>
  <c r="M69" i="35"/>
  <c r="O69" i="35" s="1"/>
  <c r="U68" i="35"/>
  <c r="N68" i="35"/>
  <c r="T67" i="35"/>
  <c r="S67" i="35"/>
  <c r="U67" i="35"/>
  <c r="N67" i="35"/>
  <c r="M67" i="35"/>
  <c r="O67" i="35" s="1"/>
  <c r="U66" i="35"/>
  <c r="N66" i="35"/>
  <c r="M66" i="35"/>
  <c r="O66" i="35" s="1"/>
  <c r="U65" i="35"/>
  <c r="N65" i="35"/>
  <c r="M65" i="35"/>
  <c r="O65" i="35" s="1"/>
  <c r="U64" i="35"/>
  <c r="N64" i="35"/>
  <c r="M64" i="35"/>
  <c r="O64" i="35" s="1"/>
  <c r="T63" i="35"/>
  <c r="S63" i="35"/>
  <c r="O63" i="35"/>
  <c r="T62" i="35"/>
  <c r="S62" i="35"/>
  <c r="U62" i="35" s="1"/>
  <c r="N62" i="35"/>
  <c r="U61" i="35"/>
  <c r="N61" i="35"/>
  <c r="M61" i="35"/>
  <c r="O61" i="35"/>
  <c r="U60" i="35"/>
  <c r="N60" i="35"/>
  <c r="M60" i="35"/>
  <c r="U59" i="35"/>
  <c r="O59" i="35"/>
  <c r="U58" i="35"/>
  <c r="O58" i="35"/>
  <c r="U57" i="35"/>
  <c r="O57" i="35"/>
  <c r="T56" i="35"/>
  <c r="S56" i="35"/>
  <c r="U56" i="35"/>
  <c r="N56" i="35"/>
  <c r="T55" i="35"/>
  <c r="S55" i="35"/>
  <c r="U55" i="35"/>
  <c r="O55" i="35"/>
  <c r="T54" i="35"/>
  <c r="S54" i="35"/>
  <c r="U54" i="35"/>
  <c r="N54" i="35"/>
  <c r="M54" i="35"/>
  <c r="O54" i="35" s="1"/>
  <c r="U53" i="35"/>
  <c r="M53" i="35"/>
  <c r="O53" i="35"/>
  <c r="T52" i="35"/>
  <c r="S52" i="35"/>
  <c r="U52" i="35" s="1"/>
  <c r="N52" i="35"/>
  <c r="M52" i="35"/>
  <c r="O52" i="35"/>
  <c r="U51" i="35"/>
  <c r="N51" i="35"/>
  <c r="M51" i="35"/>
  <c r="O51" i="35"/>
  <c r="T50" i="35"/>
  <c r="S50" i="35"/>
  <c r="U50" i="35" s="1"/>
  <c r="N50" i="35"/>
  <c r="M50" i="35"/>
  <c r="T49" i="35"/>
  <c r="S49" i="35"/>
  <c r="U49" i="35"/>
  <c r="N49" i="35"/>
  <c r="M49" i="35"/>
  <c r="O49" i="35" s="1"/>
  <c r="T48" i="35"/>
  <c r="S48" i="35"/>
  <c r="U48" i="35"/>
  <c r="N48" i="35"/>
  <c r="U47" i="35"/>
  <c r="N47" i="35"/>
  <c r="M47" i="35"/>
  <c r="O47" i="35" s="1"/>
  <c r="U46" i="35"/>
  <c r="N46" i="35"/>
  <c r="M46" i="35"/>
  <c r="O46" i="35" s="1"/>
  <c r="U45" i="35"/>
  <c r="O45" i="35"/>
  <c r="T44" i="35"/>
  <c r="U44" i="35" s="1"/>
  <c r="N44" i="35"/>
  <c r="M44" i="35"/>
  <c r="O44" i="35"/>
  <c r="U43" i="35"/>
  <c r="N43" i="35"/>
  <c r="M43" i="35"/>
  <c r="O43" i="35"/>
  <c r="U42" i="35"/>
  <c r="M42" i="35"/>
  <c r="O42" i="35" s="1"/>
  <c r="T41" i="35"/>
  <c r="S41" i="35"/>
  <c r="U41" i="35"/>
  <c r="N41" i="35"/>
  <c r="M41" i="35"/>
  <c r="O41" i="35" s="1"/>
  <c r="T40" i="35"/>
  <c r="S40" i="35"/>
  <c r="O40" i="35"/>
  <c r="U39" i="35"/>
  <c r="N39" i="35"/>
  <c r="M39" i="35"/>
  <c r="O39" i="35"/>
  <c r="T38" i="35"/>
  <c r="U38" i="35"/>
  <c r="N38" i="35"/>
  <c r="U37" i="35"/>
  <c r="N37" i="35"/>
  <c r="T36" i="35"/>
  <c r="U36" i="35" s="1"/>
  <c r="N36" i="35"/>
  <c r="T35" i="35"/>
  <c r="S35" i="35"/>
  <c r="U35" i="35" s="1"/>
  <c r="N35" i="35"/>
  <c r="M35" i="35"/>
  <c r="O35" i="35"/>
  <c r="U34" i="35"/>
  <c r="N34" i="35"/>
  <c r="M34" i="35"/>
  <c r="O34" i="35"/>
  <c r="U33" i="35"/>
  <c r="N33" i="35"/>
  <c r="U32" i="35"/>
  <c r="O32" i="35"/>
  <c r="T31" i="35"/>
  <c r="S31" i="35"/>
  <c r="U31" i="35" s="1"/>
  <c r="O31" i="35"/>
  <c r="T30" i="35"/>
  <c r="S30" i="35"/>
  <c r="U30" i="35" s="1"/>
  <c r="N30" i="35"/>
  <c r="T29" i="35"/>
  <c r="S29" i="35"/>
  <c r="U29" i="35" s="1"/>
  <c r="N29" i="35"/>
  <c r="M29" i="35"/>
  <c r="O29" i="35"/>
  <c r="U28" i="35"/>
  <c r="O28" i="35"/>
  <c r="T27" i="35"/>
  <c r="S27" i="35"/>
  <c r="U27" i="35" s="1"/>
  <c r="N27" i="35"/>
  <c r="M27" i="35"/>
  <c r="O27" i="35"/>
  <c r="U26" i="35"/>
  <c r="N26" i="35"/>
  <c r="M26" i="35"/>
  <c r="O26" i="35"/>
  <c r="U25" i="35"/>
  <c r="N25" i="35"/>
  <c r="M25" i="35"/>
  <c r="O25" i="35"/>
  <c r="U24" i="35"/>
  <c r="N24" i="35"/>
  <c r="M24" i="35"/>
  <c r="O24" i="35"/>
  <c r="U23" i="35"/>
  <c r="N23" i="35"/>
  <c r="U22" i="35"/>
  <c r="N22" i="35"/>
  <c r="M22" i="35"/>
  <c r="O22" i="35" s="1"/>
  <c r="T21" i="35"/>
  <c r="S21" i="35"/>
  <c r="U21" i="35"/>
  <c r="N21" i="35"/>
  <c r="T20" i="35"/>
  <c r="N20" i="35"/>
  <c r="M20" i="35"/>
  <c r="O20" i="35" s="1"/>
  <c r="T19" i="35"/>
  <c r="S19" i="35"/>
  <c r="U19" i="35"/>
  <c r="N19" i="35"/>
  <c r="M19" i="35"/>
  <c r="U18" i="35"/>
  <c r="O18" i="35"/>
  <c r="U17" i="35"/>
  <c r="N17" i="35"/>
  <c r="M17" i="35"/>
  <c r="O17" i="35"/>
  <c r="U16" i="35"/>
  <c r="O16" i="35"/>
  <c r="U15" i="35"/>
  <c r="N15" i="35"/>
  <c r="M15" i="35"/>
  <c r="T14" i="35"/>
  <c r="S14" i="35"/>
  <c r="U14" i="35"/>
  <c r="N14" i="35"/>
  <c r="M14" i="35"/>
  <c r="O14" i="35" s="1"/>
  <c r="T13" i="35"/>
  <c r="S13" i="35"/>
  <c r="U13" i="35"/>
  <c r="N13" i="35"/>
  <c r="M13" i="35"/>
  <c r="B13" i="35"/>
  <c r="B14" i="35"/>
  <c r="B15" i="35" s="1"/>
  <c r="B16" i="35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U12" i="35"/>
  <c r="O12" i="35"/>
  <c r="T11" i="35"/>
  <c r="S11" i="35"/>
  <c r="U11" i="35" s="1"/>
  <c r="N11" i="35"/>
  <c r="N105" i="35" s="1"/>
  <c r="B11" i="35"/>
  <c r="T10" i="35"/>
  <c r="S10" i="35"/>
  <c r="N10" i="35"/>
  <c r="M10" i="35"/>
  <c r="H9" i="35"/>
  <c r="I9" i="35" s="1"/>
  <c r="J9" i="35"/>
  <c r="K9" i="35" s="1"/>
  <c r="L9" i="35" s="1"/>
  <c r="M9" i="35" s="1"/>
  <c r="N9" i="35" s="1"/>
  <c r="O9" i="35" s="1"/>
  <c r="P9" i="35" s="1"/>
  <c r="Q9" i="35" s="1"/>
  <c r="R9" i="35" s="1"/>
  <c r="S9" i="35" s="1"/>
  <c r="T9" i="35" s="1"/>
  <c r="U9" i="35" s="1"/>
  <c r="R105" i="34"/>
  <c r="Q105" i="34"/>
  <c r="P105" i="34"/>
  <c r="L105" i="34"/>
  <c r="K105" i="34"/>
  <c r="J105" i="34"/>
  <c r="I105" i="34"/>
  <c r="H105" i="34"/>
  <c r="U104" i="34"/>
  <c r="O104" i="34"/>
  <c r="U103" i="34"/>
  <c r="N103" i="34"/>
  <c r="M103" i="34"/>
  <c r="O103" i="34" s="1"/>
  <c r="U102" i="34"/>
  <c r="M102" i="34"/>
  <c r="O102" i="34"/>
  <c r="T101" i="34"/>
  <c r="S101" i="34"/>
  <c r="U101" i="34" s="1"/>
  <c r="N101" i="34"/>
  <c r="M101" i="34"/>
  <c r="O101" i="34"/>
  <c r="U100" i="34"/>
  <c r="N100" i="34"/>
  <c r="M100" i="34"/>
  <c r="O100" i="34"/>
  <c r="T99" i="34"/>
  <c r="S99" i="34"/>
  <c r="U99" i="34" s="1"/>
  <c r="N99" i="34"/>
  <c r="M99" i="34"/>
  <c r="O99" i="34"/>
  <c r="S98" i="34"/>
  <c r="U98" i="34"/>
  <c r="N98" i="34"/>
  <c r="M98" i="34"/>
  <c r="O98" i="34" s="1"/>
  <c r="U97" i="34"/>
  <c r="N97" i="34"/>
  <c r="M97" i="34"/>
  <c r="O97" i="34" s="1"/>
  <c r="U96" i="34"/>
  <c r="N96" i="34"/>
  <c r="M96" i="34"/>
  <c r="O96" i="34" s="1"/>
  <c r="T95" i="34"/>
  <c r="S95" i="34"/>
  <c r="U95" i="34"/>
  <c r="N95" i="34"/>
  <c r="M95" i="34"/>
  <c r="O95" i="34" s="1"/>
  <c r="T94" i="34"/>
  <c r="S94" i="34"/>
  <c r="U94" i="34"/>
  <c r="N94" i="34"/>
  <c r="M94" i="34"/>
  <c r="O94" i="34" s="1"/>
  <c r="S93" i="34"/>
  <c r="U93" i="34" s="1"/>
  <c r="N93" i="34"/>
  <c r="M93" i="34"/>
  <c r="O93" i="34"/>
  <c r="U92" i="34"/>
  <c r="N92" i="34"/>
  <c r="M92" i="34"/>
  <c r="O92" i="34"/>
  <c r="T91" i="34"/>
  <c r="S91" i="34"/>
  <c r="U91" i="34" s="1"/>
  <c r="O91" i="34"/>
  <c r="U90" i="34"/>
  <c r="N90" i="34"/>
  <c r="M90" i="34"/>
  <c r="O90" i="34"/>
  <c r="T89" i="34"/>
  <c r="S89" i="34"/>
  <c r="U89" i="34" s="1"/>
  <c r="N89" i="34"/>
  <c r="M89" i="34"/>
  <c r="O89" i="34"/>
  <c r="U88" i="34"/>
  <c r="O88" i="34"/>
  <c r="T87" i="34"/>
  <c r="S87" i="34"/>
  <c r="U87" i="34" s="1"/>
  <c r="N87" i="34"/>
  <c r="M87" i="34"/>
  <c r="O87" i="34"/>
  <c r="U86" i="34"/>
  <c r="O86" i="34"/>
  <c r="T85" i="34"/>
  <c r="S85" i="34"/>
  <c r="U85" i="34" s="1"/>
  <c r="N85" i="34"/>
  <c r="M85" i="34"/>
  <c r="O85" i="34"/>
  <c r="U84" i="34"/>
  <c r="N84" i="34"/>
  <c r="M84" i="34"/>
  <c r="O84" i="34"/>
  <c r="T83" i="34"/>
  <c r="S83" i="34"/>
  <c r="U83" i="34" s="1"/>
  <c r="N83" i="34"/>
  <c r="M83" i="34"/>
  <c r="O83" i="34"/>
  <c r="T82" i="34"/>
  <c r="S82" i="34"/>
  <c r="U82" i="34" s="1"/>
  <c r="N82" i="34"/>
  <c r="M82" i="34"/>
  <c r="O82" i="34"/>
  <c r="U81" i="34"/>
  <c r="O81" i="34"/>
  <c r="T80" i="34"/>
  <c r="S80" i="34"/>
  <c r="U80" i="34" s="1"/>
  <c r="N80" i="34"/>
  <c r="M80" i="34"/>
  <c r="O80" i="34"/>
  <c r="T79" i="34"/>
  <c r="S79" i="34"/>
  <c r="U79" i="34" s="1"/>
  <c r="N79" i="34"/>
  <c r="M79" i="34"/>
  <c r="O79" i="34"/>
  <c r="U78" i="34"/>
  <c r="O78" i="34"/>
  <c r="U77" i="34"/>
  <c r="N77" i="34"/>
  <c r="M77" i="34"/>
  <c r="O77" i="34"/>
  <c r="U76" i="34"/>
  <c r="N76" i="34"/>
  <c r="M76" i="34"/>
  <c r="O76" i="34"/>
  <c r="T75" i="34"/>
  <c r="S75" i="34"/>
  <c r="U75" i="34" s="1"/>
  <c r="N75" i="34"/>
  <c r="M75" i="34"/>
  <c r="O75" i="34"/>
  <c r="U74" i="34"/>
  <c r="O74" i="34"/>
  <c r="T73" i="34"/>
  <c r="S73" i="34"/>
  <c r="U73" i="34" s="1"/>
  <c r="N73" i="34"/>
  <c r="M73" i="34"/>
  <c r="O73" i="34"/>
  <c r="T72" i="34"/>
  <c r="S72" i="34"/>
  <c r="U72" i="34" s="1"/>
  <c r="O72" i="34"/>
  <c r="U71" i="34"/>
  <c r="N71" i="34"/>
  <c r="M71" i="34"/>
  <c r="O71" i="34"/>
  <c r="U70" i="34"/>
  <c r="N70" i="34"/>
  <c r="M70" i="34"/>
  <c r="O70" i="34"/>
  <c r="U69" i="34"/>
  <c r="N69" i="34"/>
  <c r="M69" i="34"/>
  <c r="O69" i="34"/>
  <c r="U68" i="34"/>
  <c r="N68" i="34"/>
  <c r="M68" i="34"/>
  <c r="O68" i="34"/>
  <c r="T67" i="34"/>
  <c r="S67" i="34"/>
  <c r="U67" i="34" s="1"/>
  <c r="N67" i="34"/>
  <c r="M67" i="34"/>
  <c r="O67" i="34"/>
  <c r="U66" i="34"/>
  <c r="N66" i="34"/>
  <c r="M66" i="34"/>
  <c r="O66" i="34"/>
  <c r="U65" i="34"/>
  <c r="N65" i="34"/>
  <c r="M65" i="34"/>
  <c r="O65" i="34"/>
  <c r="U64" i="34"/>
  <c r="N64" i="34"/>
  <c r="M64" i="34"/>
  <c r="O64" i="34"/>
  <c r="T63" i="34"/>
  <c r="S63" i="34"/>
  <c r="U63" i="34" s="1"/>
  <c r="O63" i="34"/>
  <c r="T62" i="34"/>
  <c r="S62" i="34"/>
  <c r="U62" i="34" s="1"/>
  <c r="N62" i="34"/>
  <c r="M62" i="34"/>
  <c r="O62" i="34"/>
  <c r="U61" i="34"/>
  <c r="N61" i="34"/>
  <c r="M61" i="34"/>
  <c r="O61" i="34"/>
  <c r="U60" i="34"/>
  <c r="N60" i="34"/>
  <c r="M60" i="34"/>
  <c r="O60" i="34"/>
  <c r="U59" i="34"/>
  <c r="O59" i="34"/>
  <c r="U58" i="34"/>
  <c r="O58" i="34"/>
  <c r="U57" i="34"/>
  <c r="O57" i="34"/>
  <c r="T56" i="34"/>
  <c r="S56" i="34"/>
  <c r="U56" i="34" s="1"/>
  <c r="N56" i="34"/>
  <c r="M56" i="34"/>
  <c r="O56" i="34"/>
  <c r="T55" i="34"/>
  <c r="S55" i="34"/>
  <c r="U55" i="34" s="1"/>
  <c r="O55" i="34"/>
  <c r="T54" i="34"/>
  <c r="S54" i="34"/>
  <c r="U54" i="34" s="1"/>
  <c r="N54" i="34"/>
  <c r="M54" i="34"/>
  <c r="O54" i="34"/>
  <c r="U53" i="34"/>
  <c r="M53" i="34"/>
  <c r="O53" i="34" s="1"/>
  <c r="T52" i="34"/>
  <c r="S52" i="34"/>
  <c r="U52" i="34"/>
  <c r="N52" i="34"/>
  <c r="M52" i="34"/>
  <c r="O52" i="34" s="1"/>
  <c r="U51" i="34"/>
  <c r="N51" i="34"/>
  <c r="M51" i="34"/>
  <c r="O51" i="34" s="1"/>
  <c r="T50" i="34"/>
  <c r="S50" i="34"/>
  <c r="U50" i="34"/>
  <c r="N50" i="34"/>
  <c r="M50" i="34"/>
  <c r="O50" i="34" s="1"/>
  <c r="T49" i="34"/>
  <c r="S49" i="34"/>
  <c r="U49" i="34"/>
  <c r="N49" i="34"/>
  <c r="M49" i="34"/>
  <c r="O49" i="34" s="1"/>
  <c r="T48" i="34"/>
  <c r="S48" i="34"/>
  <c r="U48" i="34"/>
  <c r="N48" i="34"/>
  <c r="M48" i="34"/>
  <c r="O48" i="34" s="1"/>
  <c r="U47" i="34"/>
  <c r="N47" i="34"/>
  <c r="M47" i="34"/>
  <c r="O47" i="34" s="1"/>
  <c r="U46" i="34"/>
  <c r="N46" i="34"/>
  <c r="M46" i="34"/>
  <c r="O46" i="34" s="1"/>
  <c r="U45" i="34"/>
  <c r="O45" i="34"/>
  <c r="T44" i="34"/>
  <c r="S44" i="34"/>
  <c r="U44" i="34"/>
  <c r="N44" i="34"/>
  <c r="M44" i="34"/>
  <c r="O44" i="34" s="1"/>
  <c r="U43" i="34"/>
  <c r="N43" i="34"/>
  <c r="M43" i="34"/>
  <c r="O43" i="34" s="1"/>
  <c r="U42" i="34"/>
  <c r="M42" i="34"/>
  <c r="O42" i="34"/>
  <c r="T41" i="34"/>
  <c r="S41" i="34"/>
  <c r="U41" i="34" s="1"/>
  <c r="N41" i="34"/>
  <c r="M41" i="34"/>
  <c r="O41" i="34"/>
  <c r="T40" i="34"/>
  <c r="S40" i="34"/>
  <c r="U40" i="34" s="1"/>
  <c r="O40" i="34"/>
  <c r="U39" i="34"/>
  <c r="N39" i="34"/>
  <c r="M39" i="34"/>
  <c r="O39" i="34"/>
  <c r="T38" i="34"/>
  <c r="S38" i="34"/>
  <c r="U38" i="34" s="1"/>
  <c r="N38" i="34"/>
  <c r="M38" i="34"/>
  <c r="O38" i="34"/>
  <c r="U37" i="34"/>
  <c r="N37" i="34"/>
  <c r="M37" i="34"/>
  <c r="O37" i="34"/>
  <c r="T36" i="34"/>
  <c r="S36" i="34"/>
  <c r="U36" i="34" s="1"/>
  <c r="N36" i="34"/>
  <c r="M36" i="34"/>
  <c r="O36" i="34"/>
  <c r="T35" i="34"/>
  <c r="S35" i="34"/>
  <c r="U35" i="34" s="1"/>
  <c r="N35" i="34"/>
  <c r="M35" i="34"/>
  <c r="O35" i="34"/>
  <c r="U34" i="34"/>
  <c r="N34" i="34"/>
  <c r="M34" i="34"/>
  <c r="U33" i="34"/>
  <c r="N33" i="34"/>
  <c r="M33" i="34"/>
  <c r="O33" i="34" s="1"/>
  <c r="U32" i="34"/>
  <c r="O32" i="34"/>
  <c r="T31" i="34"/>
  <c r="S31" i="34"/>
  <c r="U31" i="34"/>
  <c r="O31" i="34"/>
  <c r="T30" i="34"/>
  <c r="S30" i="34"/>
  <c r="U30" i="34"/>
  <c r="N30" i="34"/>
  <c r="M30" i="34"/>
  <c r="O30" i="34" s="1"/>
  <c r="T29" i="34"/>
  <c r="S29" i="34"/>
  <c r="U29" i="34"/>
  <c r="N29" i="34"/>
  <c r="M29" i="34"/>
  <c r="O29" i="34" s="1"/>
  <c r="U28" i="34"/>
  <c r="O28" i="34"/>
  <c r="T27" i="34"/>
  <c r="S27" i="34"/>
  <c r="U27" i="34"/>
  <c r="N27" i="34"/>
  <c r="M27" i="34"/>
  <c r="O27" i="34" s="1"/>
  <c r="U26" i="34"/>
  <c r="N26" i="34"/>
  <c r="M26" i="34"/>
  <c r="O26" i="34" s="1"/>
  <c r="U25" i="34"/>
  <c r="N25" i="34"/>
  <c r="M25" i="34"/>
  <c r="O25" i="34" s="1"/>
  <c r="U24" i="34"/>
  <c r="N24" i="34"/>
  <c r="M24" i="34"/>
  <c r="O24" i="34" s="1"/>
  <c r="U23" i="34"/>
  <c r="N23" i="34"/>
  <c r="M23" i="34"/>
  <c r="O23" i="34" s="1"/>
  <c r="U22" i="34"/>
  <c r="N22" i="34"/>
  <c r="M22" i="34"/>
  <c r="O22" i="34" s="1"/>
  <c r="T21" i="34"/>
  <c r="S21" i="34"/>
  <c r="U21" i="34"/>
  <c r="N21" i="34"/>
  <c r="M21" i="34"/>
  <c r="O21" i="34" s="1"/>
  <c r="T20" i="34"/>
  <c r="S20" i="34"/>
  <c r="N20" i="34"/>
  <c r="M20" i="34"/>
  <c r="O20" i="34"/>
  <c r="T19" i="34"/>
  <c r="S19" i="34"/>
  <c r="U19" i="34" s="1"/>
  <c r="N19" i="34"/>
  <c r="M19" i="34"/>
  <c r="O19" i="34"/>
  <c r="U18" i="34"/>
  <c r="O18" i="34"/>
  <c r="U17" i="34"/>
  <c r="N17" i="34"/>
  <c r="M17" i="34"/>
  <c r="U16" i="34"/>
  <c r="O16" i="34"/>
  <c r="U15" i="34"/>
  <c r="N15" i="34"/>
  <c r="M15" i="34"/>
  <c r="O15" i="34" s="1"/>
  <c r="T14" i="34"/>
  <c r="S14" i="34"/>
  <c r="U14" i="34"/>
  <c r="N14" i="34"/>
  <c r="M14" i="34"/>
  <c r="O14" i="34" s="1"/>
  <c r="T13" i="34"/>
  <c r="S13" i="34"/>
  <c r="U13" i="34"/>
  <c r="N13" i="34"/>
  <c r="M13" i="34"/>
  <c r="O13" i="34" s="1"/>
  <c r="B13" i="34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U12" i="34"/>
  <c r="O12" i="34"/>
  <c r="T11" i="34"/>
  <c r="S11" i="34"/>
  <c r="N11" i="34"/>
  <c r="M11" i="34"/>
  <c r="O11" i="34"/>
  <c r="B11" i="34"/>
  <c r="T10" i="34"/>
  <c r="T105" i="34" s="1"/>
  <c r="S10" i="34"/>
  <c r="N10" i="34"/>
  <c r="N105" i="34"/>
  <c r="M10" i="34"/>
  <c r="H9" i="34"/>
  <c r="I9" i="34" s="1"/>
  <c r="J9" i="34" s="1"/>
  <c r="K9" i="34" s="1"/>
  <c r="L9" i="34" s="1"/>
  <c r="M9" i="34" s="1"/>
  <c r="N9" i="34" s="1"/>
  <c r="O9" i="34" s="1"/>
  <c r="P9" i="34" s="1"/>
  <c r="Q9" i="34" s="1"/>
  <c r="R9" i="34" s="1"/>
  <c r="S9" i="34" s="1"/>
  <c r="T9" i="34" s="1"/>
  <c r="U9" i="34" s="1"/>
  <c r="T101" i="33"/>
  <c r="S101" i="33"/>
  <c r="U101" i="33"/>
  <c r="S63" i="33"/>
  <c r="M102" i="33"/>
  <c r="O102" i="33" s="1"/>
  <c r="M101" i="33"/>
  <c r="S98" i="33"/>
  <c r="U98" i="33"/>
  <c r="M97" i="33"/>
  <c r="S94" i="33"/>
  <c r="S93" i="33"/>
  <c r="U93" i="33"/>
  <c r="M93" i="33"/>
  <c r="M92" i="33"/>
  <c r="M90" i="33"/>
  <c r="M89" i="33"/>
  <c r="M85" i="33"/>
  <c r="M82" i="33"/>
  <c r="M80" i="33"/>
  <c r="M76" i="33"/>
  <c r="O76" i="33" s="1"/>
  <c r="M71" i="33"/>
  <c r="M70" i="33"/>
  <c r="M69" i="33"/>
  <c r="M65" i="33"/>
  <c r="M64" i="33"/>
  <c r="M60" i="33"/>
  <c r="M56" i="33"/>
  <c r="M54" i="33"/>
  <c r="M53" i="33"/>
  <c r="O53" i="33" s="1"/>
  <c r="S49" i="33"/>
  <c r="M49" i="33"/>
  <c r="M46" i="33"/>
  <c r="M44" i="33"/>
  <c r="M42" i="33"/>
  <c r="O42" i="33" s="1"/>
  <c r="M39" i="33"/>
  <c r="M38" i="33"/>
  <c r="M37" i="33"/>
  <c r="M30" i="33"/>
  <c r="S30" i="33"/>
  <c r="M15" i="33"/>
  <c r="M14" i="33"/>
  <c r="O14" i="33" s="1"/>
  <c r="M29" i="33"/>
  <c r="M22" i="33"/>
  <c r="O22" i="33" s="1"/>
  <c r="S21" i="33"/>
  <c r="M21" i="33"/>
  <c r="M20" i="33"/>
  <c r="M19" i="33"/>
  <c r="S10" i="33"/>
  <c r="M10" i="33"/>
  <c r="U72" i="35"/>
  <c r="O76" i="35"/>
  <c r="U40" i="35"/>
  <c r="U63" i="35"/>
  <c r="O89" i="35"/>
  <c r="O13" i="35"/>
  <c r="O15" i="35"/>
  <c r="O33" i="35"/>
  <c r="O36" i="35"/>
  <c r="O37" i="35"/>
  <c r="O48" i="35"/>
  <c r="O50" i="35"/>
  <c r="O60" i="35"/>
  <c r="O68" i="35"/>
  <c r="U91" i="35"/>
  <c r="O95" i="35"/>
  <c r="R105" i="33"/>
  <c r="Q105" i="33"/>
  <c r="P105" i="33"/>
  <c r="L105" i="33"/>
  <c r="K105" i="33"/>
  <c r="J105" i="33"/>
  <c r="I105" i="33"/>
  <c r="H105" i="33"/>
  <c r="U104" i="33"/>
  <c r="O104" i="33"/>
  <c r="U103" i="33"/>
  <c r="N103" i="33"/>
  <c r="M103" i="33"/>
  <c r="O103" i="33"/>
  <c r="U102" i="33"/>
  <c r="N101" i="33"/>
  <c r="U100" i="33"/>
  <c r="N100" i="33"/>
  <c r="M100" i="33"/>
  <c r="O100" i="33"/>
  <c r="T99" i="33"/>
  <c r="S99" i="33"/>
  <c r="U99" i="33" s="1"/>
  <c r="N99" i="33"/>
  <c r="M99" i="33"/>
  <c r="O99" i="33"/>
  <c r="N98" i="33"/>
  <c r="M98" i="33"/>
  <c r="O98" i="33" s="1"/>
  <c r="U97" i="33"/>
  <c r="N97" i="33"/>
  <c r="O97" i="33"/>
  <c r="U96" i="33"/>
  <c r="N96" i="33"/>
  <c r="M96" i="33"/>
  <c r="O96" i="33"/>
  <c r="T95" i="33"/>
  <c r="S95" i="33"/>
  <c r="U95" i="33" s="1"/>
  <c r="N95" i="33"/>
  <c r="M95" i="33"/>
  <c r="O95" i="33"/>
  <c r="T94" i="33"/>
  <c r="N94" i="33"/>
  <c r="M94" i="33"/>
  <c r="O94" i="33"/>
  <c r="N93" i="33"/>
  <c r="O93" i="33"/>
  <c r="U92" i="33"/>
  <c r="N92" i="33"/>
  <c r="T91" i="33"/>
  <c r="S91" i="33"/>
  <c r="U91" i="33" s="1"/>
  <c r="O91" i="33"/>
  <c r="U90" i="33"/>
  <c r="N90" i="33"/>
  <c r="T89" i="33"/>
  <c r="S89" i="33"/>
  <c r="U89" i="33" s="1"/>
  <c r="N89" i="33"/>
  <c r="U88" i="33"/>
  <c r="O88" i="33"/>
  <c r="T87" i="33"/>
  <c r="S87" i="33"/>
  <c r="U87" i="33" s="1"/>
  <c r="N87" i="33"/>
  <c r="M87" i="33"/>
  <c r="O87" i="33"/>
  <c r="U86" i="33"/>
  <c r="O86" i="33"/>
  <c r="T85" i="33"/>
  <c r="S85" i="33"/>
  <c r="U85" i="33" s="1"/>
  <c r="N85" i="33"/>
  <c r="O85" i="33" s="1"/>
  <c r="U84" i="33"/>
  <c r="N84" i="33"/>
  <c r="M84" i="33"/>
  <c r="O84" i="33" s="1"/>
  <c r="T83" i="33"/>
  <c r="S83" i="33"/>
  <c r="U83" i="33"/>
  <c r="N83" i="33"/>
  <c r="M83" i="33"/>
  <c r="O83" i="33" s="1"/>
  <c r="T82" i="33"/>
  <c r="S82" i="33"/>
  <c r="U82" i="33"/>
  <c r="N82" i="33"/>
  <c r="U81" i="33"/>
  <c r="O81" i="33"/>
  <c r="T80" i="33"/>
  <c r="S80" i="33"/>
  <c r="U80" i="33"/>
  <c r="N80" i="33"/>
  <c r="O80" i="33"/>
  <c r="T79" i="33"/>
  <c r="S79" i="33"/>
  <c r="U79" i="33" s="1"/>
  <c r="N79" i="33"/>
  <c r="M79" i="33"/>
  <c r="O79" i="33"/>
  <c r="U78" i="33"/>
  <c r="O78" i="33"/>
  <c r="U77" i="33"/>
  <c r="N77" i="33"/>
  <c r="M77" i="33"/>
  <c r="O77" i="33"/>
  <c r="U76" i="33"/>
  <c r="N76" i="33"/>
  <c r="T75" i="33"/>
  <c r="S75" i="33"/>
  <c r="U75" i="33"/>
  <c r="N75" i="33"/>
  <c r="M75" i="33"/>
  <c r="O75" i="33" s="1"/>
  <c r="U74" i="33"/>
  <c r="O74" i="33"/>
  <c r="T73" i="33"/>
  <c r="S73" i="33"/>
  <c r="U73" i="33"/>
  <c r="N73" i="33"/>
  <c r="M73" i="33"/>
  <c r="O73" i="33" s="1"/>
  <c r="T72" i="33"/>
  <c r="S72" i="33"/>
  <c r="U72" i="33"/>
  <c r="O72" i="33"/>
  <c r="U71" i="33"/>
  <c r="N71" i="33"/>
  <c r="O71" i="33"/>
  <c r="U70" i="33"/>
  <c r="N70" i="33"/>
  <c r="U69" i="33"/>
  <c r="N69" i="33"/>
  <c r="O69" i="33" s="1"/>
  <c r="U68" i="33"/>
  <c r="N68" i="33"/>
  <c r="M68" i="33"/>
  <c r="O68" i="33"/>
  <c r="T67" i="33"/>
  <c r="S67" i="33"/>
  <c r="U67" i="33" s="1"/>
  <c r="N67" i="33"/>
  <c r="M67" i="33"/>
  <c r="O67" i="33"/>
  <c r="U66" i="33"/>
  <c r="N66" i="33"/>
  <c r="M66" i="33"/>
  <c r="O66" i="33"/>
  <c r="U65" i="33"/>
  <c r="N65" i="33"/>
  <c r="O65" i="33" s="1"/>
  <c r="U64" i="33"/>
  <c r="N64" i="33"/>
  <c r="T63" i="33"/>
  <c r="U63" i="33" s="1"/>
  <c r="O63" i="33"/>
  <c r="T62" i="33"/>
  <c r="S62" i="33"/>
  <c r="U62" i="33" s="1"/>
  <c r="N62" i="33"/>
  <c r="M62" i="33"/>
  <c r="O62" i="33"/>
  <c r="U61" i="33"/>
  <c r="N61" i="33"/>
  <c r="M61" i="33"/>
  <c r="O61" i="33"/>
  <c r="U60" i="33"/>
  <c r="N60" i="33"/>
  <c r="U59" i="33"/>
  <c r="O59" i="33"/>
  <c r="U58" i="33"/>
  <c r="O58" i="33"/>
  <c r="U57" i="33"/>
  <c r="O57" i="33"/>
  <c r="T56" i="33"/>
  <c r="S56" i="33"/>
  <c r="U56" i="33" s="1"/>
  <c r="N56" i="33"/>
  <c r="T55" i="33"/>
  <c r="S55" i="33"/>
  <c r="U55" i="33" s="1"/>
  <c r="O55" i="33"/>
  <c r="T54" i="33"/>
  <c r="S54" i="33"/>
  <c r="U54" i="33" s="1"/>
  <c r="N54" i="33"/>
  <c r="U53" i="33"/>
  <c r="T52" i="33"/>
  <c r="S52" i="33"/>
  <c r="U52" i="33"/>
  <c r="N52" i="33"/>
  <c r="M52" i="33"/>
  <c r="O52" i="33" s="1"/>
  <c r="U51" i="33"/>
  <c r="N51" i="33"/>
  <c r="M51" i="33"/>
  <c r="O51" i="33" s="1"/>
  <c r="T50" i="33"/>
  <c r="S50" i="33"/>
  <c r="U50" i="33"/>
  <c r="N50" i="33"/>
  <c r="M50" i="33"/>
  <c r="O50" i="33" s="1"/>
  <c r="T49" i="33"/>
  <c r="N49" i="33"/>
  <c r="O49" i="33"/>
  <c r="T48" i="33"/>
  <c r="S48" i="33"/>
  <c r="U48" i="33" s="1"/>
  <c r="N48" i="33"/>
  <c r="M48" i="33"/>
  <c r="O48" i="33"/>
  <c r="U47" i="33"/>
  <c r="N47" i="33"/>
  <c r="M47" i="33"/>
  <c r="O47" i="33"/>
  <c r="U46" i="33"/>
  <c r="N46" i="33"/>
  <c r="U45" i="33"/>
  <c r="O45" i="33"/>
  <c r="T44" i="33"/>
  <c r="S44" i="33"/>
  <c r="U44" i="33" s="1"/>
  <c r="N44" i="33"/>
  <c r="U43" i="33"/>
  <c r="N43" i="33"/>
  <c r="M43" i="33"/>
  <c r="O43" i="33"/>
  <c r="U42" i="33"/>
  <c r="T41" i="33"/>
  <c r="S41" i="33"/>
  <c r="U41" i="33"/>
  <c r="N41" i="33"/>
  <c r="M41" i="33"/>
  <c r="O41" i="33" s="1"/>
  <c r="T40" i="33"/>
  <c r="S40" i="33"/>
  <c r="U40" i="33"/>
  <c r="O40" i="33"/>
  <c r="U39" i="33"/>
  <c r="N39" i="33"/>
  <c r="T38" i="33"/>
  <c r="S38" i="33"/>
  <c r="U38" i="33"/>
  <c r="N38" i="33"/>
  <c r="U37" i="33"/>
  <c r="N37" i="33"/>
  <c r="O37" i="33"/>
  <c r="T36" i="33"/>
  <c r="S36" i="33"/>
  <c r="U36" i="33" s="1"/>
  <c r="N36" i="33"/>
  <c r="M36" i="33"/>
  <c r="O36" i="33"/>
  <c r="T35" i="33"/>
  <c r="S35" i="33"/>
  <c r="N35" i="33"/>
  <c r="M35" i="33"/>
  <c r="O35" i="33" s="1"/>
  <c r="U34" i="33"/>
  <c r="N34" i="33"/>
  <c r="M34" i="33"/>
  <c r="O34" i="33" s="1"/>
  <c r="U33" i="33"/>
  <c r="N33" i="33"/>
  <c r="M33" i="33"/>
  <c r="O33" i="33" s="1"/>
  <c r="U32" i="33"/>
  <c r="O32" i="33"/>
  <c r="T31" i="33"/>
  <c r="S31" i="33"/>
  <c r="U31" i="33" s="1"/>
  <c r="O31" i="33"/>
  <c r="T30" i="33"/>
  <c r="N30" i="33"/>
  <c r="O30" i="33"/>
  <c r="T29" i="33"/>
  <c r="S29" i="33"/>
  <c r="U29" i="33" s="1"/>
  <c r="N29" i="33"/>
  <c r="O29" i="33" s="1"/>
  <c r="U28" i="33"/>
  <c r="O28" i="33"/>
  <c r="T27" i="33"/>
  <c r="S27" i="33"/>
  <c r="U27" i="33"/>
  <c r="N27" i="33"/>
  <c r="M27" i="33"/>
  <c r="O27" i="33" s="1"/>
  <c r="U26" i="33"/>
  <c r="N26" i="33"/>
  <c r="M26" i="33"/>
  <c r="O26" i="33" s="1"/>
  <c r="U25" i="33"/>
  <c r="N25" i="33"/>
  <c r="M25" i="33"/>
  <c r="O25" i="33" s="1"/>
  <c r="U24" i="33"/>
  <c r="N24" i="33"/>
  <c r="M24" i="33"/>
  <c r="O24" i="33" s="1"/>
  <c r="U23" i="33"/>
  <c r="N23" i="33"/>
  <c r="M23" i="33"/>
  <c r="U22" i="33"/>
  <c r="N22" i="33"/>
  <c r="T21" i="33"/>
  <c r="N21" i="33"/>
  <c r="T20" i="33"/>
  <c r="S20" i="33"/>
  <c r="U20" i="33"/>
  <c r="N20" i="33"/>
  <c r="T19" i="33"/>
  <c r="S19" i="33"/>
  <c r="U19" i="33"/>
  <c r="N19" i="33"/>
  <c r="O19" i="33"/>
  <c r="U18" i="33"/>
  <c r="O18" i="33"/>
  <c r="U17" i="33"/>
  <c r="N17" i="33"/>
  <c r="M17" i="33"/>
  <c r="O17" i="33"/>
  <c r="U16" i="33"/>
  <c r="O16" i="33"/>
  <c r="U15" i="33"/>
  <c r="N15" i="33"/>
  <c r="T14" i="33"/>
  <c r="S14" i="33"/>
  <c r="U14" i="33" s="1"/>
  <c r="N14" i="33"/>
  <c r="T13" i="33"/>
  <c r="S13" i="33"/>
  <c r="U13" i="33"/>
  <c r="N13" i="33"/>
  <c r="M13" i="33"/>
  <c r="O13" i="33" s="1"/>
  <c r="B13" i="33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U12" i="33"/>
  <c r="O12" i="33"/>
  <c r="T11" i="33"/>
  <c r="S11" i="33"/>
  <c r="N11" i="33"/>
  <c r="M11" i="33"/>
  <c r="O11" i="33"/>
  <c r="B11" i="33"/>
  <c r="T10" i="33"/>
  <c r="U10" i="33" s="1"/>
  <c r="N10" i="33"/>
  <c r="H9" i="33"/>
  <c r="I9" i="33"/>
  <c r="J9" i="33" s="1"/>
  <c r="K9" i="33" s="1"/>
  <c r="L9" i="33" s="1"/>
  <c r="M9" i="33" s="1"/>
  <c r="N9" i="33" s="1"/>
  <c r="O9" i="33" s="1"/>
  <c r="P9" i="33" s="1"/>
  <c r="Q9" i="33" s="1"/>
  <c r="R9" i="33" s="1"/>
  <c r="S9" i="33" s="1"/>
  <c r="T9" i="33" s="1"/>
  <c r="U9" i="33" s="1"/>
  <c r="T101" i="32"/>
  <c r="T99" i="32"/>
  <c r="T95" i="32"/>
  <c r="T94" i="32"/>
  <c r="T91" i="32"/>
  <c r="T89" i="32"/>
  <c r="T87" i="32"/>
  <c r="T85" i="32"/>
  <c r="T83" i="32"/>
  <c r="T82" i="32"/>
  <c r="T80" i="32"/>
  <c r="T79" i="32"/>
  <c r="T75" i="32"/>
  <c r="T73" i="32"/>
  <c r="T72" i="32"/>
  <c r="T67" i="32"/>
  <c r="T63" i="32"/>
  <c r="T62" i="32"/>
  <c r="T56" i="32"/>
  <c r="T55" i="32"/>
  <c r="T54" i="32"/>
  <c r="T52" i="32"/>
  <c r="T50" i="32"/>
  <c r="T49" i="32"/>
  <c r="T48" i="32"/>
  <c r="T44" i="32"/>
  <c r="T41" i="32"/>
  <c r="T40" i="32"/>
  <c r="T38" i="32"/>
  <c r="T36" i="32"/>
  <c r="T35" i="32"/>
  <c r="T31" i="32"/>
  <c r="T30" i="32"/>
  <c r="T29" i="32"/>
  <c r="T27" i="32"/>
  <c r="T21" i="32"/>
  <c r="T20" i="32"/>
  <c r="T19" i="32"/>
  <c r="T14" i="32"/>
  <c r="T13" i="32"/>
  <c r="T11" i="32"/>
  <c r="T10" i="32"/>
  <c r="T105" i="32" s="1"/>
  <c r="N103" i="32"/>
  <c r="N101" i="32"/>
  <c r="N100" i="32"/>
  <c r="N99" i="32"/>
  <c r="N98" i="32"/>
  <c r="N97" i="32"/>
  <c r="N96" i="32"/>
  <c r="N95" i="32"/>
  <c r="N94" i="32"/>
  <c r="N93" i="32"/>
  <c r="N92" i="32"/>
  <c r="N90" i="32"/>
  <c r="N89" i="32"/>
  <c r="N87" i="32"/>
  <c r="N85" i="32"/>
  <c r="N84" i="32"/>
  <c r="N83" i="32"/>
  <c r="N82" i="32"/>
  <c r="N80" i="32"/>
  <c r="N79" i="32"/>
  <c r="N77" i="32"/>
  <c r="N76" i="32"/>
  <c r="N75" i="32"/>
  <c r="N73" i="32"/>
  <c r="N71" i="32"/>
  <c r="N70" i="32"/>
  <c r="N69" i="32"/>
  <c r="N68" i="32"/>
  <c r="N67" i="32"/>
  <c r="N66" i="32"/>
  <c r="N65" i="32"/>
  <c r="N64" i="32"/>
  <c r="N62" i="32"/>
  <c r="N61" i="32"/>
  <c r="N60" i="32"/>
  <c r="N56" i="32"/>
  <c r="N54" i="32"/>
  <c r="N52" i="32"/>
  <c r="N51" i="32"/>
  <c r="N50" i="32"/>
  <c r="N49" i="32"/>
  <c r="N48" i="32"/>
  <c r="N47" i="32"/>
  <c r="N46" i="32"/>
  <c r="N44" i="32"/>
  <c r="N43" i="32"/>
  <c r="N41" i="32"/>
  <c r="N39" i="32"/>
  <c r="N38" i="32"/>
  <c r="N37" i="32"/>
  <c r="N36" i="32"/>
  <c r="N35" i="32"/>
  <c r="N34" i="32"/>
  <c r="N33" i="32"/>
  <c r="N30" i="32"/>
  <c r="N29" i="32"/>
  <c r="N27" i="32"/>
  <c r="N26" i="32"/>
  <c r="N25" i="32"/>
  <c r="N24" i="32"/>
  <c r="N23" i="32"/>
  <c r="N22" i="32"/>
  <c r="N21" i="32"/>
  <c r="N20" i="32"/>
  <c r="N19" i="32"/>
  <c r="N17" i="32"/>
  <c r="N15" i="32"/>
  <c r="N14" i="32"/>
  <c r="N13" i="32"/>
  <c r="N11" i="32"/>
  <c r="N10" i="32"/>
  <c r="N105" i="32" s="1"/>
  <c r="R105" i="32"/>
  <c r="Q105" i="32"/>
  <c r="P105" i="32"/>
  <c r="L105" i="32"/>
  <c r="K105" i="32"/>
  <c r="J105" i="32"/>
  <c r="I105" i="32"/>
  <c r="H105" i="32"/>
  <c r="U104" i="32"/>
  <c r="O104" i="32"/>
  <c r="U103" i="32"/>
  <c r="M103" i="32"/>
  <c r="O103" i="32"/>
  <c r="U102" i="32"/>
  <c r="O102" i="32"/>
  <c r="S101" i="32"/>
  <c r="U101" i="32"/>
  <c r="M101" i="32"/>
  <c r="O101" i="32"/>
  <c r="U100" i="32"/>
  <c r="M100" i="32"/>
  <c r="S99" i="32"/>
  <c r="U99" i="32"/>
  <c r="M99" i="32"/>
  <c r="U98" i="32"/>
  <c r="M98" i="32"/>
  <c r="O98" i="32"/>
  <c r="U97" i="32"/>
  <c r="M97" i="32"/>
  <c r="O97" i="32" s="1"/>
  <c r="U96" i="32"/>
  <c r="M96" i="32"/>
  <c r="O96" i="32"/>
  <c r="S95" i="32"/>
  <c r="M95" i="32"/>
  <c r="O95" i="32" s="1"/>
  <c r="S94" i="32"/>
  <c r="U94" i="32" s="1"/>
  <c r="M94" i="32"/>
  <c r="U93" i="32"/>
  <c r="M93" i="32"/>
  <c r="O93" i="32" s="1"/>
  <c r="U92" i="32"/>
  <c r="M92" i="32"/>
  <c r="O92" i="32"/>
  <c r="S91" i="32"/>
  <c r="O91" i="32"/>
  <c r="U90" i="32"/>
  <c r="M90" i="32"/>
  <c r="O90" i="32" s="1"/>
  <c r="S89" i="32"/>
  <c r="M89" i="32"/>
  <c r="O89" i="32"/>
  <c r="U88" i="32"/>
  <c r="O88" i="32"/>
  <c r="S87" i="32"/>
  <c r="U87" i="32"/>
  <c r="M87" i="32"/>
  <c r="O87" i="32"/>
  <c r="U86" i="32"/>
  <c r="O86" i="32"/>
  <c r="S85" i="32"/>
  <c r="M85" i="32"/>
  <c r="O85" i="32" s="1"/>
  <c r="U84" i="32"/>
  <c r="M84" i="32"/>
  <c r="O84" i="32"/>
  <c r="S83" i="32"/>
  <c r="U83" i="32"/>
  <c r="M83" i="32"/>
  <c r="O83" i="32"/>
  <c r="S82" i="32"/>
  <c r="M82" i="32"/>
  <c r="O82" i="32" s="1"/>
  <c r="U81" i="32"/>
  <c r="O81" i="32"/>
  <c r="S80" i="32"/>
  <c r="U80" i="32" s="1"/>
  <c r="M80" i="32"/>
  <c r="S79" i="32"/>
  <c r="M79" i="32"/>
  <c r="O79" i="32" s="1"/>
  <c r="U78" i="32"/>
  <c r="O78" i="32"/>
  <c r="U77" i="32"/>
  <c r="M77" i="32"/>
  <c r="U76" i="32"/>
  <c r="M76" i="32"/>
  <c r="O76" i="32"/>
  <c r="S75" i="32"/>
  <c r="U75" i="32"/>
  <c r="M75" i="32"/>
  <c r="O75" i="32"/>
  <c r="U74" i="32"/>
  <c r="O74" i="32"/>
  <c r="S73" i="32"/>
  <c r="U73" i="32"/>
  <c r="M73" i="32"/>
  <c r="O73" i="32"/>
  <c r="S72" i="32"/>
  <c r="U72" i="32"/>
  <c r="O72" i="32"/>
  <c r="U71" i="32"/>
  <c r="M71" i="32"/>
  <c r="O71" i="32"/>
  <c r="U70" i="32"/>
  <c r="M70" i="32"/>
  <c r="U69" i="32"/>
  <c r="M69" i="32"/>
  <c r="U68" i="32"/>
  <c r="M68" i="32"/>
  <c r="O68" i="32" s="1"/>
  <c r="S67" i="32"/>
  <c r="M67" i="32"/>
  <c r="U66" i="32"/>
  <c r="M66" i="32"/>
  <c r="O66" i="32"/>
  <c r="U65" i="32"/>
  <c r="M65" i="32"/>
  <c r="U64" i="32"/>
  <c r="M64" i="32"/>
  <c r="O64" i="32" s="1"/>
  <c r="S63" i="32"/>
  <c r="U63" i="32" s="1"/>
  <c r="O63" i="32"/>
  <c r="S62" i="32"/>
  <c r="U62" i="32"/>
  <c r="M62" i="32"/>
  <c r="U61" i="32"/>
  <c r="M61" i="32"/>
  <c r="O61" i="32"/>
  <c r="U60" i="32"/>
  <c r="M60" i="32"/>
  <c r="O60" i="32" s="1"/>
  <c r="U59" i="32"/>
  <c r="O59" i="32"/>
  <c r="U58" i="32"/>
  <c r="O58" i="32"/>
  <c r="U57" i="32"/>
  <c r="O57" i="32"/>
  <c r="S56" i="32"/>
  <c r="U56" i="32" s="1"/>
  <c r="M56" i="32"/>
  <c r="O56" i="32" s="1"/>
  <c r="S55" i="32"/>
  <c r="U55" i="32" s="1"/>
  <c r="O55" i="32"/>
  <c r="S54" i="32"/>
  <c r="M54" i="32"/>
  <c r="O54" i="32" s="1"/>
  <c r="U53" i="32"/>
  <c r="O53" i="32"/>
  <c r="S52" i="32"/>
  <c r="M52" i="32"/>
  <c r="U51" i="32"/>
  <c r="M51" i="32"/>
  <c r="S50" i="32"/>
  <c r="U50" i="32" s="1"/>
  <c r="M50" i="32"/>
  <c r="S49" i="32"/>
  <c r="M49" i="32"/>
  <c r="O49" i="32" s="1"/>
  <c r="S48" i="32"/>
  <c r="U48" i="32" s="1"/>
  <c r="M48" i="32"/>
  <c r="O48" i="32" s="1"/>
  <c r="U47" i="32"/>
  <c r="M47" i="32"/>
  <c r="U46" i="32"/>
  <c r="M46" i="32"/>
  <c r="O46" i="32"/>
  <c r="U45" i="32"/>
  <c r="O45" i="32"/>
  <c r="S44" i="32"/>
  <c r="U44" i="32"/>
  <c r="M44" i="32"/>
  <c r="O44" i="32"/>
  <c r="U43" i="32"/>
  <c r="M43" i="32"/>
  <c r="U42" i="32"/>
  <c r="O42" i="32"/>
  <c r="S41" i="32"/>
  <c r="U41" i="32"/>
  <c r="M41" i="32"/>
  <c r="O41" i="32"/>
  <c r="S40" i="32"/>
  <c r="U40" i="32"/>
  <c r="O40" i="32"/>
  <c r="U39" i="32"/>
  <c r="M39" i="32"/>
  <c r="S38" i="32"/>
  <c r="U38" i="32" s="1"/>
  <c r="M38" i="32"/>
  <c r="O38" i="32" s="1"/>
  <c r="U37" i="32"/>
  <c r="M37" i="32"/>
  <c r="O37" i="32"/>
  <c r="S36" i="32"/>
  <c r="U36" i="32"/>
  <c r="M36" i="32"/>
  <c r="O36" i="32"/>
  <c r="S35" i="32"/>
  <c r="U35" i="32"/>
  <c r="M35" i="32"/>
  <c r="O35" i="32"/>
  <c r="U34" i="32"/>
  <c r="M34" i="32"/>
  <c r="O34" i="32" s="1"/>
  <c r="U33" i="32"/>
  <c r="M33" i="32"/>
  <c r="O33" i="32"/>
  <c r="U32" i="32"/>
  <c r="O32" i="32"/>
  <c r="S31" i="32"/>
  <c r="U31" i="32"/>
  <c r="O31" i="32"/>
  <c r="S30" i="32"/>
  <c r="U30" i="32" s="1"/>
  <c r="M30" i="32"/>
  <c r="O30" i="32" s="1"/>
  <c r="S29" i="32"/>
  <c r="U29" i="32" s="1"/>
  <c r="M29" i="32"/>
  <c r="U28" i="32"/>
  <c r="O28" i="32"/>
  <c r="S27" i="32"/>
  <c r="U27" i="32"/>
  <c r="M27" i="32"/>
  <c r="O27" i="32"/>
  <c r="U26" i="32"/>
  <c r="M26" i="32"/>
  <c r="O26" i="32" s="1"/>
  <c r="U25" i="32"/>
  <c r="M25" i="32"/>
  <c r="O25" i="32"/>
  <c r="U24" i="32"/>
  <c r="M24" i="32"/>
  <c r="U23" i="32"/>
  <c r="M23" i="32"/>
  <c r="O23" i="32" s="1"/>
  <c r="U22" i="32"/>
  <c r="M22" i="32"/>
  <c r="O22" i="32"/>
  <c r="S21" i="32"/>
  <c r="U21" i="32"/>
  <c r="M21" i="32"/>
  <c r="O21" i="32"/>
  <c r="S20" i="32"/>
  <c r="U20" i="32"/>
  <c r="M20" i="32"/>
  <c r="O20" i="32"/>
  <c r="S19" i="32"/>
  <c r="U19" i="32"/>
  <c r="M19" i="32"/>
  <c r="U18" i="32"/>
  <c r="O18" i="32"/>
  <c r="U17" i="32"/>
  <c r="M17" i="32"/>
  <c r="O17" i="32"/>
  <c r="U16" i="32"/>
  <c r="O16" i="32"/>
  <c r="U15" i="32"/>
  <c r="M15" i="32"/>
  <c r="O15" i="32" s="1"/>
  <c r="S14" i="32"/>
  <c r="U14" i="32" s="1"/>
  <c r="M14" i="32"/>
  <c r="O14" i="32" s="1"/>
  <c r="S13" i="32"/>
  <c r="U13" i="32" s="1"/>
  <c r="M13" i="32"/>
  <c r="B13" i="32"/>
  <c r="B14" i="32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U12" i="32"/>
  <c r="O12" i="32"/>
  <c r="S11" i="32"/>
  <c r="U11" i="32"/>
  <c r="M11" i="32"/>
  <c r="O11" i="32"/>
  <c r="B11" i="32"/>
  <c r="S10" i="32"/>
  <c r="S105" i="32" s="1"/>
  <c r="M10" i="32"/>
  <c r="H9" i="32"/>
  <c r="I9" i="32"/>
  <c r="J9" i="32" s="1"/>
  <c r="K9" i="32" s="1"/>
  <c r="L9" i="32" s="1"/>
  <c r="M9" i="32" s="1"/>
  <c r="N9" i="32" s="1"/>
  <c r="O9" i="32" s="1"/>
  <c r="P9" i="32" s="1"/>
  <c r="Q9" i="32" s="1"/>
  <c r="R9" i="32" s="1"/>
  <c r="S9" i="32" s="1"/>
  <c r="T9" i="32" s="1"/>
  <c r="U9" i="32" s="1"/>
  <c r="M67" i="30"/>
  <c r="O67" i="30"/>
  <c r="M68" i="30"/>
  <c r="O68" i="30"/>
  <c r="M79" i="30"/>
  <c r="M85" i="30"/>
  <c r="M99" i="30"/>
  <c r="M83" i="30"/>
  <c r="S83" i="30"/>
  <c r="M75" i="30"/>
  <c r="M103" i="30"/>
  <c r="O103" i="30"/>
  <c r="M100" i="30"/>
  <c r="S99" i="30"/>
  <c r="U99" i="30" s="1"/>
  <c r="M98" i="30"/>
  <c r="M77" i="30"/>
  <c r="O77" i="30"/>
  <c r="S67" i="30"/>
  <c r="U67" i="30"/>
  <c r="M65" i="30"/>
  <c r="M61" i="30"/>
  <c r="M56" i="30"/>
  <c r="O56" i="30"/>
  <c r="M54" i="30"/>
  <c r="O54" i="30"/>
  <c r="M51" i="30"/>
  <c r="M50" i="30"/>
  <c r="O50" i="30" s="1"/>
  <c r="M49" i="30"/>
  <c r="O49" i="30"/>
  <c r="M43" i="30"/>
  <c r="M34" i="30"/>
  <c r="O34" i="30" s="1"/>
  <c r="S30" i="30"/>
  <c r="U30" i="30" s="1"/>
  <c r="M29" i="30"/>
  <c r="M27" i="30"/>
  <c r="O27" i="30"/>
  <c r="M24" i="30"/>
  <c r="O24" i="30"/>
  <c r="M23" i="30"/>
  <c r="M14" i="30"/>
  <c r="O14" i="30" s="1"/>
  <c r="M17" i="30"/>
  <c r="O17" i="30" s="1"/>
  <c r="H9" i="30"/>
  <c r="I9" i="30" s="1"/>
  <c r="J9" i="30" s="1"/>
  <c r="K9" i="30" s="1"/>
  <c r="L9" i="30" s="1"/>
  <c r="M9" i="30" s="1"/>
  <c r="N9" i="30" s="1"/>
  <c r="O9" i="30" s="1"/>
  <c r="P9" i="30" s="1"/>
  <c r="Q9" i="30" s="1"/>
  <c r="R9" i="30" s="1"/>
  <c r="S9" i="30" s="1"/>
  <c r="T9" i="30" s="1"/>
  <c r="U9" i="30" s="1"/>
  <c r="M10" i="30"/>
  <c r="N10" i="30"/>
  <c r="S10" i="30"/>
  <c r="U10" i="30" s="1"/>
  <c r="B11" i="30"/>
  <c r="M11" i="30"/>
  <c r="O11" i="30"/>
  <c r="S11" i="30"/>
  <c r="T11" i="30"/>
  <c r="U11" i="30" s="1"/>
  <c r="O12" i="30"/>
  <c r="U12" i="30"/>
  <c r="B13" i="30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M13" i="30"/>
  <c r="N13" i="30"/>
  <c r="O13" i="30"/>
  <c r="S13" i="30"/>
  <c r="T13" i="30"/>
  <c r="S14" i="30"/>
  <c r="U14" i="30"/>
  <c r="M15" i="30"/>
  <c r="O15" i="30"/>
  <c r="U15" i="30"/>
  <c r="O16" i="30"/>
  <c r="U16" i="30"/>
  <c r="U17" i="30"/>
  <c r="O18" i="30"/>
  <c r="U18" i="30"/>
  <c r="M19" i="30"/>
  <c r="N19" i="30"/>
  <c r="O19" i="30" s="1"/>
  <c r="S19" i="30"/>
  <c r="T19" i="30"/>
  <c r="U19" i="30"/>
  <c r="M20" i="30"/>
  <c r="N20" i="30"/>
  <c r="O20" i="30" s="1"/>
  <c r="S20" i="30"/>
  <c r="U20" i="30" s="1"/>
  <c r="M21" i="30"/>
  <c r="N21" i="30"/>
  <c r="O21" i="30"/>
  <c r="S21" i="30"/>
  <c r="U21" i="30"/>
  <c r="M22" i="30"/>
  <c r="N22" i="30"/>
  <c r="O22" i="30" s="1"/>
  <c r="U22" i="30"/>
  <c r="N23" i="30"/>
  <c r="O23" i="30"/>
  <c r="U23" i="30"/>
  <c r="U24" i="30"/>
  <c r="M25" i="30"/>
  <c r="O25" i="30"/>
  <c r="U25" i="30"/>
  <c r="M26" i="30"/>
  <c r="N26" i="30"/>
  <c r="U26" i="30"/>
  <c r="S27" i="30"/>
  <c r="U27" i="30"/>
  <c r="O28" i="30"/>
  <c r="U28" i="30"/>
  <c r="N29" i="30"/>
  <c r="O29" i="30"/>
  <c r="S29" i="30"/>
  <c r="T29" i="30"/>
  <c r="U29" i="30" s="1"/>
  <c r="M30" i="30"/>
  <c r="O30" i="30" s="1"/>
  <c r="N30" i="30"/>
  <c r="T30" i="30"/>
  <c r="O31" i="30"/>
  <c r="S31" i="30"/>
  <c r="T31" i="30"/>
  <c r="U31" i="30" s="1"/>
  <c r="O32" i="30"/>
  <c r="U32" i="30"/>
  <c r="M33" i="30"/>
  <c r="N33" i="30"/>
  <c r="O33" i="30"/>
  <c r="U33" i="30"/>
  <c r="U34" i="30"/>
  <c r="M35" i="30"/>
  <c r="O35" i="30"/>
  <c r="S35" i="30"/>
  <c r="U35" i="30"/>
  <c r="M36" i="30"/>
  <c r="O36" i="30"/>
  <c r="S36" i="30"/>
  <c r="U36" i="30"/>
  <c r="T36" i="30"/>
  <c r="M37" i="30"/>
  <c r="O37" i="30" s="1"/>
  <c r="N37" i="30"/>
  <c r="U37" i="30"/>
  <c r="M38" i="30"/>
  <c r="N38" i="30"/>
  <c r="O38" i="30"/>
  <c r="S38" i="30"/>
  <c r="U38" i="30"/>
  <c r="M39" i="30"/>
  <c r="N39" i="30"/>
  <c r="O39" i="30" s="1"/>
  <c r="U39" i="30"/>
  <c r="O40" i="30"/>
  <c r="S40" i="30"/>
  <c r="T40" i="30"/>
  <c r="U40" i="30"/>
  <c r="M41" i="30"/>
  <c r="O41" i="30"/>
  <c r="S41" i="30"/>
  <c r="U41" i="30"/>
  <c r="O42" i="30"/>
  <c r="U42" i="30"/>
  <c r="N43" i="30"/>
  <c r="U43" i="30"/>
  <c r="M44" i="30"/>
  <c r="O44" i="30"/>
  <c r="S44" i="30"/>
  <c r="T44" i="30"/>
  <c r="U44" i="30" s="1"/>
  <c r="O45" i="30"/>
  <c r="U45" i="30"/>
  <c r="M46" i="30"/>
  <c r="O46" i="30" s="1"/>
  <c r="U46" i="30"/>
  <c r="M47" i="30"/>
  <c r="O47" i="30"/>
  <c r="N47" i="30"/>
  <c r="U47" i="30"/>
  <c r="M48" i="30"/>
  <c r="N48" i="30"/>
  <c r="O48" i="30" s="1"/>
  <c r="S48" i="30"/>
  <c r="T48" i="30"/>
  <c r="U48" i="30"/>
  <c r="S49" i="30"/>
  <c r="T49" i="30"/>
  <c r="U49" i="30" s="1"/>
  <c r="N50" i="30"/>
  <c r="S50" i="30"/>
  <c r="T50" i="30"/>
  <c r="N51" i="30"/>
  <c r="O51" i="30" s="1"/>
  <c r="U51" i="30"/>
  <c r="M52" i="30"/>
  <c r="O52" i="30"/>
  <c r="N52" i="30"/>
  <c r="S52" i="30"/>
  <c r="U52" i="30" s="1"/>
  <c r="T52" i="30"/>
  <c r="O53" i="30"/>
  <c r="U53" i="30"/>
  <c r="S54" i="30"/>
  <c r="T54" i="30"/>
  <c r="U54" i="30" s="1"/>
  <c r="O55" i="30"/>
  <c r="S55" i="30"/>
  <c r="T55" i="30"/>
  <c r="S56" i="30"/>
  <c r="U56" i="30"/>
  <c r="O57" i="30"/>
  <c r="U57" i="30"/>
  <c r="O58" i="30"/>
  <c r="U58" i="30"/>
  <c r="O59" i="30"/>
  <c r="U59" i="30"/>
  <c r="M60" i="30"/>
  <c r="N60" i="30"/>
  <c r="U60" i="30"/>
  <c r="N61" i="30"/>
  <c r="U61" i="30"/>
  <c r="M62" i="30"/>
  <c r="O62" i="30" s="1"/>
  <c r="N62" i="30"/>
  <c r="S62" i="30"/>
  <c r="T62" i="30"/>
  <c r="U62" i="30" s="1"/>
  <c r="O63" i="30"/>
  <c r="S63" i="30"/>
  <c r="T63" i="30"/>
  <c r="U63" i="30" s="1"/>
  <c r="M64" i="30"/>
  <c r="O64" i="30" s="1"/>
  <c r="U64" i="30"/>
  <c r="N65" i="30"/>
  <c r="U65" i="30"/>
  <c r="M66" i="30"/>
  <c r="O66" i="30"/>
  <c r="N66" i="30"/>
  <c r="U66" i="30"/>
  <c r="U68" i="30"/>
  <c r="M69" i="30"/>
  <c r="O69" i="30" s="1"/>
  <c r="U69" i="30"/>
  <c r="M70" i="30"/>
  <c r="O70" i="30"/>
  <c r="U70" i="30"/>
  <c r="M71" i="30"/>
  <c r="O71" i="30" s="1"/>
  <c r="U71" i="30"/>
  <c r="O72" i="30"/>
  <c r="S72" i="30"/>
  <c r="T72" i="30"/>
  <c r="U72" i="30"/>
  <c r="M73" i="30"/>
  <c r="O73" i="30"/>
  <c r="N73" i="30"/>
  <c r="S73" i="30"/>
  <c r="T73" i="30"/>
  <c r="U73" i="30"/>
  <c r="O74" i="30"/>
  <c r="U74" i="30"/>
  <c r="N75" i="30"/>
  <c r="O75" i="30"/>
  <c r="S75" i="30"/>
  <c r="U75" i="30"/>
  <c r="T75" i="30"/>
  <c r="M76" i="30"/>
  <c r="N76" i="30"/>
  <c r="O76" i="30"/>
  <c r="U76" i="30"/>
  <c r="U77" i="30"/>
  <c r="O78" i="30"/>
  <c r="U78" i="30"/>
  <c r="N79" i="30"/>
  <c r="S79" i="30"/>
  <c r="U79" i="30" s="1"/>
  <c r="M80" i="30"/>
  <c r="N80" i="30"/>
  <c r="S80" i="30"/>
  <c r="T80" i="30"/>
  <c r="U80" i="30"/>
  <c r="O81" i="30"/>
  <c r="U81" i="30"/>
  <c r="M82" i="30"/>
  <c r="N82" i="30"/>
  <c r="O82" i="30" s="1"/>
  <c r="S82" i="30"/>
  <c r="T82" i="30"/>
  <c r="U82" i="30"/>
  <c r="N83" i="30"/>
  <c r="O83" i="30"/>
  <c r="T83" i="30"/>
  <c r="U83" i="30"/>
  <c r="M84" i="30"/>
  <c r="O84" i="30"/>
  <c r="N84" i="30"/>
  <c r="U84" i="30"/>
  <c r="N85" i="30"/>
  <c r="O85" i="30"/>
  <c r="S85" i="30"/>
  <c r="T85" i="30"/>
  <c r="U85" i="30" s="1"/>
  <c r="O86" i="30"/>
  <c r="U86" i="30"/>
  <c r="M87" i="30"/>
  <c r="N87" i="30"/>
  <c r="O87" i="30"/>
  <c r="S87" i="30"/>
  <c r="T87" i="30"/>
  <c r="U87" i="30" s="1"/>
  <c r="O88" i="30"/>
  <c r="U88" i="30"/>
  <c r="M89" i="30"/>
  <c r="O89" i="30" s="1"/>
  <c r="S89" i="30"/>
  <c r="U89" i="30" s="1"/>
  <c r="T89" i="30"/>
  <c r="M90" i="30"/>
  <c r="N90" i="30"/>
  <c r="O90" i="30" s="1"/>
  <c r="U90" i="30"/>
  <c r="O91" i="30"/>
  <c r="S91" i="30"/>
  <c r="U91" i="30" s="1"/>
  <c r="T91" i="30"/>
  <c r="M92" i="30"/>
  <c r="N92" i="30"/>
  <c r="O92" i="30" s="1"/>
  <c r="U92" i="30"/>
  <c r="M93" i="30"/>
  <c r="O93" i="30"/>
  <c r="U93" i="30"/>
  <c r="M94" i="30"/>
  <c r="N94" i="30"/>
  <c r="O94" i="30"/>
  <c r="S94" i="30"/>
  <c r="T94" i="30"/>
  <c r="U94" i="30" s="1"/>
  <c r="M95" i="30"/>
  <c r="N95" i="30"/>
  <c r="O95" i="30"/>
  <c r="S95" i="30"/>
  <c r="T95" i="30"/>
  <c r="M96" i="30"/>
  <c r="O96" i="30"/>
  <c r="U96" i="30"/>
  <c r="M97" i="30"/>
  <c r="O97" i="30" s="1"/>
  <c r="U97" i="30"/>
  <c r="N98" i="30"/>
  <c r="O98" i="30"/>
  <c r="U98" i="30"/>
  <c r="N99" i="30"/>
  <c r="O99" i="30" s="1"/>
  <c r="N100" i="30"/>
  <c r="U100" i="30"/>
  <c r="M101" i="30"/>
  <c r="N101" i="30"/>
  <c r="O101" i="30"/>
  <c r="S101" i="30"/>
  <c r="U101" i="30"/>
  <c r="T101" i="30"/>
  <c r="O102" i="30"/>
  <c r="U102" i="30"/>
  <c r="U103" i="30"/>
  <c r="O104" i="30"/>
  <c r="U104" i="30"/>
  <c r="H105" i="30"/>
  <c r="I105" i="30"/>
  <c r="J105" i="30"/>
  <c r="K105" i="30"/>
  <c r="L105" i="30"/>
  <c r="P105" i="30"/>
  <c r="Q105" i="30"/>
  <c r="R105" i="30"/>
  <c r="M99" i="29"/>
  <c r="O99" i="29"/>
  <c r="N99" i="29"/>
  <c r="M33" i="29"/>
  <c r="O33" i="29" s="1"/>
  <c r="S36" i="29"/>
  <c r="M36" i="29"/>
  <c r="O36" i="29" s="1"/>
  <c r="S101" i="29"/>
  <c r="M101" i="29"/>
  <c r="S99" i="29"/>
  <c r="U99" i="29" s="1"/>
  <c r="M98" i="29"/>
  <c r="M96" i="29"/>
  <c r="O96" i="29"/>
  <c r="M97" i="29"/>
  <c r="O97" i="29"/>
  <c r="M95" i="29"/>
  <c r="S94" i="29"/>
  <c r="M94" i="29"/>
  <c r="M93" i="29"/>
  <c r="O93" i="29" s="1"/>
  <c r="M92" i="29"/>
  <c r="O92" i="29" s="1"/>
  <c r="M90" i="29"/>
  <c r="S89" i="29"/>
  <c r="M89" i="29"/>
  <c r="O89" i="29"/>
  <c r="M87" i="29"/>
  <c r="M85" i="29"/>
  <c r="M84" i="29"/>
  <c r="S82" i="29"/>
  <c r="U82" i="29" s="1"/>
  <c r="M82" i="29"/>
  <c r="S79" i="29"/>
  <c r="U79" i="29" s="1"/>
  <c r="M79" i="29"/>
  <c r="M77" i="29"/>
  <c r="O77" i="29"/>
  <c r="M76" i="29"/>
  <c r="M71" i="29"/>
  <c r="O71" i="29" s="1"/>
  <c r="M70" i="29"/>
  <c r="O70" i="29" s="1"/>
  <c r="M69" i="29"/>
  <c r="O69" i="29" s="1"/>
  <c r="M68" i="29"/>
  <c r="S67" i="29"/>
  <c r="U67" i="29"/>
  <c r="M67" i="29"/>
  <c r="O67" i="29"/>
  <c r="M65" i="29"/>
  <c r="M64" i="29"/>
  <c r="O64" i="29" s="1"/>
  <c r="M60" i="29"/>
  <c r="S56" i="29"/>
  <c r="U56" i="29"/>
  <c r="M56" i="29"/>
  <c r="O56" i="29"/>
  <c r="M54" i="29"/>
  <c r="O54" i="29"/>
  <c r="M52" i="29"/>
  <c r="M51" i="29"/>
  <c r="O51" i="29" s="1"/>
  <c r="S50" i="29"/>
  <c r="M50" i="29"/>
  <c r="M49" i="29"/>
  <c r="O49" i="29"/>
  <c r="M46" i="29"/>
  <c r="O46" i="29"/>
  <c r="M47" i="29"/>
  <c r="S44" i="29"/>
  <c r="M44" i="29"/>
  <c r="O44" i="29"/>
  <c r="M43" i="29"/>
  <c r="S41" i="29"/>
  <c r="U41" i="29" s="1"/>
  <c r="M41" i="29"/>
  <c r="O41" i="29" s="1"/>
  <c r="S38" i="29"/>
  <c r="U38" i="29" s="1"/>
  <c r="M38" i="29"/>
  <c r="M37" i="29"/>
  <c r="Q105" i="29"/>
  <c r="U49" i="32"/>
  <c r="O51" i="32"/>
  <c r="O62" i="32"/>
  <c r="U89" i="32"/>
  <c r="O94" i="32"/>
  <c r="O100" i="32"/>
  <c r="O19" i="32"/>
  <c r="O47" i="32"/>
  <c r="U52" i="32"/>
  <c r="U54" i="32"/>
  <c r="O65" i="32"/>
  <c r="U85" i="32"/>
  <c r="O99" i="32"/>
  <c r="S35" i="29"/>
  <c r="U35" i="29" s="1"/>
  <c r="M35" i="29"/>
  <c r="O35" i="29" s="1"/>
  <c r="M34" i="29"/>
  <c r="O34" i="29" s="1"/>
  <c r="S30" i="29"/>
  <c r="M30" i="29"/>
  <c r="O30" i="29"/>
  <c r="M29" i="29"/>
  <c r="O29" i="29"/>
  <c r="S27" i="29"/>
  <c r="U27" i="29"/>
  <c r="M27" i="29"/>
  <c r="O27" i="29"/>
  <c r="M25" i="29"/>
  <c r="O25" i="29"/>
  <c r="S21" i="29"/>
  <c r="U21" i="29"/>
  <c r="M21" i="29"/>
  <c r="S20" i="29"/>
  <c r="U20" i="29" s="1"/>
  <c r="M20" i="29"/>
  <c r="S19" i="29"/>
  <c r="M19" i="29"/>
  <c r="M15" i="29"/>
  <c r="O15" i="29"/>
  <c r="S14" i="29"/>
  <c r="U14" i="29"/>
  <c r="M17" i="29"/>
  <c r="O17" i="29"/>
  <c r="M11" i="29"/>
  <c r="O11" i="29"/>
  <c r="S10" i="29"/>
  <c r="U10" i="29"/>
  <c r="M10" i="29"/>
  <c r="R105" i="29"/>
  <c r="P105" i="29"/>
  <c r="L105" i="29"/>
  <c r="K105" i="29"/>
  <c r="J105" i="29"/>
  <c r="I105" i="29"/>
  <c r="H105" i="29"/>
  <c r="U104" i="29"/>
  <c r="O104" i="29"/>
  <c r="U103" i="29"/>
  <c r="O103" i="29"/>
  <c r="U102" i="29"/>
  <c r="O102" i="29"/>
  <c r="T101" i="29"/>
  <c r="N101" i="29"/>
  <c r="U100" i="29"/>
  <c r="N100" i="29"/>
  <c r="M100" i="29"/>
  <c r="O100" i="29"/>
  <c r="U98" i="29"/>
  <c r="N98" i="29"/>
  <c r="U97" i="29"/>
  <c r="U96" i="29"/>
  <c r="T95" i="29"/>
  <c r="S95" i="29"/>
  <c r="U95" i="29" s="1"/>
  <c r="N95" i="29"/>
  <c r="T94" i="29"/>
  <c r="U94" i="29"/>
  <c r="N94" i="29"/>
  <c r="U93" i="29"/>
  <c r="U92" i="29"/>
  <c r="N92" i="29"/>
  <c r="T91" i="29"/>
  <c r="S91" i="29"/>
  <c r="U91" i="29"/>
  <c r="O91" i="29"/>
  <c r="U90" i="29"/>
  <c r="N90" i="29"/>
  <c r="O90" i="29"/>
  <c r="T89" i="29"/>
  <c r="U89" i="29"/>
  <c r="U88" i="29"/>
  <c r="O88" i="29"/>
  <c r="T87" i="29"/>
  <c r="S87" i="29"/>
  <c r="U87" i="29" s="1"/>
  <c r="N87" i="29"/>
  <c r="O87" i="29" s="1"/>
  <c r="U86" i="29"/>
  <c r="O86" i="29"/>
  <c r="T85" i="29"/>
  <c r="S85" i="29"/>
  <c r="U85" i="29"/>
  <c r="N85" i="29"/>
  <c r="O85" i="29"/>
  <c r="U84" i="29"/>
  <c r="N84" i="29"/>
  <c r="O84" i="29" s="1"/>
  <c r="T83" i="29"/>
  <c r="S83" i="29"/>
  <c r="U83" i="29"/>
  <c r="N83" i="29"/>
  <c r="M83" i="29"/>
  <c r="O83" i="29" s="1"/>
  <c r="T82" i="29"/>
  <c r="N82" i="29"/>
  <c r="O82" i="29" s="1"/>
  <c r="U81" i="29"/>
  <c r="O81" i="29"/>
  <c r="T80" i="29"/>
  <c r="S80" i="29"/>
  <c r="U80" i="29"/>
  <c r="N80" i="29"/>
  <c r="M80" i="29"/>
  <c r="O80" i="29" s="1"/>
  <c r="N79" i="29"/>
  <c r="U78" i="29"/>
  <c r="O78" i="29"/>
  <c r="U77" i="29"/>
  <c r="U76" i="29"/>
  <c r="N76" i="29"/>
  <c r="T75" i="29"/>
  <c r="S75" i="29"/>
  <c r="U75" i="29"/>
  <c r="N75" i="29"/>
  <c r="M75" i="29"/>
  <c r="O75" i="29" s="1"/>
  <c r="U74" i="29"/>
  <c r="O74" i="29"/>
  <c r="T73" i="29"/>
  <c r="S73" i="29"/>
  <c r="U73" i="29"/>
  <c r="N73" i="29"/>
  <c r="M73" i="29"/>
  <c r="O73" i="29" s="1"/>
  <c r="T72" i="29"/>
  <c r="S72" i="29"/>
  <c r="U72" i="29"/>
  <c r="O72" i="29"/>
  <c r="U71" i="29"/>
  <c r="U70" i="29"/>
  <c r="U69" i="29"/>
  <c r="U68" i="29"/>
  <c r="O68" i="29"/>
  <c r="U66" i="29"/>
  <c r="N66" i="29"/>
  <c r="M66" i="29"/>
  <c r="O66" i="29"/>
  <c r="U65" i="29"/>
  <c r="N65" i="29"/>
  <c r="U64" i="29"/>
  <c r="U63" i="29"/>
  <c r="O63" i="29"/>
  <c r="T62" i="29"/>
  <c r="S62" i="29"/>
  <c r="U62" i="29"/>
  <c r="N62" i="29"/>
  <c r="M62" i="29"/>
  <c r="O62" i="29" s="1"/>
  <c r="U61" i="29"/>
  <c r="N61" i="29"/>
  <c r="M61" i="29"/>
  <c r="O61" i="29" s="1"/>
  <c r="U60" i="29"/>
  <c r="N60" i="29"/>
  <c r="O60" i="29"/>
  <c r="U59" i="29"/>
  <c r="O59" i="29"/>
  <c r="U58" i="29"/>
  <c r="O58" i="29"/>
  <c r="U57" i="29"/>
  <c r="O57" i="29"/>
  <c r="T55" i="29"/>
  <c r="S55" i="29"/>
  <c r="U55" i="29" s="1"/>
  <c r="O55" i="29"/>
  <c r="T54" i="29"/>
  <c r="S54" i="29"/>
  <c r="U54" i="29" s="1"/>
  <c r="U53" i="29"/>
  <c r="O53" i="29"/>
  <c r="T52" i="29"/>
  <c r="S52" i="29"/>
  <c r="U52" i="29"/>
  <c r="N52" i="29"/>
  <c r="O52" i="29"/>
  <c r="U51" i="29"/>
  <c r="N51" i="29"/>
  <c r="T50" i="29"/>
  <c r="U50" i="29" s="1"/>
  <c r="N50" i="29"/>
  <c r="T49" i="29"/>
  <c r="S49" i="29"/>
  <c r="U49" i="29" s="1"/>
  <c r="T48" i="29"/>
  <c r="S48" i="29"/>
  <c r="U48" i="29"/>
  <c r="N48" i="29"/>
  <c r="M48" i="29"/>
  <c r="O48" i="29" s="1"/>
  <c r="U47" i="29"/>
  <c r="N47" i="29"/>
  <c r="U46" i="29"/>
  <c r="U45" i="29"/>
  <c r="O45" i="29"/>
  <c r="T44" i="29"/>
  <c r="U44" i="29"/>
  <c r="U43" i="29"/>
  <c r="N43" i="29"/>
  <c r="U42" i="29"/>
  <c r="O42" i="29"/>
  <c r="T40" i="29"/>
  <c r="S40" i="29"/>
  <c r="U40" i="29" s="1"/>
  <c r="O40" i="29"/>
  <c r="U39" i="29"/>
  <c r="N39" i="29"/>
  <c r="M39" i="29"/>
  <c r="O39" i="29"/>
  <c r="N38" i="29"/>
  <c r="O38" i="29"/>
  <c r="U37" i="29"/>
  <c r="N37" i="29"/>
  <c r="O37" i="29" s="1"/>
  <c r="T36" i="29"/>
  <c r="U36" i="29" s="1"/>
  <c r="U34" i="29"/>
  <c r="U33" i="29"/>
  <c r="N33" i="29"/>
  <c r="U32" i="29"/>
  <c r="O32" i="29"/>
  <c r="T31" i="29"/>
  <c r="S31" i="29"/>
  <c r="U31" i="29"/>
  <c r="O31" i="29"/>
  <c r="T30" i="29"/>
  <c r="N30" i="29"/>
  <c r="T29" i="29"/>
  <c r="S29" i="29"/>
  <c r="U29" i="29"/>
  <c r="N29" i="29"/>
  <c r="U28" i="29"/>
  <c r="O28" i="29"/>
  <c r="U26" i="29"/>
  <c r="N26" i="29"/>
  <c r="M26" i="29"/>
  <c r="O26" i="29" s="1"/>
  <c r="U25" i="29"/>
  <c r="U24" i="29"/>
  <c r="O24" i="29"/>
  <c r="U23" i="29"/>
  <c r="N23" i="29"/>
  <c r="M23" i="29"/>
  <c r="O23" i="29"/>
  <c r="U22" i="29"/>
  <c r="N22" i="29"/>
  <c r="M22" i="29"/>
  <c r="O22" i="29"/>
  <c r="N21" i="29"/>
  <c r="O21" i="29"/>
  <c r="N20" i="29"/>
  <c r="T19" i="29"/>
  <c r="U19" i="29" s="1"/>
  <c r="N19" i="29"/>
  <c r="U18" i="29"/>
  <c r="O18" i="29"/>
  <c r="U17" i="29"/>
  <c r="U16" i="29"/>
  <c r="O16" i="29"/>
  <c r="U15" i="29"/>
  <c r="O14" i="29"/>
  <c r="T13" i="29"/>
  <c r="S13" i="29"/>
  <c r="U13" i="29"/>
  <c r="N13" i="29"/>
  <c r="M13" i="29"/>
  <c r="B13" i="29"/>
  <c r="B14" i="29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U12" i="29"/>
  <c r="O12" i="29"/>
  <c r="T11" i="29"/>
  <c r="S11" i="29"/>
  <c r="U11" i="29" s="1"/>
  <c r="B11" i="29"/>
  <c r="N10" i="29"/>
  <c r="H9" i="29"/>
  <c r="I9" i="29" s="1"/>
  <c r="J9" i="29" s="1"/>
  <c r="K9" i="29" s="1"/>
  <c r="L9" i="29" s="1"/>
  <c r="M9" i="29" s="1"/>
  <c r="N9" i="29" s="1"/>
  <c r="O9" i="29" s="1"/>
  <c r="P9" i="29" s="1"/>
  <c r="Q9" i="29" s="1"/>
  <c r="R9" i="29" s="1"/>
  <c r="S9" i="29" s="1"/>
  <c r="T9" i="29" s="1"/>
  <c r="U9" i="29" s="1"/>
  <c r="O98" i="29"/>
  <c r="T101" i="28"/>
  <c r="T95" i="28"/>
  <c r="T94" i="28"/>
  <c r="T91" i="28"/>
  <c r="T89" i="28"/>
  <c r="T87" i="28"/>
  <c r="T85" i="28"/>
  <c r="T83" i="28"/>
  <c r="T82" i="28"/>
  <c r="T80" i="28"/>
  <c r="T75" i="28"/>
  <c r="T73" i="28"/>
  <c r="T72" i="28"/>
  <c r="T62" i="28"/>
  <c r="T55" i="28"/>
  <c r="T54" i="28"/>
  <c r="T52" i="28"/>
  <c r="T50" i="28"/>
  <c r="T49" i="28"/>
  <c r="T48" i="28"/>
  <c r="T44" i="28"/>
  <c r="T40" i="28"/>
  <c r="T36" i="28"/>
  <c r="T31" i="28"/>
  <c r="T30" i="28"/>
  <c r="T29" i="28"/>
  <c r="T19" i="28"/>
  <c r="T13" i="28"/>
  <c r="T11" i="28"/>
  <c r="T105" i="28"/>
  <c r="N101" i="28"/>
  <c r="N100" i="28"/>
  <c r="N99" i="28"/>
  <c r="N98" i="28"/>
  <c r="N95" i="28"/>
  <c r="N94" i="28"/>
  <c r="N92" i="28"/>
  <c r="N90" i="28"/>
  <c r="N87" i="28"/>
  <c r="N85" i="28"/>
  <c r="N84" i="28"/>
  <c r="N83" i="28"/>
  <c r="N82" i="28"/>
  <c r="N80" i="28"/>
  <c r="N79" i="28"/>
  <c r="N76" i="28"/>
  <c r="N75" i="28"/>
  <c r="N73" i="28"/>
  <c r="N66" i="28"/>
  <c r="N65" i="28"/>
  <c r="N62" i="28"/>
  <c r="N61" i="28"/>
  <c r="N60" i="28"/>
  <c r="N52" i="28"/>
  <c r="N51" i="28"/>
  <c r="N50" i="28"/>
  <c r="N48" i="28"/>
  <c r="N47" i="28"/>
  <c r="N43" i="28"/>
  <c r="N39" i="28"/>
  <c r="N38" i="28"/>
  <c r="N37" i="28"/>
  <c r="N33" i="28"/>
  <c r="N30" i="28"/>
  <c r="N29" i="28"/>
  <c r="N26" i="28"/>
  <c r="N23" i="28"/>
  <c r="N22" i="28"/>
  <c r="N21" i="28"/>
  <c r="N20" i="28"/>
  <c r="N19" i="28"/>
  <c r="N13" i="28"/>
  <c r="N10" i="28"/>
  <c r="R105" i="28"/>
  <c r="Q105" i="28"/>
  <c r="P105" i="28"/>
  <c r="L105" i="28"/>
  <c r="K105" i="28"/>
  <c r="J105" i="28"/>
  <c r="I105" i="28"/>
  <c r="H105" i="28"/>
  <c r="U104" i="28"/>
  <c r="O104" i="28"/>
  <c r="U103" i="28"/>
  <c r="O103" i="28"/>
  <c r="U102" i="28"/>
  <c r="O102" i="28"/>
  <c r="S101" i="28"/>
  <c r="U101" i="28" s="1"/>
  <c r="M101" i="28"/>
  <c r="O101" i="28" s="1"/>
  <c r="U100" i="28"/>
  <c r="M100" i="28"/>
  <c r="O100" i="28"/>
  <c r="U99" i="28"/>
  <c r="M99" i="28"/>
  <c r="O99" i="28" s="1"/>
  <c r="U98" i="28"/>
  <c r="M98" i="28"/>
  <c r="O98" i="28"/>
  <c r="U97" i="28"/>
  <c r="O97" i="28"/>
  <c r="U96" i="28"/>
  <c r="O96" i="28"/>
  <c r="S95" i="28"/>
  <c r="U95" i="28"/>
  <c r="M95" i="28"/>
  <c r="S94" i="28"/>
  <c r="U94" i="28" s="1"/>
  <c r="M94" i="28"/>
  <c r="O94" i="28" s="1"/>
  <c r="U93" i="28"/>
  <c r="O93" i="28"/>
  <c r="U92" i="28"/>
  <c r="M92" i="28"/>
  <c r="S91" i="28"/>
  <c r="O91" i="28"/>
  <c r="U90" i="28"/>
  <c r="M90" i="28"/>
  <c r="O90" i="28"/>
  <c r="S89" i="28"/>
  <c r="U89" i="28"/>
  <c r="O89" i="28"/>
  <c r="U88" i="28"/>
  <c r="O88" i="28"/>
  <c r="S87" i="28"/>
  <c r="U87" i="28" s="1"/>
  <c r="M87" i="28"/>
  <c r="U86" i="28"/>
  <c r="O86" i="28"/>
  <c r="S85" i="28"/>
  <c r="U85" i="28"/>
  <c r="M85" i="28"/>
  <c r="U84" i="28"/>
  <c r="M84" i="28"/>
  <c r="O84" i="28"/>
  <c r="S83" i="28"/>
  <c r="U83" i="28"/>
  <c r="M83" i="28"/>
  <c r="O83" i="28"/>
  <c r="S82" i="28"/>
  <c r="U82" i="28"/>
  <c r="M82" i="28"/>
  <c r="U81" i="28"/>
  <c r="O81" i="28"/>
  <c r="S80" i="28"/>
  <c r="U80" i="28" s="1"/>
  <c r="M80" i="28"/>
  <c r="U79" i="28"/>
  <c r="M79" i="28"/>
  <c r="O79" i="28" s="1"/>
  <c r="U78" i="28"/>
  <c r="O78" i="28"/>
  <c r="U77" i="28"/>
  <c r="O77" i="28"/>
  <c r="U76" i="28"/>
  <c r="M76" i="28"/>
  <c r="O76" i="28"/>
  <c r="S75" i="28"/>
  <c r="U75" i="28"/>
  <c r="M75" i="28"/>
  <c r="O75" i="28"/>
  <c r="U74" i="28"/>
  <c r="O74" i="28"/>
  <c r="S73" i="28"/>
  <c r="M73" i="28"/>
  <c r="O73" i="28" s="1"/>
  <c r="S72" i="28"/>
  <c r="U72" i="28" s="1"/>
  <c r="O72" i="28"/>
  <c r="U71" i="28"/>
  <c r="O71" i="28"/>
  <c r="U70" i="28"/>
  <c r="O70" i="28"/>
  <c r="U69" i="28"/>
  <c r="O69" i="28"/>
  <c r="U68" i="28"/>
  <c r="O68" i="28"/>
  <c r="U67" i="28"/>
  <c r="O67" i="28"/>
  <c r="U66" i="28"/>
  <c r="M66" i="28"/>
  <c r="O66" i="28" s="1"/>
  <c r="U65" i="28"/>
  <c r="M65" i="28"/>
  <c r="U64" i="28"/>
  <c r="O64" i="28"/>
  <c r="U63" i="28"/>
  <c r="O63" i="28"/>
  <c r="S62" i="28"/>
  <c r="U62" i="28" s="1"/>
  <c r="M62" i="28"/>
  <c r="U61" i="28"/>
  <c r="M61" i="28"/>
  <c r="U60" i="28"/>
  <c r="M60" i="28"/>
  <c r="O60" i="28" s="1"/>
  <c r="U59" i="28"/>
  <c r="O59" i="28"/>
  <c r="U58" i="28"/>
  <c r="O58" i="28"/>
  <c r="U57" i="28"/>
  <c r="O57" i="28"/>
  <c r="U56" i="28"/>
  <c r="O56" i="28"/>
  <c r="S55" i="28"/>
  <c r="U55" i="28" s="1"/>
  <c r="O55" i="28"/>
  <c r="S54" i="28"/>
  <c r="U54" i="28"/>
  <c r="O54" i="28"/>
  <c r="U53" i="28"/>
  <c r="O53" i="28"/>
  <c r="S52" i="28"/>
  <c r="U52" i="28" s="1"/>
  <c r="M52" i="28"/>
  <c r="O52" i="28" s="1"/>
  <c r="U51" i="28"/>
  <c r="M51" i="28"/>
  <c r="O51" i="28"/>
  <c r="S50" i="28"/>
  <c r="U50" i="28"/>
  <c r="M50" i="28"/>
  <c r="S49" i="28"/>
  <c r="U49" i="28" s="1"/>
  <c r="O49" i="28"/>
  <c r="S48" i="28"/>
  <c r="U48" i="28"/>
  <c r="M48" i="28"/>
  <c r="O48" i="28"/>
  <c r="U47" i="28"/>
  <c r="M47" i="28"/>
  <c r="U46" i="28"/>
  <c r="O46" i="28"/>
  <c r="U45" i="28"/>
  <c r="O45" i="28"/>
  <c r="S44" i="28"/>
  <c r="U44" i="28"/>
  <c r="O44" i="28"/>
  <c r="U43" i="28"/>
  <c r="M43" i="28"/>
  <c r="O43" i="28"/>
  <c r="U42" i="28"/>
  <c r="O42" i="28"/>
  <c r="U41" i="28"/>
  <c r="O41" i="28"/>
  <c r="S40" i="28"/>
  <c r="U40" i="28"/>
  <c r="O40" i="28"/>
  <c r="U39" i="28"/>
  <c r="M39" i="28"/>
  <c r="O39" i="28"/>
  <c r="U38" i="28"/>
  <c r="M38" i="28"/>
  <c r="O38" i="28" s="1"/>
  <c r="U37" i="28"/>
  <c r="M37" i="28"/>
  <c r="O37" i="28"/>
  <c r="S36" i="28"/>
  <c r="U36" i="28"/>
  <c r="O36" i="28"/>
  <c r="U35" i="28"/>
  <c r="O35" i="28"/>
  <c r="U34" i="28"/>
  <c r="O34" i="28"/>
  <c r="U33" i="28"/>
  <c r="M33" i="28"/>
  <c r="O33" i="28"/>
  <c r="U32" i="28"/>
  <c r="O32" i="28"/>
  <c r="S31" i="28"/>
  <c r="U31" i="28"/>
  <c r="O31" i="28"/>
  <c r="S30" i="28"/>
  <c r="U30" i="28" s="1"/>
  <c r="M30" i="28"/>
  <c r="O30" i="28" s="1"/>
  <c r="S29" i="28"/>
  <c r="U29" i="28" s="1"/>
  <c r="M29" i="28"/>
  <c r="O29" i="28" s="1"/>
  <c r="U28" i="28"/>
  <c r="O28" i="28"/>
  <c r="U27" i="28"/>
  <c r="O27" i="28"/>
  <c r="U26" i="28"/>
  <c r="M26" i="28"/>
  <c r="U25" i="28"/>
  <c r="O25" i="28"/>
  <c r="U24" i="28"/>
  <c r="O24" i="28"/>
  <c r="U23" i="28"/>
  <c r="M23" i="28"/>
  <c r="O23" i="28"/>
  <c r="U22" i="28"/>
  <c r="M22" i="28"/>
  <c r="O22" i="28" s="1"/>
  <c r="U21" i="28"/>
  <c r="M21" i="28"/>
  <c r="O21" i="28"/>
  <c r="U20" i="28"/>
  <c r="M20" i="28"/>
  <c r="S19" i="28"/>
  <c r="U19" i="28"/>
  <c r="M19" i="28"/>
  <c r="O19" i="28"/>
  <c r="U18" i="28"/>
  <c r="O18" i="28"/>
  <c r="U17" i="28"/>
  <c r="O17" i="28"/>
  <c r="U16" i="28"/>
  <c r="O16" i="28"/>
  <c r="U15" i="28"/>
  <c r="O15" i="28"/>
  <c r="U14" i="28"/>
  <c r="O14" i="28"/>
  <c r="S13" i="28"/>
  <c r="U13" i="28"/>
  <c r="M13" i="28"/>
  <c r="B13" i="28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U12" i="28"/>
  <c r="O12" i="28"/>
  <c r="S11" i="28"/>
  <c r="O11" i="28"/>
  <c r="B11" i="28"/>
  <c r="U10" i="28"/>
  <c r="M10" i="28"/>
  <c r="M105" i="28" s="1"/>
  <c r="H9" i="28"/>
  <c r="I9" i="28" s="1"/>
  <c r="J9" i="28" s="1"/>
  <c r="K9" i="28" s="1"/>
  <c r="L9" i="28" s="1"/>
  <c r="M9" i="28" s="1"/>
  <c r="N9" i="28" s="1"/>
  <c r="O9" i="28" s="1"/>
  <c r="P9" i="28" s="1"/>
  <c r="Q9" i="28" s="1"/>
  <c r="R9" i="28" s="1"/>
  <c r="S9" i="28" s="1"/>
  <c r="T9" i="28" s="1"/>
  <c r="U9" i="28" s="1"/>
  <c r="T73" i="27"/>
  <c r="T89" i="27"/>
  <c r="N61" i="27"/>
  <c r="T101" i="27"/>
  <c r="T100" i="27"/>
  <c r="U100" i="27" s="1"/>
  <c r="T95" i="27"/>
  <c r="T94" i="27"/>
  <c r="T91" i="27"/>
  <c r="T87" i="27"/>
  <c r="T85" i="27"/>
  <c r="T83" i="27"/>
  <c r="T82" i="27"/>
  <c r="T72" i="27"/>
  <c r="T62" i="27"/>
  <c r="T55" i="27"/>
  <c r="T54" i="27"/>
  <c r="T52" i="27"/>
  <c r="T50" i="27"/>
  <c r="T48" i="27"/>
  <c r="T44" i="27"/>
  <c r="T40" i="27"/>
  <c r="T36" i="27"/>
  <c r="T31" i="27"/>
  <c r="T30" i="27"/>
  <c r="T29" i="27"/>
  <c r="T22" i="27"/>
  <c r="U22" i="27" s="1"/>
  <c r="T19" i="27"/>
  <c r="T13" i="27"/>
  <c r="T11" i="27"/>
  <c r="T105" i="27" s="1"/>
  <c r="N101" i="27"/>
  <c r="N100" i="27"/>
  <c r="N95" i="27"/>
  <c r="N92" i="27"/>
  <c r="N89" i="27"/>
  <c r="O89" i="27" s="1"/>
  <c r="N87" i="27"/>
  <c r="N84" i="27"/>
  <c r="N82" i="27"/>
  <c r="N66" i="27"/>
  <c r="N62" i="27"/>
  <c r="N60" i="27"/>
  <c r="N56" i="27"/>
  <c r="O56" i="27" s="1"/>
  <c r="N54" i="27"/>
  <c r="O54" i="27" s="1"/>
  <c r="N37" i="27"/>
  <c r="N30" i="27"/>
  <c r="N21" i="27"/>
  <c r="N17" i="27"/>
  <c r="O17" i="27"/>
  <c r="N13" i="27"/>
  <c r="T89" i="26"/>
  <c r="T100" i="26"/>
  <c r="U100" i="26"/>
  <c r="N100" i="26"/>
  <c r="N89" i="26"/>
  <c r="O89" i="26" s="1"/>
  <c r="N84" i="26"/>
  <c r="N82" i="26"/>
  <c r="N60" i="26"/>
  <c r="N56" i="26"/>
  <c r="O56" i="26"/>
  <c r="N54" i="26"/>
  <c r="N37" i="26"/>
  <c r="T30" i="26"/>
  <c r="N30" i="26"/>
  <c r="T22" i="26"/>
  <c r="U22" i="26"/>
  <c r="M30" i="26"/>
  <c r="M22" i="26"/>
  <c r="N21" i="26"/>
  <c r="N17" i="26"/>
  <c r="R105" i="27"/>
  <c r="Q105" i="27"/>
  <c r="P105" i="27"/>
  <c r="L105" i="27"/>
  <c r="K105" i="27"/>
  <c r="J105" i="27"/>
  <c r="I105" i="27"/>
  <c r="H105" i="27"/>
  <c r="U104" i="27"/>
  <c r="O104" i="27"/>
  <c r="U103" i="27"/>
  <c r="O103" i="27"/>
  <c r="U102" i="27"/>
  <c r="O102" i="27"/>
  <c r="S101" i="27"/>
  <c r="U101" i="27"/>
  <c r="M101" i="27"/>
  <c r="O101" i="27"/>
  <c r="M100" i="27"/>
  <c r="O100" i="27"/>
  <c r="U99" i="27"/>
  <c r="M99" i="27"/>
  <c r="O99" i="27" s="1"/>
  <c r="U98" i="27"/>
  <c r="M98" i="27"/>
  <c r="O98" i="27"/>
  <c r="U97" i="27"/>
  <c r="O97" i="27"/>
  <c r="U96" i="27"/>
  <c r="O96" i="27"/>
  <c r="S95" i="27"/>
  <c r="U95" i="27"/>
  <c r="M95" i="27"/>
  <c r="O95" i="27"/>
  <c r="S94" i="27"/>
  <c r="U94" i="27"/>
  <c r="M94" i="27"/>
  <c r="O94" i="27"/>
  <c r="U93" i="27"/>
  <c r="O93" i="27"/>
  <c r="U92" i="27"/>
  <c r="M92" i="27"/>
  <c r="S91" i="27"/>
  <c r="U91" i="27"/>
  <c r="O91" i="27"/>
  <c r="U90" i="27"/>
  <c r="M90" i="27"/>
  <c r="O90" i="27"/>
  <c r="S89" i="27"/>
  <c r="U89" i="27"/>
  <c r="U88" i="27"/>
  <c r="O88" i="27"/>
  <c r="S87" i="27"/>
  <c r="M87" i="27"/>
  <c r="O87" i="27" s="1"/>
  <c r="U86" i="27"/>
  <c r="O86" i="27"/>
  <c r="S85" i="27"/>
  <c r="U85" i="27" s="1"/>
  <c r="M85" i="27"/>
  <c r="O85" i="27" s="1"/>
  <c r="U84" i="27"/>
  <c r="M84" i="27"/>
  <c r="O84" i="27"/>
  <c r="S83" i="27"/>
  <c r="M83" i="27"/>
  <c r="O83" i="27" s="1"/>
  <c r="S82" i="27"/>
  <c r="U82" i="27" s="1"/>
  <c r="M82" i="27"/>
  <c r="U81" i="27"/>
  <c r="O81" i="27"/>
  <c r="S80" i="27"/>
  <c r="U80" i="27"/>
  <c r="M80" i="27"/>
  <c r="O80" i="27"/>
  <c r="U79" i="27"/>
  <c r="M79" i="27"/>
  <c r="O79" i="27" s="1"/>
  <c r="U78" i="27"/>
  <c r="O78" i="27"/>
  <c r="U77" i="27"/>
  <c r="O77" i="27"/>
  <c r="U76" i="27"/>
  <c r="M76" i="27"/>
  <c r="O76" i="27"/>
  <c r="S75" i="27"/>
  <c r="U75" i="27"/>
  <c r="M75" i="27"/>
  <c r="O75" i="27"/>
  <c r="U74" i="27"/>
  <c r="O74" i="27"/>
  <c r="S73" i="27"/>
  <c r="M73" i="27"/>
  <c r="O73" i="27" s="1"/>
  <c r="S72" i="27"/>
  <c r="U72" i="27" s="1"/>
  <c r="O72" i="27"/>
  <c r="U71" i="27"/>
  <c r="O71" i="27"/>
  <c r="U70" i="27"/>
  <c r="O70" i="27"/>
  <c r="U69" i="27"/>
  <c r="O69" i="27"/>
  <c r="U68" i="27"/>
  <c r="O68" i="27"/>
  <c r="U67" i="27"/>
  <c r="O67" i="27"/>
  <c r="U66" i="27"/>
  <c r="M66" i="27"/>
  <c r="U65" i="27"/>
  <c r="M65" i="27"/>
  <c r="O65" i="27" s="1"/>
  <c r="U64" i="27"/>
  <c r="O64" i="27"/>
  <c r="U63" i="27"/>
  <c r="O63" i="27"/>
  <c r="S62" i="27"/>
  <c r="U62" i="27" s="1"/>
  <c r="M62" i="27"/>
  <c r="O62" i="27" s="1"/>
  <c r="U61" i="27"/>
  <c r="M61" i="27"/>
  <c r="O61" i="27"/>
  <c r="U60" i="27"/>
  <c r="M60" i="27"/>
  <c r="O60" i="27" s="1"/>
  <c r="U59" i="27"/>
  <c r="O59" i="27"/>
  <c r="U58" i="27"/>
  <c r="O58" i="27"/>
  <c r="U57" i="27"/>
  <c r="O57" i="27"/>
  <c r="U56" i="27"/>
  <c r="S55" i="27"/>
  <c r="O55" i="27"/>
  <c r="S54" i="27"/>
  <c r="U54" i="27"/>
  <c r="U53" i="27"/>
  <c r="O53" i="27"/>
  <c r="S52" i="27"/>
  <c r="U52" i="27"/>
  <c r="M52" i="27"/>
  <c r="O52" i="27"/>
  <c r="U51" i="27"/>
  <c r="M51" i="27"/>
  <c r="O51" i="27" s="1"/>
  <c r="S50" i="27"/>
  <c r="U50" i="27" s="1"/>
  <c r="M50" i="27"/>
  <c r="O50" i="27" s="1"/>
  <c r="S49" i="27"/>
  <c r="U49" i="27" s="1"/>
  <c r="O49" i="27"/>
  <c r="S48" i="27"/>
  <c r="U48" i="27"/>
  <c r="M48" i="27"/>
  <c r="O48" i="27"/>
  <c r="U47" i="27"/>
  <c r="M47" i="27"/>
  <c r="O47" i="27" s="1"/>
  <c r="U46" i="27"/>
  <c r="O46" i="27"/>
  <c r="U45" i="27"/>
  <c r="O45" i="27"/>
  <c r="S44" i="27"/>
  <c r="U44" i="27" s="1"/>
  <c r="O44" i="27"/>
  <c r="U43" i="27"/>
  <c r="M43" i="27"/>
  <c r="O43" i="27" s="1"/>
  <c r="U42" i="27"/>
  <c r="O42" i="27"/>
  <c r="U41" i="27"/>
  <c r="O41" i="27"/>
  <c r="S40" i="27"/>
  <c r="O40" i="27"/>
  <c r="U39" i="27"/>
  <c r="M39" i="27"/>
  <c r="O39" i="27"/>
  <c r="U38" i="27"/>
  <c r="M38" i="27"/>
  <c r="O38" i="27" s="1"/>
  <c r="U37" i="27"/>
  <c r="M37" i="27"/>
  <c r="O37" i="27"/>
  <c r="S36" i="27"/>
  <c r="U36" i="27"/>
  <c r="O36" i="27"/>
  <c r="U35" i="27"/>
  <c r="O35" i="27"/>
  <c r="U34" i="27"/>
  <c r="O34" i="27"/>
  <c r="U33" i="27"/>
  <c r="M33" i="27"/>
  <c r="O33" i="27"/>
  <c r="U32" i="27"/>
  <c r="O32" i="27"/>
  <c r="S31" i="27"/>
  <c r="U31" i="27"/>
  <c r="O31" i="27"/>
  <c r="S30" i="27"/>
  <c r="U30" i="27" s="1"/>
  <c r="M30" i="27"/>
  <c r="O30" i="27" s="1"/>
  <c r="S29" i="27"/>
  <c r="U29" i="27" s="1"/>
  <c r="M29" i="27"/>
  <c r="O29" i="27" s="1"/>
  <c r="U28" i="27"/>
  <c r="O28" i="27"/>
  <c r="U27" i="27"/>
  <c r="O27" i="27"/>
  <c r="U26" i="27"/>
  <c r="M26" i="27"/>
  <c r="O26" i="27"/>
  <c r="U25" i="27"/>
  <c r="O25" i="27"/>
  <c r="U24" i="27"/>
  <c r="O24" i="27"/>
  <c r="U23" i="27"/>
  <c r="M23" i="27"/>
  <c r="O23" i="27" s="1"/>
  <c r="M22" i="27"/>
  <c r="O22" i="27" s="1"/>
  <c r="U21" i="27"/>
  <c r="M21" i="27"/>
  <c r="O21" i="27"/>
  <c r="U20" i="27"/>
  <c r="M20" i="27"/>
  <c r="O20" i="27" s="1"/>
  <c r="S19" i="27"/>
  <c r="U19" i="27" s="1"/>
  <c r="M19" i="27"/>
  <c r="O19" i="27" s="1"/>
  <c r="U18" i="27"/>
  <c r="O18" i="27"/>
  <c r="U17" i="27"/>
  <c r="U16" i="27"/>
  <c r="O16" i="27"/>
  <c r="U15" i="27"/>
  <c r="O15" i="27"/>
  <c r="U14" i="27"/>
  <c r="O14" i="27"/>
  <c r="S13" i="27"/>
  <c r="U13" i="27"/>
  <c r="M13" i="27"/>
  <c r="O13" i="27"/>
  <c r="B13" i="27"/>
  <c r="B14" i="27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U12" i="27"/>
  <c r="O12" i="27"/>
  <c r="S11" i="27"/>
  <c r="U11" i="27"/>
  <c r="O11" i="27"/>
  <c r="B11" i="27"/>
  <c r="U10" i="27"/>
  <c r="M10" i="27"/>
  <c r="H9" i="27"/>
  <c r="I9" i="27"/>
  <c r="J9" i="27" s="1"/>
  <c r="K9" i="27" s="1"/>
  <c r="L9" i="27" s="1"/>
  <c r="M9" i="27" s="1"/>
  <c r="N9" i="27" s="1"/>
  <c r="O9" i="27" s="1"/>
  <c r="P9" i="27" s="1"/>
  <c r="Q9" i="27" s="1"/>
  <c r="R9" i="27" s="1"/>
  <c r="S9" i="27" s="1"/>
  <c r="T9" i="27" s="1"/>
  <c r="U9" i="27" s="1"/>
  <c r="N101" i="26"/>
  <c r="M101" i="26"/>
  <c r="O101" i="26" s="1"/>
  <c r="M76" i="26"/>
  <c r="O76" i="26" s="1"/>
  <c r="M75" i="26"/>
  <c r="O75" i="26" s="1"/>
  <c r="M79" i="26"/>
  <c r="O79" i="26" s="1"/>
  <c r="S101" i="26"/>
  <c r="U101" i="26" s="1"/>
  <c r="M100" i="26"/>
  <c r="O100" i="26" s="1"/>
  <c r="M99" i="26"/>
  <c r="O99" i="26" s="1"/>
  <c r="M98" i="26"/>
  <c r="O98" i="26" s="1"/>
  <c r="M94" i="26"/>
  <c r="O94" i="26" s="1"/>
  <c r="M92" i="26"/>
  <c r="M90" i="26"/>
  <c r="O90" i="26"/>
  <c r="M85" i="26"/>
  <c r="O85" i="26"/>
  <c r="M84" i="26"/>
  <c r="O84" i="26"/>
  <c r="M83" i="26"/>
  <c r="O83" i="26"/>
  <c r="M82" i="26"/>
  <c r="O82" i="26"/>
  <c r="S82" i="26"/>
  <c r="U82" i="26"/>
  <c r="S80" i="26"/>
  <c r="U80" i="26"/>
  <c r="M80" i="26"/>
  <c r="S75" i="26"/>
  <c r="U75" i="26" s="1"/>
  <c r="M73" i="26"/>
  <c r="O73" i="26" s="1"/>
  <c r="S73" i="26"/>
  <c r="U73" i="26" s="1"/>
  <c r="M65" i="26"/>
  <c r="O65" i="26" s="1"/>
  <c r="M62" i="26"/>
  <c r="S62" i="26"/>
  <c r="M60" i="26"/>
  <c r="O60" i="26" s="1"/>
  <c r="M61" i="26"/>
  <c r="O61" i="26" s="1"/>
  <c r="M52" i="26"/>
  <c r="O52" i="26" s="1"/>
  <c r="S52" i="26"/>
  <c r="M51" i="26"/>
  <c r="O51" i="26"/>
  <c r="M50" i="26"/>
  <c r="O50" i="26"/>
  <c r="S49" i="26"/>
  <c r="U49" i="26"/>
  <c r="M47" i="26"/>
  <c r="O47" i="26"/>
  <c r="M38" i="26"/>
  <c r="O38" i="26"/>
  <c r="M43" i="26"/>
  <c r="O43" i="26"/>
  <c r="M39" i="26"/>
  <c r="O39" i="26"/>
  <c r="M48" i="26"/>
  <c r="O48" i="26"/>
  <c r="M37" i="26"/>
  <c r="O37" i="26"/>
  <c r="M33" i="26"/>
  <c r="O33" i="26"/>
  <c r="M29" i="26"/>
  <c r="O29" i="26"/>
  <c r="S30" i="26"/>
  <c r="M23" i="26"/>
  <c r="O23" i="26" s="1"/>
  <c r="M21" i="26"/>
  <c r="O21" i="26" s="1"/>
  <c r="M26" i="26"/>
  <c r="O26" i="26" s="1"/>
  <c r="M20" i="26"/>
  <c r="O20" i="26" s="1"/>
  <c r="M19" i="26"/>
  <c r="O19" i="26" s="1"/>
  <c r="S19" i="26"/>
  <c r="S13" i="26"/>
  <c r="M13" i="26"/>
  <c r="M10" i="26"/>
  <c r="T101" i="26"/>
  <c r="T95" i="26"/>
  <c r="T94" i="26"/>
  <c r="T91" i="26"/>
  <c r="T87" i="26"/>
  <c r="T85" i="26"/>
  <c r="T83" i="26"/>
  <c r="T82" i="26"/>
  <c r="T72" i="26"/>
  <c r="T62" i="26"/>
  <c r="T55" i="26"/>
  <c r="T54" i="26"/>
  <c r="T52" i="26"/>
  <c r="T50" i="26"/>
  <c r="T48" i="26"/>
  <c r="T44" i="26"/>
  <c r="T40" i="26"/>
  <c r="T36" i="26"/>
  <c r="T31" i="26"/>
  <c r="T29" i="26"/>
  <c r="T19" i="26"/>
  <c r="T13" i="26"/>
  <c r="T11" i="26"/>
  <c r="N95" i="26"/>
  <c r="N92" i="26"/>
  <c r="N87" i="26"/>
  <c r="N66" i="26"/>
  <c r="N62" i="26"/>
  <c r="O62" i="26"/>
  <c r="N13" i="26"/>
  <c r="O10" i="28"/>
  <c r="O62" i="28"/>
  <c r="O87" i="28"/>
  <c r="O92" i="28"/>
  <c r="N105" i="28"/>
  <c r="AG105" i="28" s="1"/>
  <c r="O82" i="28"/>
  <c r="O95" i="28"/>
  <c r="R105" i="26"/>
  <c r="Q105" i="26"/>
  <c r="P105" i="26"/>
  <c r="L105" i="26"/>
  <c r="K105" i="26"/>
  <c r="J105" i="26"/>
  <c r="I105" i="26"/>
  <c r="H105" i="26"/>
  <c r="U104" i="26"/>
  <c r="O104" i="26"/>
  <c r="U103" i="26"/>
  <c r="O103" i="26"/>
  <c r="U102" i="26"/>
  <c r="O102" i="26"/>
  <c r="U99" i="26"/>
  <c r="U98" i="26"/>
  <c r="U97" i="26"/>
  <c r="O97" i="26"/>
  <c r="U96" i="26"/>
  <c r="O96" i="26"/>
  <c r="S95" i="26"/>
  <c r="U95" i="26" s="1"/>
  <c r="M95" i="26"/>
  <c r="O95" i="26" s="1"/>
  <c r="S94" i="26"/>
  <c r="U93" i="26"/>
  <c r="O93" i="26"/>
  <c r="U92" i="26"/>
  <c r="S91" i="26"/>
  <c r="U91" i="26" s="1"/>
  <c r="O91" i="26"/>
  <c r="U90" i="26"/>
  <c r="S89" i="26"/>
  <c r="U89" i="26" s="1"/>
  <c r="U88" i="26"/>
  <c r="O88" i="26"/>
  <c r="S87" i="26"/>
  <c r="M87" i="26"/>
  <c r="O87" i="26"/>
  <c r="U86" i="26"/>
  <c r="O86" i="26"/>
  <c r="S85" i="26"/>
  <c r="U84" i="26"/>
  <c r="S83" i="26"/>
  <c r="U83" i="26"/>
  <c r="U81" i="26"/>
  <c r="O81" i="26"/>
  <c r="O80" i="26"/>
  <c r="U79" i="26"/>
  <c r="U78" i="26"/>
  <c r="O78" i="26"/>
  <c r="U77" i="26"/>
  <c r="O77" i="26"/>
  <c r="U76" i="26"/>
  <c r="U74" i="26"/>
  <c r="O74" i="26"/>
  <c r="S72" i="26"/>
  <c r="U72" i="26" s="1"/>
  <c r="O72" i="26"/>
  <c r="U71" i="26"/>
  <c r="O71" i="26"/>
  <c r="U70" i="26"/>
  <c r="O70" i="26"/>
  <c r="U69" i="26"/>
  <c r="O69" i="26"/>
  <c r="U68" i="26"/>
  <c r="O68" i="26"/>
  <c r="U67" i="26"/>
  <c r="O67" i="26"/>
  <c r="U66" i="26"/>
  <c r="M66" i="26"/>
  <c r="O66" i="26" s="1"/>
  <c r="U65" i="26"/>
  <c r="U64" i="26"/>
  <c r="O64" i="26"/>
  <c r="U63" i="26"/>
  <c r="O63" i="26"/>
  <c r="U61" i="26"/>
  <c r="U60" i="26"/>
  <c r="U59" i="26"/>
  <c r="O59" i="26"/>
  <c r="U58" i="26"/>
  <c r="O58" i="26"/>
  <c r="U57" i="26"/>
  <c r="O57" i="26"/>
  <c r="U56" i="26"/>
  <c r="S55" i="26"/>
  <c r="O55" i="26"/>
  <c r="S54" i="26"/>
  <c r="U54" i="26" s="1"/>
  <c r="O54" i="26"/>
  <c r="U53" i="26"/>
  <c r="O53" i="26"/>
  <c r="U51" i="26"/>
  <c r="S50" i="26"/>
  <c r="U50" i="26" s="1"/>
  <c r="O49" i="26"/>
  <c r="S48" i="26"/>
  <c r="U47" i="26"/>
  <c r="U46" i="26"/>
  <c r="O46" i="26"/>
  <c r="U45" i="26"/>
  <c r="O45" i="26"/>
  <c r="S44" i="26"/>
  <c r="U44" i="26"/>
  <c r="O44" i="26"/>
  <c r="U43" i="26"/>
  <c r="U42" i="26"/>
  <c r="O42" i="26"/>
  <c r="U41" i="26"/>
  <c r="O41" i="26"/>
  <c r="S40" i="26"/>
  <c r="U40" i="26"/>
  <c r="O40" i="26"/>
  <c r="U39" i="26"/>
  <c r="U38" i="26"/>
  <c r="U37" i="26"/>
  <c r="S36" i="26"/>
  <c r="O36" i="26"/>
  <c r="U35" i="26"/>
  <c r="O35" i="26"/>
  <c r="U34" i="26"/>
  <c r="O34" i="26"/>
  <c r="U33" i="26"/>
  <c r="U32" i="26"/>
  <c r="O32" i="26"/>
  <c r="S31" i="26"/>
  <c r="U31" i="26" s="1"/>
  <c r="O31" i="26"/>
  <c r="O30" i="26"/>
  <c r="S29" i="26"/>
  <c r="U29" i="26" s="1"/>
  <c r="U28" i="26"/>
  <c r="O28" i="26"/>
  <c r="U27" i="26"/>
  <c r="O27" i="26"/>
  <c r="U26" i="26"/>
  <c r="U25" i="26"/>
  <c r="O25" i="26"/>
  <c r="U24" i="26"/>
  <c r="O24" i="26"/>
  <c r="U23" i="26"/>
  <c r="O22" i="26"/>
  <c r="U21" i="26"/>
  <c r="U20" i="26"/>
  <c r="U18" i="26"/>
  <c r="O18" i="26"/>
  <c r="U17" i="26"/>
  <c r="O17" i="26"/>
  <c r="U16" i="26"/>
  <c r="O16" i="26"/>
  <c r="U15" i="26"/>
  <c r="O15" i="26"/>
  <c r="U14" i="26"/>
  <c r="O14" i="26"/>
  <c r="B13" i="26"/>
  <c r="B14" i="26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U12" i="26"/>
  <c r="O12" i="26"/>
  <c r="S11" i="26"/>
  <c r="S105" i="26"/>
  <c r="O11" i="26"/>
  <c r="B11" i="26"/>
  <c r="U10" i="26"/>
  <c r="O10" i="26"/>
  <c r="H9" i="26"/>
  <c r="I9" i="26"/>
  <c r="J9" i="26" s="1"/>
  <c r="K9" i="26" s="1"/>
  <c r="L9" i="26" s="1"/>
  <c r="M9" i="26" s="1"/>
  <c r="N9" i="26" s="1"/>
  <c r="O9" i="26" s="1"/>
  <c r="P9" i="26" s="1"/>
  <c r="Q9" i="26" s="1"/>
  <c r="R9" i="26" s="1"/>
  <c r="S9" i="26" s="1"/>
  <c r="T9" i="26" s="1"/>
  <c r="U9" i="26" s="1"/>
  <c r="N76" i="25"/>
  <c r="O76" i="25"/>
  <c r="R105" i="25"/>
  <c r="Q105" i="25"/>
  <c r="P105" i="25"/>
  <c r="L105" i="25"/>
  <c r="K105" i="25"/>
  <c r="J105" i="25"/>
  <c r="I105" i="25"/>
  <c r="H105" i="25"/>
  <c r="U104" i="25"/>
  <c r="O104" i="25"/>
  <c r="U103" i="25"/>
  <c r="O103" i="25"/>
  <c r="U102" i="25"/>
  <c r="O102" i="25"/>
  <c r="T101" i="25"/>
  <c r="S101" i="25"/>
  <c r="U101" i="25" s="1"/>
  <c r="O101" i="25"/>
  <c r="U100" i="25"/>
  <c r="N100" i="25"/>
  <c r="U99" i="25"/>
  <c r="O99" i="25"/>
  <c r="T98" i="25"/>
  <c r="U98" i="25"/>
  <c r="O98" i="25"/>
  <c r="U97" i="25"/>
  <c r="N97" i="25"/>
  <c r="U96" i="25"/>
  <c r="O96" i="25"/>
  <c r="T95" i="25"/>
  <c r="S95" i="25"/>
  <c r="U95" i="25"/>
  <c r="N95" i="25"/>
  <c r="M95" i="25"/>
  <c r="O95" i="25" s="1"/>
  <c r="T94" i="25"/>
  <c r="S94" i="25"/>
  <c r="U94" i="25"/>
  <c r="O94" i="25"/>
  <c r="U93" i="25"/>
  <c r="O93" i="25"/>
  <c r="U92" i="25"/>
  <c r="N92" i="25"/>
  <c r="M92" i="25"/>
  <c r="O92" i="25" s="1"/>
  <c r="T91" i="25"/>
  <c r="S91" i="25"/>
  <c r="U91" i="25"/>
  <c r="O91" i="25"/>
  <c r="U90" i="25"/>
  <c r="O90" i="25"/>
  <c r="T89" i="25"/>
  <c r="S89" i="25"/>
  <c r="U89" i="25"/>
  <c r="N89" i="25"/>
  <c r="O89" i="25"/>
  <c r="U88" i="25"/>
  <c r="O88" i="25"/>
  <c r="T87" i="25"/>
  <c r="S87" i="25"/>
  <c r="U87" i="25" s="1"/>
  <c r="N87" i="25"/>
  <c r="M87" i="25"/>
  <c r="O87" i="25"/>
  <c r="U86" i="25"/>
  <c r="O86" i="25"/>
  <c r="T85" i="25"/>
  <c r="S85" i="25"/>
  <c r="U85" i="25" s="1"/>
  <c r="N85" i="25"/>
  <c r="O85" i="25" s="1"/>
  <c r="U84" i="25"/>
  <c r="O84" i="25"/>
  <c r="T83" i="25"/>
  <c r="S83" i="25"/>
  <c r="U83" i="25"/>
  <c r="N83" i="25"/>
  <c r="O83" i="25"/>
  <c r="T82" i="25"/>
  <c r="S82" i="25"/>
  <c r="U82" i="25" s="1"/>
  <c r="O82" i="25"/>
  <c r="U81" i="25"/>
  <c r="O81" i="25"/>
  <c r="U80" i="25"/>
  <c r="O80" i="25"/>
  <c r="U79" i="25"/>
  <c r="O79" i="25"/>
  <c r="U78" i="25"/>
  <c r="O78" i="25"/>
  <c r="U77" i="25"/>
  <c r="N77" i="25"/>
  <c r="O77" i="25" s="1"/>
  <c r="T76" i="25"/>
  <c r="U76" i="25" s="1"/>
  <c r="U75" i="25"/>
  <c r="O75" i="25"/>
  <c r="U74" i="25"/>
  <c r="O74" i="25"/>
  <c r="U73" i="25"/>
  <c r="O73" i="25"/>
  <c r="T72" i="25"/>
  <c r="S72" i="25"/>
  <c r="U72" i="25"/>
  <c r="O72" i="25"/>
  <c r="T71" i="25"/>
  <c r="O71" i="25"/>
  <c r="U70" i="25"/>
  <c r="O70" i="25"/>
  <c r="U69" i="25"/>
  <c r="O69" i="25"/>
  <c r="U68" i="25"/>
  <c r="O68" i="25"/>
  <c r="T67" i="25"/>
  <c r="U67" i="25" s="1"/>
  <c r="O67" i="25"/>
  <c r="U66" i="25"/>
  <c r="N66" i="25"/>
  <c r="M66" i="25"/>
  <c r="O66" i="25"/>
  <c r="U65" i="25"/>
  <c r="N65" i="25"/>
  <c r="U64" i="25"/>
  <c r="O64" i="25"/>
  <c r="U63" i="25"/>
  <c r="O63" i="25"/>
  <c r="T62" i="25"/>
  <c r="S62" i="25"/>
  <c r="U62" i="25" s="1"/>
  <c r="N62" i="25"/>
  <c r="M62" i="25"/>
  <c r="O62" i="25"/>
  <c r="U61" i="25"/>
  <c r="O61" i="25"/>
  <c r="U60" i="25"/>
  <c r="O60" i="25"/>
  <c r="U59" i="25"/>
  <c r="O59" i="25"/>
  <c r="U58" i="25"/>
  <c r="O58" i="25"/>
  <c r="U57" i="25"/>
  <c r="O57" i="25"/>
  <c r="T56" i="25"/>
  <c r="U56" i="25"/>
  <c r="N56" i="25"/>
  <c r="O56" i="25"/>
  <c r="T55" i="25"/>
  <c r="S55" i="25"/>
  <c r="U55" i="25" s="1"/>
  <c r="O55" i="25"/>
  <c r="T54" i="25"/>
  <c r="S54" i="25"/>
  <c r="U54" i="25" s="1"/>
  <c r="N54" i="25"/>
  <c r="O54" i="25" s="1"/>
  <c r="U53" i="25"/>
  <c r="O53" i="25"/>
  <c r="T52" i="25"/>
  <c r="S52" i="25"/>
  <c r="U52" i="25"/>
  <c r="N52" i="25"/>
  <c r="O52" i="25"/>
  <c r="U51" i="25"/>
  <c r="O51" i="25"/>
  <c r="T50" i="25"/>
  <c r="S50" i="25"/>
  <c r="O50" i="25"/>
  <c r="T49" i="25"/>
  <c r="U49" i="25" s="1"/>
  <c r="O49" i="25"/>
  <c r="T48" i="25"/>
  <c r="S48" i="25"/>
  <c r="U48" i="25" s="1"/>
  <c r="O48" i="25"/>
  <c r="U47" i="25"/>
  <c r="N47" i="25"/>
  <c r="O47" i="25" s="1"/>
  <c r="U46" i="25"/>
  <c r="O46" i="25"/>
  <c r="U45" i="25"/>
  <c r="O45" i="25"/>
  <c r="T44" i="25"/>
  <c r="S44" i="25"/>
  <c r="U44" i="25"/>
  <c r="N44" i="25"/>
  <c r="O44" i="25"/>
  <c r="U43" i="25"/>
  <c r="O43" i="25"/>
  <c r="T42" i="25"/>
  <c r="U42" i="25"/>
  <c r="O42" i="25"/>
  <c r="U41" i="25"/>
  <c r="N41" i="25"/>
  <c r="O41" i="25"/>
  <c r="T40" i="25"/>
  <c r="S40" i="25"/>
  <c r="U40" i="25" s="1"/>
  <c r="N40" i="25"/>
  <c r="O40" i="25" s="1"/>
  <c r="U39" i="25"/>
  <c r="O39" i="25"/>
  <c r="U38" i="25"/>
  <c r="O38" i="25"/>
  <c r="U37" i="25"/>
  <c r="N37" i="25"/>
  <c r="O37" i="25"/>
  <c r="T36" i="25"/>
  <c r="S36" i="25"/>
  <c r="U36" i="25" s="1"/>
  <c r="O36" i="25"/>
  <c r="T35" i="25"/>
  <c r="U35" i="25"/>
  <c r="N35" i="25"/>
  <c r="O35" i="25"/>
  <c r="U34" i="25"/>
  <c r="N34" i="25"/>
  <c r="U33" i="25"/>
  <c r="N33" i="25"/>
  <c r="O33" i="25" s="1"/>
  <c r="U32" i="25"/>
  <c r="O32" i="25"/>
  <c r="T31" i="25"/>
  <c r="S31" i="25"/>
  <c r="U31" i="25"/>
  <c r="O31" i="25"/>
  <c r="T30" i="25"/>
  <c r="U30" i="25" s="1"/>
  <c r="N30" i="25"/>
  <c r="O30" i="25" s="1"/>
  <c r="T29" i="25"/>
  <c r="S29" i="25"/>
  <c r="U29" i="25"/>
  <c r="N29" i="25"/>
  <c r="U28" i="25"/>
  <c r="O28" i="25"/>
  <c r="T27" i="25"/>
  <c r="U27" i="25" s="1"/>
  <c r="N27" i="25"/>
  <c r="U26" i="25"/>
  <c r="O26" i="25"/>
  <c r="T25" i="25"/>
  <c r="U25" i="25"/>
  <c r="N25" i="25"/>
  <c r="O25" i="25"/>
  <c r="U24" i="25"/>
  <c r="O24" i="25"/>
  <c r="U23" i="25"/>
  <c r="O23" i="25"/>
  <c r="U22" i="25"/>
  <c r="O22" i="25"/>
  <c r="T21" i="25"/>
  <c r="U21" i="25"/>
  <c r="N21" i="25"/>
  <c r="T20" i="25"/>
  <c r="U20" i="25" s="1"/>
  <c r="O20" i="25"/>
  <c r="T19" i="25"/>
  <c r="S19" i="25"/>
  <c r="U19" i="25" s="1"/>
  <c r="O19" i="25"/>
  <c r="U18" i="25"/>
  <c r="O18" i="25"/>
  <c r="U17" i="25"/>
  <c r="O17" i="25"/>
  <c r="U16" i="25"/>
  <c r="O16" i="25"/>
  <c r="U15" i="25"/>
  <c r="O15" i="25"/>
  <c r="T14" i="25"/>
  <c r="N14" i="25"/>
  <c r="T13" i="25"/>
  <c r="S13" i="25"/>
  <c r="U13" i="25" s="1"/>
  <c r="N13" i="25"/>
  <c r="M13" i="25"/>
  <c r="B13" i="25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U12" i="25"/>
  <c r="O12" i="25"/>
  <c r="T11" i="25"/>
  <c r="T105" i="25" s="1"/>
  <c r="S11" i="25"/>
  <c r="O11" i="25"/>
  <c r="B11" i="25"/>
  <c r="U10" i="25"/>
  <c r="O10" i="25"/>
  <c r="H9" i="25"/>
  <c r="I9" i="25"/>
  <c r="J9" i="25" s="1"/>
  <c r="K9" i="25" s="1"/>
  <c r="L9" i="25" s="1"/>
  <c r="M9" i="25" s="1"/>
  <c r="N9" i="25" s="1"/>
  <c r="O9" i="25" s="1"/>
  <c r="P9" i="25" s="1"/>
  <c r="Q9" i="25" s="1"/>
  <c r="R9" i="25" s="1"/>
  <c r="S9" i="25" s="1"/>
  <c r="T9" i="25" s="1"/>
  <c r="U9" i="25" s="1"/>
  <c r="R105" i="24"/>
  <c r="Q105" i="24"/>
  <c r="P105" i="24"/>
  <c r="L105" i="24"/>
  <c r="K105" i="24"/>
  <c r="J105" i="24"/>
  <c r="I105" i="24"/>
  <c r="H105" i="24"/>
  <c r="U104" i="24"/>
  <c r="O104" i="24"/>
  <c r="U103" i="24"/>
  <c r="O103" i="24"/>
  <c r="U102" i="24"/>
  <c r="O102" i="24"/>
  <c r="T101" i="24"/>
  <c r="S101" i="24"/>
  <c r="U101" i="24" s="1"/>
  <c r="O101" i="24"/>
  <c r="U100" i="24"/>
  <c r="N100" i="24"/>
  <c r="M100" i="24"/>
  <c r="O100" i="24"/>
  <c r="U99" i="24"/>
  <c r="O99" i="24"/>
  <c r="T98" i="24"/>
  <c r="S98" i="24"/>
  <c r="U98" i="24" s="1"/>
  <c r="O98" i="24"/>
  <c r="U97" i="24"/>
  <c r="N97" i="24"/>
  <c r="M97" i="24"/>
  <c r="O97" i="24"/>
  <c r="U96" i="24"/>
  <c r="O96" i="24"/>
  <c r="T95" i="24"/>
  <c r="S95" i="24"/>
  <c r="N95" i="24"/>
  <c r="M95" i="24"/>
  <c r="O95" i="24" s="1"/>
  <c r="T94" i="24"/>
  <c r="S94" i="24"/>
  <c r="U94" i="24"/>
  <c r="O94" i="24"/>
  <c r="U93" i="24"/>
  <c r="O93" i="24"/>
  <c r="U92" i="24"/>
  <c r="N92" i="24"/>
  <c r="M92" i="24"/>
  <c r="O92" i="24" s="1"/>
  <c r="T91" i="24"/>
  <c r="S91" i="24"/>
  <c r="U91" i="24"/>
  <c r="O91" i="24"/>
  <c r="U90" i="24"/>
  <c r="O90" i="24"/>
  <c r="T89" i="24"/>
  <c r="S89" i="24"/>
  <c r="U89" i="24"/>
  <c r="N89" i="24"/>
  <c r="M89" i="24"/>
  <c r="O89" i="24" s="1"/>
  <c r="U88" i="24"/>
  <c r="O88" i="24"/>
  <c r="T87" i="24"/>
  <c r="S87" i="24"/>
  <c r="U87" i="24"/>
  <c r="N87" i="24"/>
  <c r="M87" i="24"/>
  <c r="O87" i="24" s="1"/>
  <c r="U86" i="24"/>
  <c r="O86" i="24"/>
  <c r="T85" i="24"/>
  <c r="S85" i="24"/>
  <c r="U85" i="24"/>
  <c r="N85" i="24"/>
  <c r="M85" i="24"/>
  <c r="O85" i="24" s="1"/>
  <c r="U84" i="24"/>
  <c r="O84" i="24"/>
  <c r="T83" i="24"/>
  <c r="S83" i="24"/>
  <c r="U83" i="24"/>
  <c r="N83" i="24"/>
  <c r="M83" i="24"/>
  <c r="O83" i="24" s="1"/>
  <c r="T82" i="24"/>
  <c r="S82" i="24"/>
  <c r="U82" i="24"/>
  <c r="O82" i="24"/>
  <c r="U81" i="24"/>
  <c r="O81" i="24"/>
  <c r="U80" i="24"/>
  <c r="O80" i="24"/>
  <c r="U79" i="24"/>
  <c r="O79" i="24"/>
  <c r="U78" i="24"/>
  <c r="O78" i="24"/>
  <c r="U77" i="24"/>
  <c r="N77" i="24"/>
  <c r="M77" i="24"/>
  <c r="O77" i="24" s="1"/>
  <c r="T76" i="24"/>
  <c r="S76" i="24"/>
  <c r="U76" i="24"/>
  <c r="N76" i="24"/>
  <c r="M76" i="24"/>
  <c r="O76" i="24" s="1"/>
  <c r="U75" i="24"/>
  <c r="O75" i="24"/>
  <c r="U74" i="24"/>
  <c r="O74" i="24"/>
  <c r="U73" i="24"/>
  <c r="O73" i="24"/>
  <c r="T72" i="24"/>
  <c r="S72" i="24"/>
  <c r="U72" i="24"/>
  <c r="O72" i="24"/>
  <c r="T71" i="24"/>
  <c r="S71" i="24"/>
  <c r="U71" i="24"/>
  <c r="O71" i="24"/>
  <c r="U70" i="24"/>
  <c r="O70" i="24"/>
  <c r="U69" i="24"/>
  <c r="O69" i="24"/>
  <c r="U68" i="24"/>
  <c r="O68" i="24"/>
  <c r="T67" i="24"/>
  <c r="S67" i="24"/>
  <c r="U67" i="24"/>
  <c r="O67" i="24"/>
  <c r="U66" i="24"/>
  <c r="N66" i="24"/>
  <c r="M66" i="24"/>
  <c r="O66" i="24" s="1"/>
  <c r="U65" i="24"/>
  <c r="N65" i="24"/>
  <c r="M65" i="24"/>
  <c r="O65" i="24" s="1"/>
  <c r="U64" i="24"/>
  <c r="O64" i="24"/>
  <c r="U63" i="24"/>
  <c r="O63" i="24"/>
  <c r="T62" i="24"/>
  <c r="S62" i="24"/>
  <c r="U62" i="24"/>
  <c r="N62" i="24"/>
  <c r="M62" i="24"/>
  <c r="O62" i="24" s="1"/>
  <c r="U61" i="24"/>
  <c r="O61" i="24"/>
  <c r="U60" i="24"/>
  <c r="O60" i="24"/>
  <c r="U59" i="24"/>
  <c r="O59" i="24"/>
  <c r="U58" i="24"/>
  <c r="O58" i="24"/>
  <c r="U57" i="24"/>
  <c r="O57" i="24"/>
  <c r="T56" i="24"/>
  <c r="S56" i="24"/>
  <c r="U56" i="24"/>
  <c r="N56" i="24"/>
  <c r="M56" i="24"/>
  <c r="O56" i="24" s="1"/>
  <c r="T55" i="24"/>
  <c r="S55" i="24"/>
  <c r="U55" i="24"/>
  <c r="O55" i="24"/>
  <c r="T54" i="24"/>
  <c r="S54" i="24"/>
  <c r="U54" i="24"/>
  <c r="N54" i="24"/>
  <c r="M54" i="24"/>
  <c r="O54" i="24" s="1"/>
  <c r="U53" i="24"/>
  <c r="O53" i="24"/>
  <c r="T52" i="24"/>
  <c r="S52" i="24"/>
  <c r="U52" i="24"/>
  <c r="N52" i="24"/>
  <c r="M52" i="24"/>
  <c r="O52" i="24" s="1"/>
  <c r="U51" i="24"/>
  <c r="O51" i="24"/>
  <c r="T50" i="24"/>
  <c r="S50" i="24"/>
  <c r="U50" i="24"/>
  <c r="O50" i="24"/>
  <c r="T49" i="24"/>
  <c r="S49" i="24"/>
  <c r="U49" i="24"/>
  <c r="O49" i="24"/>
  <c r="T48" i="24"/>
  <c r="S48" i="24"/>
  <c r="U48" i="24"/>
  <c r="O48" i="24"/>
  <c r="U47" i="24"/>
  <c r="N47" i="24"/>
  <c r="M47" i="24"/>
  <c r="O47" i="24" s="1"/>
  <c r="U46" i="24"/>
  <c r="O46" i="24"/>
  <c r="U45" i="24"/>
  <c r="O45" i="24"/>
  <c r="T44" i="24"/>
  <c r="S44" i="24"/>
  <c r="U44" i="24"/>
  <c r="N44" i="24"/>
  <c r="M44" i="24"/>
  <c r="O44" i="24" s="1"/>
  <c r="U43" i="24"/>
  <c r="O43" i="24"/>
  <c r="T42" i="24"/>
  <c r="S42" i="24"/>
  <c r="U42" i="24"/>
  <c r="O42" i="24"/>
  <c r="U41" i="24"/>
  <c r="N41" i="24"/>
  <c r="M41" i="24"/>
  <c r="O41" i="24" s="1"/>
  <c r="T40" i="24"/>
  <c r="S40" i="24"/>
  <c r="U40" i="24"/>
  <c r="N40" i="24"/>
  <c r="M40" i="24"/>
  <c r="O40" i="24" s="1"/>
  <c r="U39" i="24"/>
  <c r="O39" i="24"/>
  <c r="U38" i="24"/>
  <c r="O38" i="24"/>
  <c r="U37" i="24"/>
  <c r="N37" i="24"/>
  <c r="M37" i="24"/>
  <c r="O37" i="24" s="1"/>
  <c r="T36" i="24"/>
  <c r="S36" i="24"/>
  <c r="U36" i="24"/>
  <c r="O36" i="24"/>
  <c r="T35" i="24"/>
  <c r="S35" i="24"/>
  <c r="U35" i="24"/>
  <c r="N35" i="24"/>
  <c r="M35" i="24"/>
  <c r="O35" i="24" s="1"/>
  <c r="U34" i="24"/>
  <c r="N34" i="24"/>
  <c r="M34" i="24"/>
  <c r="U33" i="24"/>
  <c r="N33" i="24"/>
  <c r="M33" i="24"/>
  <c r="O33" i="24"/>
  <c r="U32" i="24"/>
  <c r="O32" i="24"/>
  <c r="T31" i="24"/>
  <c r="S31" i="24"/>
  <c r="U31" i="24" s="1"/>
  <c r="O31" i="24"/>
  <c r="T30" i="24"/>
  <c r="S30" i="24"/>
  <c r="U30" i="24" s="1"/>
  <c r="N30" i="24"/>
  <c r="M30" i="24"/>
  <c r="O30" i="24"/>
  <c r="T29" i="24"/>
  <c r="S29" i="24"/>
  <c r="U29" i="24" s="1"/>
  <c r="N29" i="24"/>
  <c r="M29" i="24"/>
  <c r="O29" i="24"/>
  <c r="U28" i="24"/>
  <c r="O28" i="24"/>
  <c r="T27" i="24"/>
  <c r="S27" i="24"/>
  <c r="U27" i="24" s="1"/>
  <c r="N27" i="24"/>
  <c r="M27" i="24"/>
  <c r="O27" i="24"/>
  <c r="U26" i="24"/>
  <c r="O26" i="24"/>
  <c r="T25" i="24"/>
  <c r="S25" i="24"/>
  <c r="U25" i="24" s="1"/>
  <c r="N25" i="24"/>
  <c r="M25" i="24"/>
  <c r="O25" i="24"/>
  <c r="U24" i="24"/>
  <c r="O24" i="24"/>
  <c r="U23" i="24"/>
  <c r="O23" i="24"/>
  <c r="U22" i="24"/>
  <c r="O22" i="24"/>
  <c r="T21" i="24"/>
  <c r="S21" i="24"/>
  <c r="U21" i="24" s="1"/>
  <c r="N21" i="24"/>
  <c r="M21" i="24"/>
  <c r="O21" i="24"/>
  <c r="T20" i="24"/>
  <c r="S20" i="24"/>
  <c r="U20" i="24" s="1"/>
  <c r="O20" i="24"/>
  <c r="T19" i="24"/>
  <c r="S19" i="24"/>
  <c r="U19" i="24" s="1"/>
  <c r="O19" i="24"/>
  <c r="U18" i="24"/>
  <c r="O18" i="24"/>
  <c r="U17" i="24"/>
  <c r="O17" i="24"/>
  <c r="U16" i="24"/>
  <c r="O16" i="24"/>
  <c r="U15" i="24"/>
  <c r="O15" i="24"/>
  <c r="T14" i="24"/>
  <c r="S14" i="24"/>
  <c r="U14" i="24" s="1"/>
  <c r="N14" i="24"/>
  <c r="M14" i="24"/>
  <c r="O14" i="24"/>
  <c r="T13" i="24"/>
  <c r="S13" i="24"/>
  <c r="U13" i="24" s="1"/>
  <c r="N13" i="24"/>
  <c r="N105" i="24" s="1"/>
  <c r="M13" i="24"/>
  <c r="O13" i="24" s="1"/>
  <c r="B13" i="24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2" i="24" s="1"/>
  <c r="B63" i="24" s="1"/>
  <c r="B64" i="24" s="1"/>
  <c r="B65" i="24" s="1"/>
  <c r="B66" i="24" s="1"/>
  <c r="B67" i="24" s="1"/>
  <c r="B68" i="24" s="1"/>
  <c r="B69" i="24" s="1"/>
  <c r="B70" i="24" s="1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B82" i="24" s="1"/>
  <c r="B83" i="24" s="1"/>
  <c r="B84" i="24" s="1"/>
  <c r="B85" i="24" s="1"/>
  <c r="B86" i="24" s="1"/>
  <c r="B87" i="24" s="1"/>
  <c r="B88" i="24" s="1"/>
  <c r="B89" i="24" s="1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2" i="24" s="1"/>
  <c r="U12" i="24"/>
  <c r="O12" i="24"/>
  <c r="T11" i="24"/>
  <c r="T105" i="24" s="1"/>
  <c r="S11" i="24"/>
  <c r="U11" i="24" s="1"/>
  <c r="O11" i="24"/>
  <c r="B11" i="24"/>
  <c r="U10" i="24"/>
  <c r="O10" i="24"/>
  <c r="H9" i="24"/>
  <c r="I9" i="24" s="1"/>
  <c r="J9" i="24" s="1"/>
  <c r="K9" i="24" s="1"/>
  <c r="L9" i="24" s="1"/>
  <c r="M9" i="24" s="1"/>
  <c r="N9" i="24" s="1"/>
  <c r="O9" i="24" s="1"/>
  <c r="P9" i="24" s="1"/>
  <c r="Q9" i="24" s="1"/>
  <c r="R9" i="24" s="1"/>
  <c r="S9" i="24" s="1"/>
  <c r="T9" i="24" s="1"/>
  <c r="U9" i="24" s="1"/>
  <c r="T95" i="22"/>
  <c r="S95" i="22"/>
  <c r="U95" i="22"/>
  <c r="T105" i="26"/>
  <c r="U13" i="26"/>
  <c r="U19" i="26"/>
  <c r="U36" i="26"/>
  <c r="U48" i="26"/>
  <c r="U55" i="26"/>
  <c r="U62" i="26"/>
  <c r="U85" i="26"/>
  <c r="U87" i="26"/>
  <c r="U11" i="26"/>
  <c r="U50" i="25"/>
  <c r="O97" i="25"/>
  <c r="O100" i="25"/>
  <c r="U95" i="24"/>
  <c r="U14" i="25"/>
  <c r="O21" i="25"/>
  <c r="O27" i="25"/>
  <c r="O29" i="25"/>
  <c r="O34" i="25"/>
  <c r="O65" i="25"/>
  <c r="U71" i="25"/>
  <c r="S101" i="22"/>
  <c r="U101" i="22" s="1"/>
  <c r="T101" i="22"/>
  <c r="O11" i="22"/>
  <c r="O12" i="22"/>
  <c r="O15" i="22"/>
  <c r="O16" i="22"/>
  <c r="O17" i="22"/>
  <c r="O18" i="22"/>
  <c r="O19" i="22"/>
  <c r="O20" i="22"/>
  <c r="O22" i="22"/>
  <c r="O23" i="22"/>
  <c r="O24" i="22"/>
  <c r="O26" i="22"/>
  <c r="O28" i="22"/>
  <c r="O31" i="22"/>
  <c r="O32" i="22"/>
  <c r="O36" i="22"/>
  <c r="O38" i="22"/>
  <c r="O39" i="22"/>
  <c r="O42" i="22"/>
  <c r="O43" i="22"/>
  <c r="O45" i="22"/>
  <c r="O46" i="22"/>
  <c r="O48" i="22"/>
  <c r="O49" i="22"/>
  <c r="O50" i="22"/>
  <c r="O51" i="22"/>
  <c r="O53" i="22"/>
  <c r="O55" i="22"/>
  <c r="O57" i="22"/>
  <c r="O58" i="22"/>
  <c r="O59" i="22"/>
  <c r="O60" i="22"/>
  <c r="O61" i="22"/>
  <c r="O63" i="22"/>
  <c r="O64" i="22"/>
  <c r="O67" i="22"/>
  <c r="O68" i="22"/>
  <c r="O69" i="22"/>
  <c r="O70" i="22"/>
  <c r="O71" i="22"/>
  <c r="O72" i="22"/>
  <c r="O73" i="22"/>
  <c r="O74" i="22"/>
  <c r="O75" i="22"/>
  <c r="O78" i="22"/>
  <c r="O79" i="22"/>
  <c r="O80" i="22"/>
  <c r="O81" i="22"/>
  <c r="O82" i="22"/>
  <c r="O84" i="22"/>
  <c r="O86" i="22"/>
  <c r="O88" i="22"/>
  <c r="O90" i="22"/>
  <c r="O91" i="22"/>
  <c r="O93" i="22"/>
  <c r="O94" i="22"/>
  <c r="O96" i="22"/>
  <c r="O98" i="22"/>
  <c r="O99" i="22"/>
  <c r="O101" i="22"/>
  <c r="O102" i="22"/>
  <c r="O103" i="22"/>
  <c r="O104" i="22"/>
  <c r="U104" i="22"/>
  <c r="N100" i="22"/>
  <c r="N97" i="22"/>
  <c r="N95" i="22"/>
  <c r="N92" i="22"/>
  <c r="N89" i="22"/>
  <c r="N87" i="22"/>
  <c r="N85" i="22"/>
  <c r="N83" i="22"/>
  <c r="N77" i="22"/>
  <c r="N76" i="22"/>
  <c r="N66" i="22"/>
  <c r="N65" i="22"/>
  <c r="N62" i="22"/>
  <c r="N56" i="22"/>
  <c r="N54" i="22"/>
  <c r="N52" i="22"/>
  <c r="N47" i="22"/>
  <c r="N44" i="22"/>
  <c r="N41" i="22"/>
  <c r="N40" i="22"/>
  <c r="N37" i="22"/>
  <c r="N35" i="22"/>
  <c r="N34" i="22"/>
  <c r="N33" i="22"/>
  <c r="N30" i="22"/>
  <c r="N29" i="22"/>
  <c r="N27" i="22"/>
  <c r="N25" i="22"/>
  <c r="N21" i="22"/>
  <c r="N14" i="22"/>
  <c r="N13" i="22"/>
  <c r="N105" i="22"/>
  <c r="M95" i="22"/>
  <c r="O95" i="22"/>
  <c r="T98" i="22"/>
  <c r="T94" i="22"/>
  <c r="T91" i="22"/>
  <c r="T89" i="22"/>
  <c r="T87" i="22"/>
  <c r="T85" i="22"/>
  <c r="T83" i="22"/>
  <c r="T82" i="22"/>
  <c r="T76" i="22"/>
  <c r="T72" i="22"/>
  <c r="T71" i="22"/>
  <c r="T67" i="22"/>
  <c r="T62" i="22"/>
  <c r="T56" i="22"/>
  <c r="T55" i="22"/>
  <c r="T54" i="22"/>
  <c r="T52" i="22"/>
  <c r="T50" i="22"/>
  <c r="T49" i="22"/>
  <c r="T48" i="22"/>
  <c r="T44" i="22"/>
  <c r="T42" i="22"/>
  <c r="T40" i="22"/>
  <c r="T36" i="22"/>
  <c r="T35" i="22"/>
  <c r="T31" i="22"/>
  <c r="T30" i="22"/>
  <c r="T29" i="22"/>
  <c r="T27" i="22"/>
  <c r="T25" i="22"/>
  <c r="T21" i="22"/>
  <c r="T20" i="22"/>
  <c r="T19" i="22"/>
  <c r="T14" i="22"/>
  <c r="T13" i="22"/>
  <c r="T11" i="22"/>
  <c r="T105" i="22" s="1"/>
  <c r="R105" i="22"/>
  <c r="Q105" i="22"/>
  <c r="P105" i="22"/>
  <c r="L105" i="22"/>
  <c r="K105" i="22"/>
  <c r="J105" i="22"/>
  <c r="I105" i="22"/>
  <c r="H105" i="22"/>
  <c r="U103" i="22"/>
  <c r="U102" i="22"/>
  <c r="U100" i="22"/>
  <c r="M100" i="22"/>
  <c r="O100" i="22"/>
  <c r="U99" i="22"/>
  <c r="S98" i="22"/>
  <c r="U98" i="22" s="1"/>
  <c r="U97" i="22"/>
  <c r="M97" i="22"/>
  <c r="O97" i="22"/>
  <c r="U96" i="22"/>
  <c r="S94" i="22"/>
  <c r="U94" i="22" s="1"/>
  <c r="U93" i="22"/>
  <c r="U92" i="22"/>
  <c r="M92" i="22"/>
  <c r="O92" i="22" s="1"/>
  <c r="S91" i="22"/>
  <c r="U91" i="22" s="1"/>
  <c r="U90" i="22"/>
  <c r="S89" i="22"/>
  <c r="U89" i="22"/>
  <c r="M89" i="22"/>
  <c r="O89" i="22"/>
  <c r="U88" i="22"/>
  <c r="S87" i="22"/>
  <c r="U87" i="22" s="1"/>
  <c r="M87" i="22"/>
  <c r="O87" i="22" s="1"/>
  <c r="U86" i="22"/>
  <c r="S85" i="22"/>
  <c r="U85" i="22"/>
  <c r="M85" i="22"/>
  <c r="O85" i="22"/>
  <c r="U84" i="22"/>
  <c r="S83" i="22"/>
  <c r="U83" i="22" s="1"/>
  <c r="M83" i="22"/>
  <c r="O83" i="22" s="1"/>
  <c r="S82" i="22"/>
  <c r="U82" i="22" s="1"/>
  <c r="U81" i="22"/>
  <c r="U80" i="22"/>
  <c r="U79" i="22"/>
  <c r="U78" i="22"/>
  <c r="U77" i="22"/>
  <c r="M77" i="22"/>
  <c r="O77" i="22"/>
  <c r="S76" i="22"/>
  <c r="U76" i="22"/>
  <c r="M76" i="22"/>
  <c r="O76" i="22"/>
  <c r="U75" i="22"/>
  <c r="U74" i="22"/>
  <c r="U73" i="22"/>
  <c r="S72" i="22"/>
  <c r="U72" i="22" s="1"/>
  <c r="S71" i="22"/>
  <c r="U71" i="22" s="1"/>
  <c r="U70" i="22"/>
  <c r="U69" i="22"/>
  <c r="U68" i="22"/>
  <c r="S67" i="22"/>
  <c r="U67" i="22"/>
  <c r="U66" i="22"/>
  <c r="M66" i="22"/>
  <c r="O66" i="22" s="1"/>
  <c r="U65" i="22"/>
  <c r="M65" i="22"/>
  <c r="O65" i="22"/>
  <c r="U64" i="22"/>
  <c r="U63" i="22"/>
  <c r="S62" i="22"/>
  <c r="U62" i="22"/>
  <c r="M62" i="22"/>
  <c r="O62" i="22"/>
  <c r="U61" i="22"/>
  <c r="U60" i="22"/>
  <c r="U59" i="22"/>
  <c r="U58" i="22"/>
  <c r="U57" i="22"/>
  <c r="S56" i="22"/>
  <c r="U56" i="22" s="1"/>
  <c r="M56" i="22"/>
  <c r="O56" i="22" s="1"/>
  <c r="S55" i="22"/>
  <c r="U55" i="22" s="1"/>
  <c r="S54" i="22"/>
  <c r="U54" i="22" s="1"/>
  <c r="M54" i="22"/>
  <c r="O54" i="22" s="1"/>
  <c r="U53" i="22"/>
  <c r="S52" i="22"/>
  <c r="U52" i="22"/>
  <c r="M52" i="22"/>
  <c r="O52" i="22"/>
  <c r="U51" i="22"/>
  <c r="S50" i="22"/>
  <c r="U50" i="22" s="1"/>
  <c r="S49" i="22"/>
  <c r="U49" i="22" s="1"/>
  <c r="S48" i="22"/>
  <c r="U48" i="22" s="1"/>
  <c r="U47" i="22"/>
  <c r="M47" i="22"/>
  <c r="O47" i="22"/>
  <c r="U46" i="22"/>
  <c r="U45" i="22"/>
  <c r="S44" i="22"/>
  <c r="U44" i="22"/>
  <c r="M44" i="22"/>
  <c r="O44" i="22"/>
  <c r="U43" i="22"/>
  <c r="S42" i="22"/>
  <c r="U42" i="22" s="1"/>
  <c r="U41" i="22"/>
  <c r="M41" i="22"/>
  <c r="O41" i="22"/>
  <c r="S40" i="22"/>
  <c r="U40" i="22"/>
  <c r="M40" i="22"/>
  <c r="O40" i="22"/>
  <c r="U39" i="22"/>
  <c r="U38" i="22"/>
  <c r="U37" i="22"/>
  <c r="M37" i="22"/>
  <c r="O37" i="22" s="1"/>
  <c r="S36" i="22"/>
  <c r="U36" i="22" s="1"/>
  <c r="S35" i="22"/>
  <c r="U35" i="22" s="1"/>
  <c r="M35" i="22"/>
  <c r="O35" i="22" s="1"/>
  <c r="U34" i="22"/>
  <c r="M34" i="22"/>
  <c r="O34" i="22"/>
  <c r="U33" i="22"/>
  <c r="M33" i="22"/>
  <c r="O33" i="22" s="1"/>
  <c r="U32" i="22"/>
  <c r="S31" i="22"/>
  <c r="U31" i="22"/>
  <c r="S30" i="22"/>
  <c r="U30" i="22"/>
  <c r="M30" i="22"/>
  <c r="O30" i="22"/>
  <c r="S29" i="22"/>
  <c r="U29" i="22"/>
  <c r="M29" i="22"/>
  <c r="O29" i="22"/>
  <c r="U28" i="22"/>
  <c r="S27" i="22"/>
  <c r="U27" i="22" s="1"/>
  <c r="M27" i="22"/>
  <c r="O27" i="22" s="1"/>
  <c r="U26" i="22"/>
  <c r="S25" i="22"/>
  <c r="U25" i="22"/>
  <c r="M25" i="22"/>
  <c r="O25" i="22"/>
  <c r="U24" i="22"/>
  <c r="U23" i="22"/>
  <c r="U22" i="22"/>
  <c r="S21" i="22"/>
  <c r="U21" i="22" s="1"/>
  <c r="M21" i="22"/>
  <c r="O21" i="22" s="1"/>
  <c r="S20" i="22"/>
  <c r="U20" i="22" s="1"/>
  <c r="S19" i="22"/>
  <c r="U19" i="22" s="1"/>
  <c r="U18" i="22"/>
  <c r="U17" i="22"/>
  <c r="U16" i="22"/>
  <c r="U15" i="22"/>
  <c r="S14" i="22"/>
  <c r="U14" i="22" s="1"/>
  <c r="M14" i="22"/>
  <c r="O14" i="22" s="1"/>
  <c r="S13" i="22"/>
  <c r="U13" i="22" s="1"/>
  <c r="M13" i="22"/>
  <c r="O13" i="22" s="1"/>
  <c r="B13" i="22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U12" i="22"/>
  <c r="S11" i="22"/>
  <c r="B11" i="22"/>
  <c r="U10" i="22"/>
  <c r="H9" i="22"/>
  <c r="I9" i="22" s="1"/>
  <c r="J9" i="22" s="1"/>
  <c r="K9" i="22" s="1"/>
  <c r="L9" i="22" s="1"/>
  <c r="M9" i="22" s="1"/>
  <c r="N9" i="22" s="1"/>
  <c r="O9" i="22" s="1"/>
  <c r="P9" i="22" s="1"/>
  <c r="Q9" i="22" s="1"/>
  <c r="R9" i="22" s="1"/>
  <c r="S9" i="22" s="1"/>
  <c r="T9" i="22" s="1"/>
  <c r="U9" i="22" s="1"/>
  <c r="O10" i="22"/>
  <c r="U104" i="21"/>
  <c r="U103" i="21"/>
  <c r="U102" i="21"/>
  <c r="O104" i="21"/>
  <c r="O103" i="21"/>
  <c r="R105" i="21"/>
  <c r="Q105" i="21"/>
  <c r="P105" i="21"/>
  <c r="L105" i="21"/>
  <c r="K105" i="21"/>
  <c r="J105" i="21"/>
  <c r="I105" i="21"/>
  <c r="H105" i="21"/>
  <c r="O102" i="21"/>
  <c r="T101" i="21"/>
  <c r="U101" i="21"/>
  <c r="N101" i="21"/>
  <c r="O101" i="21"/>
  <c r="U100" i="21"/>
  <c r="N100" i="21"/>
  <c r="M100" i="21"/>
  <c r="O100" i="21"/>
  <c r="U99" i="21"/>
  <c r="O99" i="21"/>
  <c r="T98" i="21"/>
  <c r="S98" i="21"/>
  <c r="U98" i="21" s="1"/>
  <c r="O98" i="21"/>
  <c r="U97" i="21"/>
  <c r="N97" i="21"/>
  <c r="M97" i="21"/>
  <c r="O97" i="21"/>
  <c r="U96" i="21"/>
  <c r="O96" i="21"/>
  <c r="T95" i="21"/>
  <c r="U95" i="21"/>
  <c r="N95" i="21"/>
  <c r="O95" i="21"/>
  <c r="T94" i="21"/>
  <c r="S94" i="21"/>
  <c r="U94" i="21" s="1"/>
  <c r="O94" i="21"/>
  <c r="T93" i="21"/>
  <c r="U93" i="21"/>
  <c r="O93" i="21"/>
  <c r="U92" i="21"/>
  <c r="N92" i="21"/>
  <c r="M92" i="21"/>
  <c r="O92" i="21" s="1"/>
  <c r="T91" i="21"/>
  <c r="S91" i="21"/>
  <c r="U91" i="21"/>
  <c r="N91" i="21"/>
  <c r="O91" i="21"/>
  <c r="T90" i="21"/>
  <c r="U90" i="21"/>
  <c r="N90" i="21"/>
  <c r="O90" i="21"/>
  <c r="T89" i="21"/>
  <c r="S89" i="21"/>
  <c r="U89" i="21" s="1"/>
  <c r="N89" i="21"/>
  <c r="M89" i="21"/>
  <c r="O89" i="21"/>
  <c r="U88" i="21"/>
  <c r="O88" i="21"/>
  <c r="T87" i="21"/>
  <c r="S87" i="21"/>
  <c r="U87" i="21" s="1"/>
  <c r="N87" i="21"/>
  <c r="M87" i="21"/>
  <c r="U86" i="21"/>
  <c r="O86" i="21"/>
  <c r="T85" i="21"/>
  <c r="S85" i="21"/>
  <c r="U85" i="21"/>
  <c r="N85" i="21"/>
  <c r="M85" i="21"/>
  <c r="O85" i="21" s="1"/>
  <c r="U84" i="21"/>
  <c r="N84" i="21"/>
  <c r="O84" i="21"/>
  <c r="T83" i="21"/>
  <c r="S83" i="21"/>
  <c r="U83" i="21" s="1"/>
  <c r="N83" i="21"/>
  <c r="M83" i="21"/>
  <c r="O83" i="21"/>
  <c r="T82" i="21"/>
  <c r="S82" i="21"/>
  <c r="U82" i="21" s="1"/>
  <c r="O82" i="21"/>
  <c r="U81" i="21"/>
  <c r="O81" i="21"/>
  <c r="T80" i="21"/>
  <c r="U80" i="21"/>
  <c r="N80" i="21"/>
  <c r="O80" i="21"/>
  <c r="U79" i="21"/>
  <c r="N79" i="21"/>
  <c r="O79" i="21" s="1"/>
  <c r="U78" i="21"/>
  <c r="O78" i="21"/>
  <c r="U77" i="21"/>
  <c r="N77" i="21"/>
  <c r="M77" i="21"/>
  <c r="O77" i="21" s="1"/>
  <c r="T76" i="21"/>
  <c r="S76" i="21"/>
  <c r="U76" i="21"/>
  <c r="N76" i="21"/>
  <c r="M76" i="21"/>
  <c r="O76" i="21" s="1"/>
  <c r="U75" i="21"/>
  <c r="O75" i="21"/>
  <c r="U74" i="21"/>
  <c r="O74" i="21"/>
  <c r="U73" i="21"/>
  <c r="O73" i="21"/>
  <c r="T72" i="21"/>
  <c r="S72" i="21"/>
  <c r="U72" i="21"/>
  <c r="O72" i="21"/>
  <c r="T71" i="21"/>
  <c r="S71" i="21"/>
  <c r="U71" i="21"/>
  <c r="O71" i="21"/>
  <c r="U70" i="21"/>
  <c r="O70" i="21"/>
  <c r="U69" i="21"/>
  <c r="O69" i="21"/>
  <c r="U68" i="21"/>
  <c r="N68" i="21"/>
  <c r="O68" i="21"/>
  <c r="T67" i="21"/>
  <c r="S67" i="21"/>
  <c r="U67" i="21" s="1"/>
  <c r="N67" i="21"/>
  <c r="O67" i="21" s="1"/>
  <c r="U66" i="21"/>
  <c r="N66" i="21"/>
  <c r="M66" i="21"/>
  <c r="O66" i="21" s="1"/>
  <c r="U65" i="21"/>
  <c r="N65" i="21"/>
  <c r="M65" i="21"/>
  <c r="O65" i="21" s="1"/>
  <c r="U64" i="21"/>
  <c r="O64" i="21"/>
  <c r="U63" i="21"/>
  <c r="O63" i="21"/>
  <c r="T62" i="21"/>
  <c r="S62" i="21"/>
  <c r="U62" i="21"/>
  <c r="N62" i="21"/>
  <c r="M62" i="21"/>
  <c r="O62" i="21" s="1"/>
  <c r="U61" i="21"/>
  <c r="O61" i="21"/>
  <c r="U60" i="21"/>
  <c r="N60" i="21"/>
  <c r="O60" i="21"/>
  <c r="U59" i="21"/>
  <c r="O59" i="21"/>
  <c r="U58" i="21"/>
  <c r="O58" i="21"/>
  <c r="U57" i="21"/>
  <c r="O57" i="21"/>
  <c r="T56" i="21"/>
  <c r="S56" i="21"/>
  <c r="U56" i="21" s="1"/>
  <c r="N56" i="21"/>
  <c r="M56" i="21"/>
  <c r="O56" i="21"/>
  <c r="T55" i="21"/>
  <c r="S55" i="21"/>
  <c r="U55" i="21" s="1"/>
  <c r="O55" i="21"/>
  <c r="T54" i="21"/>
  <c r="S54" i="21"/>
  <c r="U54" i="21" s="1"/>
  <c r="N54" i="21"/>
  <c r="M54" i="21"/>
  <c r="O54" i="21"/>
  <c r="U53" i="21"/>
  <c r="O53" i="21"/>
  <c r="T52" i="21"/>
  <c r="S52" i="21"/>
  <c r="U52" i="21" s="1"/>
  <c r="N52" i="21"/>
  <c r="M52" i="21"/>
  <c r="O52" i="21"/>
  <c r="U51" i="21"/>
  <c r="O51" i="21"/>
  <c r="T50" i="21"/>
  <c r="S50" i="21"/>
  <c r="U50" i="21" s="1"/>
  <c r="N50" i="21"/>
  <c r="O50" i="21" s="1"/>
  <c r="T49" i="21"/>
  <c r="S49" i="21"/>
  <c r="U49" i="21"/>
  <c r="O49" i="21"/>
  <c r="T48" i="21"/>
  <c r="S48" i="21"/>
  <c r="U48" i="21"/>
  <c r="O48" i="21"/>
  <c r="U47" i="21"/>
  <c r="N47" i="21"/>
  <c r="M47" i="21"/>
  <c r="O47" i="21" s="1"/>
  <c r="U46" i="21"/>
  <c r="O46" i="21"/>
  <c r="U45" i="21"/>
  <c r="O45" i="21"/>
  <c r="T44" i="21"/>
  <c r="S44" i="21"/>
  <c r="U44" i="21"/>
  <c r="N44" i="21"/>
  <c r="M44" i="21"/>
  <c r="O44" i="21" s="1"/>
  <c r="U43" i="21"/>
  <c r="O43" i="21"/>
  <c r="T42" i="21"/>
  <c r="S42" i="21"/>
  <c r="U42" i="21"/>
  <c r="O42" i="21"/>
  <c r="U41" i="21"/>
  <c r="N41" i="21"/>
  <c r="M41" i="21"/>
  <c r="O41" i="21" s="1"/>
  <c r="T40" i="21"/>
  <c r="S40" i="21"/>
  <c r="U40" i="21"/>
  <c r="N40" i="21"/>
  <c r="M40" i="21"/>
  <c r="O40" i="21" s="1"/>
  <c r="U39" i="21"/>
  <c r="N39" i="21"/>
  <c r="O39" i="21"/>
  <c r="T38" i="21"/>
  <c r="U38" i="21"/>
  <c r="N38" i="21"/>
  <c r="O38" i="21"/>
  <c r="U37" i="21"/>
  <c r="N37" i="21"/>
  <c r="M37" i="21"/>
  <c r="O37" i="21"/>
  <c r="T36" i="21"/>
  <c r="S36" i="21"/>
  <c r="U36" i="21" s="1"/>
  <c r="O36" i="21"/>
  <c r="T35" i="21"/>
  <c r="S35" i="21"/>
  <c r="U35" i="21" s="1"/>
  <c r="N35" i="21"/>
  <c r="M35" i="21"/>
  <c r="O35" i="21"/>
  <c r="U34" i="21"/>
  <c r="N34" i="21"/>
  <c r="M34" i="21"/>
  <c r="O34" i="21"/>
  <c r="U33" i="21"/>
  <c r="N33" i="21"/>
  <c r="M33" i="21"/>
  <c r="O33" i="21"/>
  <c r="U32" i="21"/>
  <c r="O32" i="21"/>
  <c r="T31" i="21"/>
  <c r="S31" i="21"/>
  <c r="U31" i="21" s="1"/>
  <c r="O31" i="21"/>
  <c r="T30" i="21"/>
  <c r="S30" i="21"/>
  <c r="U30" i="21" s="1"/>
  <c r="N30" i="21"/>
  <c r="M30" i="21"/>
  <c r="O30" i="21"/>
  <c r="T29" i="21"/>
  <c r="S29" i="21"/>
  <c r="U29" i="21" s="1"/>
  <c r="N29" i="21"/>
  <c r="M29" i="21"/>
  <c r="O29" i="21"/>
  <c r="U28" i="21"/>
  <c r="O28" i="21"/>
  <c r="T27" i="21"/>
  <c r="S27" i="21"/>
  <c r="U27" i="21" s="1"/>
  <c r="N27" i="21"/>
  <c r="M27" i="21"/>
  <c r="O27" i="21"/>
  <c r="U26" i="21"/>
  <c r="O26" i="21"/>
  <c r="T25" i="21"/>
  <c r="S25" i="21"/>
  <c r="U25" i="21" s="1"/>
  <c r="N25" i="21"/>
  <c r="M25" i="21"/>
  <c r="O25" i="21"/>
  <c r="U24" i="21"/>
  <c r="O24" i="21"/>
  <c r="T23" i="21"/>
  <c r="U23" i="21"/>
  <c r="N23" i="21"/>
  <c r="O23" i="21"/>
  <c r="T22" i="21"/>
  <c r="U22" i="21"/>
  <c r="N22" i="21"/>
  <c r="O22" i="21"/>
  <c r="T21" i="21"/>
  <c r="S21" i="21"/>
  <c r="U21" i="21" s="1"/>
  <c r="N21" i="21"/>
  <c r="M21" i="21"/>
  <c r="O21" i="21"/>
  <c r="T20" i="21"/>
  <c r="S20" i="21"/>
  <c r="U20" i="21" s="1"/>
  <c r="O20" i="21"/>
  <c r="T19" i="21"/>
  <c r="S19" i="21"/>
  <c r="U19" i="21" s="1"/>
  <c r="N19" i="21"/>
  <c r="O19" i="21" s="1"/>
  <c r="U18" i="21"/>
  <c r="O18" i="21"/>
  <c r="U17" i="21"/>
  <c r="O17" i="21"/>
  <c r="U16" i="21"/>
  <c r="O16" i="21"/>
  <c r="T15" i="21"/>
  <c r="U15" i="21" s="1"/>
  <c r="N15" i="21"/>
  <c r="O15" i="21" s="1"/>
  <c r="T14" i="21"/>
  <c r="S14" i="21"/>
  <c r="U14" i="21"/>
  <c r="N14" i="21"/>
  <c r="M14" i="21"/>
  <c r="O14" i="21" s="1"/>
  <c r="T13" i="21"/>
  <c r="S13" i="21"/>
  <c r="U13" i="21"/>
  <c r="N13" i="21"/>
  <c r="M13" i="21"/>
  <c r="U12" i="21"/>
  <c r="O12" i="21"/>
  <c r="T11" i="21"/>
  <c r="S11" i="21"/>
  <c r="O11" i="21"/>
  <c r="B11" i="21"/>
  <c r="B13" i="21"/>
  <c r="B14" i="2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U10" i="21"/>
  <c r="N10" i="21"/>
  <c r="N105" i="21" s="1"/>
  <c r="H9" i="21"/>
  <c r="I9" i="21" s="1"/>
  <c r="J9" i="21" s="1"/>
  <c r="K9" i="21" s="1"/>
  <c r="L9" i="21" s="1"/>
  <c r="M9" i="21" s="1"/>
  <c r="N9" i="21" s="1"/>
  <c r="O9" i="21" s="1"/>
  <c r="P9" i="21" s="1"/>
  <c r="Q9" i="21" s="1"/>
  <c r="R9" i="21" s="1"/>
  <c r="S9" i="21" s="1"/>
  <c r="T9" i="21" s="1"/>
  <c r="U9" i="21" s="1"/>
  <c r="N67" i="20"/>
  <c r="M67" i="20"/>
  <c r="O67" i="20"/>
  <c r="T101" i="20"/>
  <c r="T98" i="20"/>
  <c r="T95" i="20"/>
  <c r="T94" i="20"/>
  <c r="T93" i="20"/>
  <c r="T91" i="20"/>
  <c r="T90" i="20"/>
  <c r="T89" i="20"/>
  <c r="T87" i="20"/>
  <c r="T85" i="20"/>
  <c r="T83" i="20"/>
  <c r="T82" i="20"/>
  <c r="T80" i="20"/>
  <c r="T76" i="20"/>
  <c r="T72" i="20"/>
  <c r="T71" i="20"/>
  <c r="T67" i="20"/>
  <c r="T62" i="20"/>
  <c r="T56" i="20"/>
  <c r="T55" i="20"/>
  <c r="T54" i="20"/>
  <c r="T52" i="20"/>
  <c r="T50" i="20"/>
  <c r="T49" i="20"/>
  <c r="T48" i="20"/>
  <c r="T44" i="20"/>
  <c r="T42" i="20"/>
  <c r="T40" i="20"/>
  <c r="T38" i="20"/>
  <c r="T36" i="20"/>
  <c r="T35" i="20"/>
  <c r="T31" i="20"/>
  <c r="T30" i="20"/>
  <c r="T29" i="20"/>
  <c r="T27" i="20"/>
  <c r="T25" i="20"/>
  <c r="T23" i="20"/>
  <c r="T22" i="20"/>
  <c r="T21" i="20"/>
  <c r="T20" i="20"/>
  <c r="T19" i="20"/>
  <c r="T15" i="20"/>
  <c r="T14" i="20"/>
  <c r="T13" i="20"/>
  <c r="T11" i="20"/>
  <c r="N101" i="20"/>
  <c r="N100" i="20"/>
  <c r="N97" i="20"/>
  <c r="N95" i="20"/>
  <c r="N92" i="20"/>
  <c r="N91" i="20"/>
  <c r="N90" i="20"/>
  <c r="N89" i="20"/>
  <c r="N87" i="20"/>
  <c r="N85" i="20"/>
  <c r="N84" i="20"/>
  <c r="N83" i="20"/>
  <c r="N80" i="20"/>
  <c r="N79" i="20"/>
  <c r="N77" i="20"/>
  <c r="N76" i="20"/>
  <c r="N68" i="20"/>
  <c r="N66" i="20"/>
  <c r="N65" i="20"/>
  <c r="N62" i="20"/>
  <c r="N60" i="20"/>
  <c r="N56" i="20"/>
  <c r="N54" i="20"/>
  <c r="N52" i="20"/>
  <c r="N50" i="20"/>
  <c r="N47" i="20"/>
  <c r="N44" i="20"/>
  <c r="N41" i="20"/>
  <c r="N40" i="20"/>
  <c r="N39" i="20"/>
  <c r="N38" i="20"/>
  <c r="N37" i="20"/>
  <c r="N35" i="20"/>
  <c r="N34" i="20"/>
  <c r="N33" i="20"/>
  <c r="N30" i="20"/>
  <c r="N29" i="20"/>
  <c r="N27" i="20"/>
  <c r="N25" i="20"/>
  <c r="N23" i="20"/>
  <c r="N22" i="20"/>
  <c r="N21" i="20"/>
  <c r="N19" i="20"/>
  <c r="N15" i="20"/>
  <c r="N14" i="20"/>
  <c r="N13" i="20"/>
  <c r="N10" i="20"/>
  <c r="N105" i="20" s="1"/>
  <c r="O87" i="21"/>
  <c r="R105" i="20"/>
  <c r="Q105" i="20"/>
  <c r="P105" i="20"/>
  <c r="L105" i="20"/>
  <c r="K105" i="20"/>
  <c r="J105" i="20"/>
  <c r="I105" i="20"/>
  <c r="H105" i="20"/>
  <c r="U102" i="20"/>
  <c r="O102" i="20"/>
  <c r="S101" i="20"/>
  <c r="U101" i="20"/>
  <c r="M101" i="20"/>
  <c r="O101" i="20"/>
  <c r="U100" i="20"/>
  <c r="M100" i="20"/>
  <c r="O100" i="20" s="1"/>
  <c r="U99" i="20"/>
  <c r="O99" i="20"/>
  <c r="S98" i="20"/>
  <c r="U98" i="20" s="1"/>
  <c r="O98" i="20"/>
  <c r="U97" i="20"/>
  <c r="M97" i="20"/>
  <c r="O97" i="20" s="1"/>
  <c r="U96" i="20"/>
  <c r="O96" i="20"/>
  <c r="S95" i="20"/>
  <c r="U95" i="20" s="1"/>
  <c r="M95" i="20"/>
  <c r="O95" i="20" s="1"/>
  <c r="S94" i="20"/>
  <c r="U94" i="20" s="1"/>
  <c r="O94" i="20"/>
  <c r="S93" i="20"/>
  <c r="U93" i="20"/>
  <c r="O93" i="20"/>
  <c r="U92" i="20"/>
  <c r="M92" i="20"/>
  <c r="S91" i="20"/>
  <c r="U91" i="20" s="1"/>
  <c r="M91" i="20"/>
  <c r="O91" i="20" s="1"/>
  <c r="S90" i="20"/>
  <c r="U90" i="20" s="1"/>
  <c r="M90" i="20"/>
  <c r="O90" i="20" s="1"/>
  <c r="S89" i="20"/>
  <c r="U89" i="20" s="1"/>
  <c r="M89" i="20"/>
  <c r="O89" i="20" s="1"/>
  <c r="U88" i="20"/>
  <c r="O88" i="20"/>
  <c r="S87" i="20"/>
  <c r="U87" i="20" s="1"/>
  <c r="M87" i="20"/>
  <c r="O87" i="20" s="1"/>
  <c r="U86" i="20"/>
  <c r="O86" i="20"/>
  <c r="S85" i="20"/>
  <c r="U85" i="20" s="1"/>
  <c r="M85" i="20"/>
  <c r="O85" i="20" s="1"/>
  <c r="U84" i="20"/>
  <c r="M84" i="20"/>
  <c r="O84" i="20"/>
  <c r="S83" i="20"/>
  <c r="U83" i="20"/>
  <c r="M83" i="20"/>
  <c r="O83" i="20"/>
  <c r="S82" i="20"/>
  <c r="U82" i="20"/>
  <c r="O82" i="20"/>
  <c r="U81" i="20"/>
  <c r="O81" i="20"/>
  <c r="S80" i="20"/>
  <c r="U80" i="20" s="1"/>
  <c r="M80" i="20"/>
  <c r="O80" i="20" s="1"/>
  <c r="U79" i="20"/>
  <c r="M79" i="20"/>
  <c r="O79" i="20"/>
  <c r="U78" i="20"/>
  <c r="O78" i="20"/>
  <c r="U77" i="20"/>
  <c r="M77" i="20"/>
  <c r="O77" i="20" s="1"/>
  <c r="S76" i="20"/>
  <c r="U76" i="20" s="1"/>
  <c r="M76" i="20"/>
  <c r="O76" i="20" s="1"/>
  <c r="U75" i="20"/>
  <c r="O75" i="20"/>
  <c r="U74" i="20"/>
  <c r="O74" i="20"/>
  <c r="U73" i="20"/>
  <c r="O73" i="20"/>
  <c r="S72" i="20"/>
  <c r="U72" i="20" s="1"/>
  <c r="O72" i="20"/>
  <c r="S71" i="20"/>
  <c r="U71" i="20"/>
  <c r="O71" i="20"/>
  <c r="U70" i="20"/>
  <c r="O70" i="20"/>
  <c r="U69" i="20"/>
  <c r="O69" i="20"/>
  <c r="U68" i="20"/>
  <c r="M68" i="20"/>
  <c r="O68" i="20"/>
  <c r="S67" i="20"/>
  <c r="U67" i="20"/>
  <c r="U66" i="20"/>
  <c r="M66" i="20"/>
  <c r="O66" i="20" s="1"/>
  <c r="U65" i="20"/>
  <c r="M65" i="20"/>
  <c r="O65" i="20"/>
  <c r="U64" i="20"/>
  <c r="O64" i="20"/>
  <c r="U63" i="20"/>
  <c r="O63" i="20"/>
  <c r="S62" i="20"/>
  <c r="U62" i="20"/>
  <c r="M62" i="20"/>
  <c r="O62" i="20"/>
  <c r="U61" i="20"/>
  <c r="O61" i="20"/>
  <c r="U60" i="20"/>
  <c r="M60" i="20"/>
  <c r="O60" i="20" s="1"/>
  <c r="U59" i="20"/>
  <c r="O59" i="20"/>
  <c r="U58" i="20"/>
  <c r="O58" i="20"/>
  <c r="U57" i="20"/>
  <c r="O57" i="20"/>
  <c r="S56" i="20"/>
  <c r="U56" i="20" s="1"/>
  <c r="M56" i="20"/>
  <c r="O56" i="20" s="1"/>
  <c r="S55" i="20"/>
  <c r="U55" i="20" s="1"/>
  <c r="O55" i="20"/>
  <c r="S54" i="20"/>
  <c r="U54" i="20"/>
  <c r="M54" i="20"/>
  <c r="O54" i="20"/>
  <c r="U53" i="20"/>
  <c r="O53" i="20"/>
  <c r="S52" i="20"/>
  <c r="U52" i="20"/>
  <c r="M52" i="20"/>
  <c r="O52" i="20"/>
  <c r="U51" i="20"/>
  <c r="O51" i="20"/>
  <c r="S50" i="20"/>
  <c r="U50" i="20"/>
  <c r="M50" i="20"/>
  <c r="O50" i="20"/>
  <c r="S49" i="20"/>
  <c r="U49" i="20"/>
  <c r="O49" i="20"/>
  <c r="S48" i="20"/>
  <c r="U48" i="20" s="1"/>
  <c r="O48" i="20"/>
  <c r="U47" i="20"/>
  <c r="M47" i="20"/>
  <c r="O47" i="20" s="1"/>
  <c r="U46" i="20"/>
  <c r="O46" i="20"/>
  <c r="U45" i="20"/>
  <c r="O45" i="20"/>
  <c r="S44" i="20"/>
  <c r="U44" i="20" s="1"/>
  <c r="M44" i="20"/>
  <c r="O44" i="20" s="1"/>
  <c r="U43" i="20"/>
  <c r="O43" i="20"/>
  <c r="S42" i="20"/>
  <c r="U42" i="20" s="1"/>
  <c r="O42" i="20"/>
  <c r="U41" i="20"/>
  <c r="M41" i="20"/>
  <c r="O41" i="20" s="1"/>
  <c r="S40" i="20"/>
  <c r="U40" i="20" s="1"/>
  <c r="M40" i="20"/>
  <c r="O40" i="20" s="1"/>
  <c r="U39" i="20"/>
  <c r="M39" i="20"/>
  <c r="O39" i="20"/>
  <c r="S38" i="20"/>
  <c r="U38" i="20"/>
  <c r="M38" i="20"/>
  <c r="O38" i="20"/>
  <c r="U37" i="20"/>
  <c r="M37" i="20"/>
  <c r="O37" i="20" s="1"/>
  <c r="S36" i="20"/>
  <c r="U36" i="20" s="1"/>
  <c r="O36" i="20"/>
  <c r="S35" i="20"/>
  <c r="U35" i="20"/>
  <c r="M35" i="20"/>
  <c r="O35" i="20"/>
  <c r="U34" i="20"/>
  <c r="M34" i="20"/>
  <c r="O34" i="20" s="1"/>
  <c r="U33" i="20"/>
  <c r="M33" i="20"/>
  <c r="O33" i="20"/>
  <c r="U32" i="20"/>
  <c r="O32" i="20"/>
  <c r="S31" i="20"/>
  <c r="U31" i="20"/>
  <c r="O31" i="20"/>
  <c r="S30" i="20"/>
  <c r="U30" i="20" s="1"/>
  <c r="M30" i="20"/>
  <c r="O30" i="20" s="1"/>
  <c r="S29" i="20"/>
  <c r="U29" i="20" s="1"/>
  <c r="M29" i="20"/>
  <c r="O29" i="20" s="1"/>
  <c r="U28" i="20"/>
  <c r="O28" i="20"/>
  <c r="S27" i="20"/>
  <c r="U27" i="20" s="1"/>
  <c r="M27" i="20"/>
  <c r="O27" i="20" s="1"/>
  <c r="U26" i="20"/>
  <c r="O26" i="20"/>
  <c r="S25" i="20"/>
  <c r="U25" i="20" s="1"/>
  <c r="M25" i="20"/>
  <c r="O25" i="20" s="1"/>
  <c r="U24" i="20"/>
  <c r="O24" i="20"/>
  <c r="S23" i="20"/>
  <c r="U23" i="20" s="1"/>
  <c r="M23" i="20"/>
  <c r="O23" i="20" s="1"/>
  <c r="S22" i="20"/>
  <c r="U22" i="20" s="1"/>
  <c r="M22" i="20"/>
  <c r="O22" i="20" s="1"/>
  <c r="S21" i="20"/>
  <c r="U21" i="20" s="1"/>
  <c r="M21" i="20"/>
  <c r="O21" i="20" s="1"/>
  <c r="S20" i="20"/>
  <c r="U20" i="20" s="1"/>
  <c r="O20" i="20"/>
  <c r="S19" i="20"/>
  <c r="U19" i="20"/>
  <c r="M19" i="20"/>
  <c r="O19" i="20"/>
  <c r="U18" i="20"/>
  <c r="O18" i="20"/>
  <c r="U17" i="20"/>
  <c r="O17" i="20"/>
  <c r="U16" i="20"/>
  <c r="O16" i="20"/>
  <c r="S15" i="20"/>
  <c r="U15" i="20"/>
  <c r="M15" i="20"/>
  <c r="O15" i="20"/>
  <c r="S14" i="20"/>
  <c r="U14" i="20"/>
  <c r="M14" i="20"/>
  <c r="O14" i="20"/>
  <c r="S13" i="20"/>
  <c r="U13" i="20"/>
  <c r="M13" i="20"/>
  <c r="O13" i="20"/>
  <c r="U12" i="20"/>
  <c r="O12" i="20"/>
  <c r="S11" i="20"/>
  <c r="U11" i="20"/>
  <c r="O11" i="20"/>
  <c r="B11" i="20"/>
  <c r="B12" i="20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B95" i="20" s="1"/>
  <c r="B96" i="20" s="1"/>
  <c r="B97" i="20" s="1"/>
  <c r="B98" i="20" s="1"/>
  <c r="B99" i="20" s="1"/>
  <c r="B100" i="20" s="1"/>
  <c r="B101" i="20" s="1"/>
  <c r="B102" i="20" s="1"/>
  <c r="U10" i="20"/>
  <c r="U105" i="20" s="1"/>
  <c r="M10" i="20"/>
  <c r="M105" i="20" s="1"/>
  <c r="H9" i="20"/>
  <c r="I9" i="20" s="1"/>
  <c r="J9" i="20" s="1"/>
  <c r="K9" i="20" s="1"/>
  <c r="L9" i="20" s="1"/>
  <c r="M9" i="20" s="1"/>
  <c r="N9" i="20" s="1"/>
  <c r="O9" i="20" s="1"/>
  <c r="P9" i="20" s="1"/>
  <c r="Q9" i="20" s="1"/>
  <c r="R9" i="20" s="1"/>
  <c r="S9" i="20" s="1"/>
  <c r="T9" i="20" s="1"/>
  <c r="U9" i="20" s="1"/>
  <c r="R105" i="19"/>
  <c r="Q105" i="19"/>
  <c r="P105" i="19"/>
  <c r="L105" i="19"/>
  <c r="K105" i="19"/>
  <c r="J105" i="19"/>
  <c r="I105" i="19"/>
  <c r="H105" i="19"/>
  <c r="U102" i="19"/>
  <c r="O102" i="19"/>
  <c r="T101" i="19"/>
  <c r="S101" i="19"/>
  <c r="U101" i="19"/>
  <c r="N101" i="19"/>
  <c r="M101" i="19"/>
  <c r="O101" i="19" s="1"/>
  <c r="U100" i="19"/>
  <c r="M100" i="19"/>
  <c r="O100" i="19"/>
  <c r="U99" i="19"/>
  <c r="O99" i="19"/>
  <c r="S98" i="19"/>
  <c r="U98" i="19"/>
  <c r="O98" i="19"/>
  <c r="U97" i="19"/>
  <c r="M97" i="19"/>
  <c r="O97" i="19"/>
  <c r="U96" i="19"/>
  <c r="O96" i="19"/>
  <c r="S95" i="19"/>
  <c r="U95" i="19"/>
  <c r="M95" i="19"/>
  <c r="O95" i="19"/>
  <c r="S94" i="19"/>
  <c r="U94" i="19"/>
  <c r="O94" i="19"/>
  <c r="S93" i="19"/>
  <c r="U93" i="19" s="1"/>
  <c r="O93" i="19"/>
  <c r="U92" i="19"/>
  <c r="M92" i="19"/>
  <c r="O92" i="19" s="1"/>
  <c r="T91" i="19"/>
  <c r="S91" i="19"/>
  <c r="U91" i="19"/>
  <c r="M91" i="19"/>
  <c r="O91" i="19"/>
  <c r="S90" i="19"/>
  <c r="U90" i="19"/>
  <c r="N90" i="19"/>
  <c r="M90" i="19"/>
  <c r="O90" i="19" s="1"/>
  <c r="S89" i="19"/>
  <c r="U89" i="19" s="1"/>
  <c r="M89" i="19"/>
  <c r="O89" i="19" s="1"/>
  <c r="U88" i="19"/>
  <c r="O88" i="19"/>
  <c r="S87" i="19"/>
  <c r="U87" i="19" s="1"/>
  <c r="M87" i="19"/>
  <c r="O87" i="19" s="1"/>
  <c r="U86" i="19"/>
  <c r="O86" i="19"/>
  <c r="S85" i="19"/>
  <c r="U85" i="19" s="1"/>
  <c r="M85" i="19"/>
  <c r="O85" i="19" s="1"/>
  <c r="U84" i="19"/>
  <c r="M84" i="19"/>
  <c r="O84" i="19"/>
  <c r="S83" i="19"/>
  <c r="U83" i="19"/>
  <c r="M83" i="19"/>
  <c r="O83" i="19"/>
  <c r="S82" i="19"/>
  <c r="U82" i="19"/>
  <c r="O82" i="19"/>
  <c r="U81" i="19"/>
  <c r="O81" i="19"/>
  <c r="S80" i="19"/>
  <c r="U80" i="19" s="1"/>
  <c r="M80" i="19"/>
  <c r="O80" i="19" s="1"/>
  <c r="U79" i="19"/>
  <c r="M79" i="19"/>
  <c r="O79" i="19"/>
  <c r="U78" i="19"/>
  <c r="O78" i="19"/>
  <c r="U77" i="19"/>
  <c r="M77" i="19"/>
  <c r="O77" i="19" s="1"/>
  <c r="S76" i="19"/>
  <c r="U76" i="19" s="1"/>
  <c r="M76" i="19"/>
  <c r="O76" i="19" s="1"/>
  <c r="U75" i="19"/>
  <c r="O75" i="19"/>
  <c r="U74" i="19"/>
  <c r="O74" i="19"/>
  <c r="U73" i="19"/>
  <c r="O73" i="19"/>
  <c r="S72" i="19"/>
  <c r="U72" i="19" s="1"/>
  <c r="O72" i="19"/>
  <c r="S71" i="19"/>
  <c r="U71" i="19"/>
  <c r="O71" i="19"/>
  <c r="U70" i="19"/>
  <c r="O70" i="19"/>
  <c r="U69" i="19"/>
  <c r="O69" i="19"/>
  <c r="U68" i="19"/>
  <c r="M68" i="19"/>
  <c r="O68" i="19"/>
  <c r="S67" i="19"/>
  <c r="U67" i="19"/>
  <c r="M67" i="19"/>
  <c r="O67" i="19"/>
  <c r="U66" i="19"/>
  <c r="M66" i="19"/>
  <c r="O66" i="19" s="1"/>
  <c r="U65" i="19"/>
  <c r="M65" i="19"/>
  <c r="O65" i="19"/>
  <c r="U64" i="19"/>
  <c r="O64" i="19"/>
  <c r="U63" i="19"/>
  <c r="O63" i="19"/>
  <c r="S62" i="19"/>
  <c r="U62" i="19"/>
  <c r="M62" i="19"/>
  <c r="O62" i="19"/>
  <c r="U61" i="19"/>
  <c r="O61" i="19"/>
  <c r="T60" i="19"/>
  <c r="U60" i="19"/>
  <c r="N60" i="19"/>
  <c r="M60" i="19"/>
  <c r="O60" i="19" s="1"/>
  <c r="U59" i="19"/>
  <c r="O59" i="19"/>
  <c r="U58" i="19"/>
  <c r="O58" i="19"/>
  <c r="U57" i="19"/>
  <c r="O57" i="19"/>
  <c r="S56" i="19"/>
  <c r="U56" i="19" s="1"/>
  <c r="M56" i="19"/>
  <c r="O56" i="19" s="1"/>
  <c r="S55" i="19"/>
  <c r="U55" i="19" s="1"/>
  <c r="O55" i="19"/>
  <c r="S54" i="19"/>
  <c r="U54" i="19"/>
  <c r="M54" i="19"/>
  <c r="O54" i="19"/>
  <c r="T53" i="19"/>
  <c r="U53" i="19"/>
  <c r="O53" i="19"/>
  <c r="S52" i="19"/>
  <c r="U52" i="19" s="1"/>
  <c r="M52" i="19"/>
  <c r="O52" i="19" s="1"/>
  <c r="U51" i="19"/>
  <c r="O51" i="19"/>
  <c r="S50" i="19"/>
  <c r="U50" i="19" s="1"/>
  <c r="M50" i="19"/>
  <c r="O50" i="19" s="1"/>
  <c r="T49" i="19"/>
  <c r="S49" i="19"/>
  <c r="U49" i="19"/>
  <c r="O49" i="19"/>
  <c r="T48" i="19"/>
  <c r="S48" i="19"/>
  <c r="U48" i="19"/>
  <c r="N48" i="19"/>
  <c r="O48" i="19"/>
  <c r="T47" i="19"/>
  <c r="U47" i="19"/>
  <c r="N47" i="19"/>
  <c r="M47" i="19"/>
  <c r="O47" i="19" s="1"/>
  <c r="U46" i="19"/>
  <c r="O46" i="19"/>
  <c r="U45" i="19"/>
  <c r="O45" i="19"/>
  <c r="T44" i="19"/>
  <c r="S44" i="19"/>
  <c r="U44" i="19"/>
  <c r="N44" i="19"/>
  <c r="M44" i="19"/>
  <c r="O44" i="19" s="1"/>
  <c r="T43" i="19"/>
  <c r="U43" i="19" s="1"/>
  <c r="O43" i="19"/>
  <c r="S42" i="19"/>
  <c r="U42" i="19"/>
  <c r="O42" i="19"/>
  <c r="U41" i="19"/>
  <c r="M41" i="19"/>
  <c r="O41" i="19"/>
  <c r="S40" i="19"/>
  <c r="U40" i="19"/>
  <c r="M40" i="19"/>
  <c r="O40" i="19"/>
  <c r="U39" i="19"/>
  <c r="N39" i="19"/>
  <c r="M39" i="19"/>
  <c r="O39" i="19"/>
  <c r="S38" i="19"/>
  <c r="U38" i="19"/>
  <c r="M38" i="19"/>
  <c r="O38" i="19"/>
  <c r="U37" i="19"/>
  <c r="M37" i="19"/>
  <c r="O37" i="19" s="1"/>
  <c r="S36" i="19"/>
  <c r="U36" i="19" s="1"/>
  <c r="O36" i="19"/>
  <c r="S35" i="19"/>
  <c r="U35" i="19"/>
  <c r="M35" i="19"/>
  <c r="O35" i="19"/>
  <c r="U34" i="19"/>
  <c r="M34" i="19"/>
  <c r="O34" i="19" s="1"/>
  <c r="U33" i="19"/>
  <c r="M33" i="19"/>
  <c r="O33" i="19"/>
  <c r="U32" i="19"/>
  <c r="O32" i="19"/>
  <c r="S31" i="19"/>
  <c r="U31" i="19"/>
  <c r="O31" i="19"/>
  <c r="S30" i="19"/>
  <c r="U30" i="19" s="1"/>
  <c r="M30" i="19"/>
  <c r="O30" i="19" s="1"/>
  <c r="S29" i="19"/>
  <c r="U29" i="19" s="1"/>
  <c r="N29" i="19"/>
  <c r="M29" i="19"/>
  <c r="O29" i="19"/>
  <c r="U28" i="19"/>
  <c r="O28" i="19"/>
  <c r="S27" i="19"/>
  <c r="U27" i="19"/>
  <c r="M27" i="19"/>
  <c r="O27" i="19"/>
  <c r="U26" i="19"/>
  <c r="O26" i="19"/>
  <c r="T25" i="19"/>
  <c r="S25" i="19"/>
  <c r="U25" i="19" s="1"/>
  <c r="M25" i="19"/>
  <c r="O25" i="19" s="1"/>
  <c r="T24" i="19"/>
  <c r="U24" i="19" s="1"/>
  <c r="O24" i="19"/>
  <c r="T23" i="19"/>
  <c r="S23" i="19"/>
  <c r="U23" i="19" s="1"/>
  <c r="M23" i="19"/>
  <c r="O23" i="19" s="1"/>
  <c r="T22" i="19"/>
  <c r="S22" i="19"/>
  <c r="U22" i="19"/>
  <c r="M22" i="19"/>
  <c r="O22" i="19"/>
  <c r="T21" i="19"/>
  <c r="S21" i="19"/>
  <c r="U21" i="19" s="1"/>
  <c r="M21" i="19"/>
  <c r="O21" i="19" s="1"/>
  <c r="S20" i="19"/>
  <c r="U20" i="19" s="1"/>
  <c r="O20" i="19"/>
  <c r="T19" i="19"/>
  <c r="S19" i="19"/>
  <c r="U19" i="19" s="1"/>
  <c r="N19" i="19"/>
  <c r="M19" i="19"/>
  <c r="O19" i="19"/>
  <c r="U18" i="19"/>
  <c r="O18" i="19"/>
  <c r="U17" i="19"/>
  <c r="O17" i="19"/>
  <c r="U16" i="19"/>
  <c r="O16" i="19"/>
  <c r="S15" i="19"/>
  <c r="U15" i="19"/>
  <c r="M15" i="19"/>
  <c r="O15" i="19"/>
  <c r="S14" i="19"/>
  <c r="U14" i="19"/>
  <c r="M14" i="19"/>
  <c r="O14" i="19"/>
  <c r="S13" i="19"/>
  <c r="U13" i="19"/>
  <c r="M13" i="19"/>
  <c r="O13" i="19"/>
  <c r="U12" i="19"/>
  <c r="O12" i="19"/>
  <c r="S11" i="19"/>
  <c r="O11" i="19"/>
  <c r="B11" i="19"/>
  <c r="B12" i="19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U10" i="19"/>
  <c r="M10" i="19"/>
  <c r="H9" i="19"/>
  <c r="I9" i="19"/>
  <c r="J9" i="19" s="1"/>
  <c r="K9" i="19" s="1"/>
  <c r="L9" i="19" s="1"/>
  <c r="M9" i="19" s="1"/>
  <c r="N9" i="19" s="1"/>
  <c r="O9" i="19" s="1"/>
  <c r="P9" i="19" s="1"/>
  <c r="Q9" i="19" s="1"/>
  <c r="R9" i="19" s="1"/>
  <c r="S9" i="19" s="1"/>
  <c r="T9" i="19" s="1"/>
  <c r="U9" i="19" s="1"/>
  <c r="T105" i="20"/>
  <c r="R105" i="18"/>
  <c r="Q105" i="18"/>
  <c r="P105" i="18"/>
  <c r="J105" i="18"/>
  <c r="K105" i="18"/>
  <c r="L105" i="18"/>
  <c r="I105" i="18"/>
  <c r="H105" i="18"/>
  <c r="U102" i="18"/>
  <c r="O102" i="18"/>
  <c r="T101" i="18"/>
  <c r="S101" i="18"/>
  <c r="U101" i="18"/>
  <c r="N101" i="18"/>
  <c r="M101" i="18"/>
  <c r="O101" i="18" s="1"/>
  <c r="U100" i="18"/>
  <c r="M100" i="18"/>
  <c r="O100" i="18"/>
  <c r="U99" i="18"/>
  <c r="O99" i="18"/>
  <c r="S98" i="18"/>
  <c r="U98" i="18"/>
  <c r="O98" i="18"/>
  <c r="U97" i="18"/>
  <c r="M97" i="18"/>
  <c r="O97" i="18"/>
  <c r="U96" i="18"/>
  <c r="O96" i="18"/>
  <c r="S95" i="18"/>
  <c r="U95" i="18"/>
  <c r="M95" i="18"/>
  <c r="O95" i="18"/>
  <c r="S94" i="18"/>
  <c r="U94" i="18"/>
  <c r="O94" i="18"/>
  <c r="S93" i="18"/>
  <c r="U93" i="18" s="1"/>
  <c r="O93" i="18"/>
  <c r="U92" i="18"/>
  <c r="M92" i="18"/>
  <c r="O92" i="18" s="1"/>
  <c r="T91" i="18"/>
  <c r="S91" i="18"/>
  <c r="U91" i="18"/>
  <c r="M91" i="18"/>
  <c r="O91" i="18"/>
  <c r="S90" i="18"/>
  <c r="U90" i="18"/>
  <c r="N90" i="18"/>
  <c r="M90" i="18"/>
  <c r="O90" i="18" s="1"/>
  <c r="S89" i="18"/>
  <c r="U89" i="18" s="1"/>
  <c r="M89" i="18"/>
  <c r="O89" i="18" s="1"/>
  <c r="U88" i="18"/>
  <c r="O88" i="18"/>
  <c r="S87" i="18"/>
  <c r="U87" i="18" s="1"/>
  <c r="M87" i="18"/>
  <c r="O87" i="18" s="1"/>
  <c r="U86" i="18"/>
  <c r="O86" i="18"/>
  <c r="S85" i="18"/>
  <c r="U85" i="18" s="1"/>
  <c r="M85" i="18"/>
  <c r="O85" i="18" s="1"/>
  <c r="U84" i="18"/>
  <c r="M84" i="18"/>
  <c r="O84" i="18"/>
  <c r="S83" i="18"/>
  <c r="U83" i="18"/>
  <c r="M83" i="18"/>
  <c r="O83" i="18"/>
  <c r="S82" i="18"/>
  <c r="U82" i="18"/>
  <c r="O82" i="18"/>
  <c r="U81" i="18"/>
  <c r="O81" i="18"/>
  <c r="S80" i="18"/>
  <c r="U80" i="18" s="1"/>
  <c r="M80" i="18"/>
  <c r="O80" i="18" s="1"/>
  <c r="U79" i="18"/>
  <c r="M79" i="18"/>
  <c r="O79" i="18"/>
  <c r="U78" i="18"/>
  <c r="O78" i="18"/>
  <c r="U77" i="18"/>
  <c r="M77" i="18"/>
  <c r="O77" i="18" s="1"/>
  <c r="S76" i="18"/>
  <c r="U76" i="18" s="1"/>
  <c r="M76" i="18"/>
  <c r="O76" i="18" s="1"/>
  <c r="U75" i="18"/>
  <c r="O75" i="18"/>
  <c r="U74" i="18"/>
  <c r="O74" i="18"/>
  <c r="U73" i="18"/>
  <c r="O73" i="18"/>
  <c r="S72" i="18"/>
  <c r="U72" i="18" s="1"/>
  <c r="O72" i="18"/>
  <c r="S71" i="18"/>
  <c r="U71" i="18"/>
  <c r="O71" i="18"/>
  <c r="U70" i="18"/>
  <c r="O70" i="18"/>
  <c r="U69" i="18"/>
  <c r="O69" i="18"/>
  <c r="U68" i="18"/>
  <c r="M68" i="18"/>
  <c r="O68" i="18"/>
  <c r="S67" i="18"/>
  <c r="U67" i="18"/>
  <c r="M67" i="18"/>
  <c r="O67" i="18"/>
  <c r="U66" i="18"/>
  <c r="M66" i="18"/>
  <c r="O66" i="18" s="1"/>
  <c r="U65" i="18"/>
  <c r="M65" i="18"/>
  <c r="O65" i="18"/>
  <c r="U64" i="18"/>
  <c r="O64" i="18"/>
  <c r="U63" i="18"/>
  <c r="O63" i="18"/>
  <c r="S62" i="18"/>
  <c r="U62" i="18"/>
  <c r="M62" i="18"/>
  <c r="O62" i="18"/>
  <c r="U61" i="18"/>
  <c r="O61" i="18"/>
  <c r="T60" i="18"/>
  <c r="U60" i="18"/>
  <c r="N60" i="18"/>
  <c r="M60" i="18"/>
  <c r="U59" i="18"/>
  <c r="O59" i="18"/>
  <c r="U58" i="18"/>
  <c r="O58" i="18"/>
  <c r="U57" i="18"/>
  <c r="O57" i="18"/>
  <c r="S56" i="18"/>
  <c r="U56" i="18"/>
  <c r="M56" i="18"/>
  <c r="O56" i="18"/>
  <c r="S55" i="18"/>
  <c r="U55" i="18"/>
  <c r="O55" i="18"/>
  <c r="S54" i="18"/>
  <c r="U54" i="18" s="1"/>
  <c r="M54" i="18"/>
  <c r="O54" i="18" s="1"/>
  <c r="T53" i="18"/>
  <c r="U53" i="18" s="1"/>
  <c r="O53" i="18"/>
  <c r="S52" i="18"/>
  <c r="U52" i="18"/>
  <c r="M52" i="18"/>
  <c r="O52" i="18"/>
  <c r="U51" i="18"/>
  <c r="O51" i="18"/>
  <c r="S50" i="18"/>
  <c r="U50" i="18"/>
  <c r="M50" i="18"/>
  <c r="O50" i="18"/>
  <c r="T49" i="18"/>
  <c r="S49" i="18"/>
  <c r="U49" i="18" s="1"/>
  <c r="O49" i="18"/>
  <c r="T48" i="18"/>
  <c r="S48" i="18"/>
  <c r="U48" i="18" s="1"/>
  <c r="N48" i="18"/>
  <c r="O48" i="18" s="1"/>
  <c r="T47" i="18"/>
  <c r="U47" i="18" s="1"/>
  <c r="N47" i="18"/>
  <c r="M47" i="18"/>
  <c r="O47" i="18"/>
  <c r="U46" i="18"/>
  <c r="O46" i="18"/>
  <c r="U45" i="18"/>
  <c r="O45" i="18"/>
  <c r="T44" i="18"/>
  <c r="S44" i="18"/>
  <c r="U44" i="18" s="1"/>
  <c r="N44" i="18"/>
  <c r="M44" i="18"/>
  <c r="O44" i="18"/>
  <c r="T43" i="18"/>
  <c r="U43" i="18"/>
  <c r="O43" i="18"/>
  <c r="S42" i="18"/>
  <c r="U42" i="18" s="1"/>
  <c r="O42" i="18"/>
  <c r="U41" i="18"/>
  <c r="M41" i="18"/>
  <c r="O41" i="18" s="1"/>
  <c r="S40" i="18"/>
  <c r="U40" i="18" s="1"/>
  <c r="M40" i="18"/>
  <c r="O40" i="18" s="1"/>
  <c r="U39" i="18"/>
  <c r="N39" i="18"/>
  <c r="M39" i="18"/>
  <c r="O39" i="18" s="1"/>
  <c r="S38" i="18"/>
  <c r="U38" i="18" s="1"/>
  <c r="M38" i="18"/>
  <c r="O38" i="18" s="1"/>
  <c r="U37" i="18"/>
  <c r="M37" i="18"/>
  <c r="O37" i="18"/>
  <c r="S36" i="18"/>
  <c r="U36" i="18"/>
  <c r="O36" i="18"/>
  <c r="S35" i="18"/>
  <c r="U35" i="18" s="1"/>
  <c r="M35" i="18"/>
  <c r="O35" i="18" s="1"/>
  <c r="U34" i="18"/>
  <c r="M34" i="18"/>
  <c r="O34" i="18"/>
  <c r="U33" i="18"/>
  <c r="M33" i="18"/>
  <c r="O33" i="18" s="1"/>
  <c r="U32" i="18"/>
  <c r="O32" i="18"/>
  <c r="S31" i="18"/>
  <c r="U31" i="18" s="1"/>
  <c r="O31" i="18"/>
  <c r="S30" i="18"/>
  <c r="U30" i="18"/>
  <c r="M30" i="18"/>
  <c r="O30" i="18"/>
  <c r="S29" i="18"/>
  <c r="U29" i="18"/>
  <c r="N29" i="18"/>
  <c r="M29" i="18"/>
  <c r="O29" i="18" s="1"/>
  <c r="U28" i="18"/>
  <c r="O28" i="18"/>
  <c r="S27" i="18"/>
  <c r="U27" i="18" s="1"/>
  <c r="M27" i="18"/>
  <c r="O27" i="18" s="1"/>
  <c r="U26" i="18"/>
  <c r="O26" i="18"/>
  <c r="T25" i="18"/>
  <c r="S25" i="18"/>
  <c r="U25" i="18"/>
  <c r="M25" i="18"/>
  <c r="O25" i="18"/>
  <c r="T24" i="18"/>
  <c r="U24" i="18"/>
  <c r="O24" i="18"/>
  <c r="T23" i="18"/>
  <c r="S23" i="18"/>
  <c r="U23" i="18"/>
  <c r="M23" i="18"/>
  <c r="O23" i="18"/>
  <c r="T22" i="18"/>
  <c r="S22" i="18"/>
  <c r="U22" i="18" s="1"/>
  <c r="M22" i="18"/>
  <c r="O22" i="18" s="1"/>
  <c r="O105" i="18" s="1"/>
  <c r="T21" i="18"/>
  <c r="S21" i="18"/>
  <c r="U21" i="18"/>
  <c r="M21" i="18"/>
  <c r="S20" i="18"/>
  <c r="U20" i="18" s="1"/>
  <c r="O20" i="18"/>
  <c r="T19" i="18"/>
  <c r="T105" i="18"/>
  <c r="S19" i="18"/>
  <c r="U19" i="18"/>
  <c r="N19" i="18"/>
  <c r="N105" i="18"/>
  <c r="M19" i="18"/>
  <c r="O19" i="18"/>
  <c r="U18" i="18"/>
  <c r="O18" i="18"/>
  <c r="U17" i="18"/>
  <c r="O17" i="18"/>
  <c r="U16" i="18"/>
  <c r="O16" i="18"/>
  <c r="S15" i="18"/>
  <c r="U15" i="18"/>
  <c r="M15" i="18"/>
  <c r="O15" i="18"/>
  <c r="S14" i="18"/>
  <c r="U14" i="18"/>
  <c r="M14" i="18"/>
  <c r="O14" i="18"/>
  <c r="S13" i="18"/>
  <c r="U13" i="18"/>
  <c r="M13" i="18"/>
  <c r="O13" i="18"/>
  <c r="U12" i="18"/>
  <c r="O12" i="18"/>
  <c r="S11" i="18"/>
  <c r="U11" i="18"/>
  <c r="O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B43" i="18" s="1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U10" i="18"/>
  <c r="M10" i="18"/>
  <c r="O10" i="18"/>
  <c r="H9" i="18"/>
  <c r="I9" i="18"/>
  <c r="J9" i="18" s="1"/>
  <c r="K9" i="18" s="1"/>
  <c r="L9" i="18" s="1"/>
  <c r="M9" i="18" s="1"/>
  <c r="N9" i="18" s="1"/>
  <c r="O9" i="18" s="1"/>
  <c r="P9" i="18" s="1"/>
  <c r="Q9" i="18" s="1"/>
  <c r="R9" i="18" s="1"/>
  <c r="S9" i="18" s="1"/>
  <c r="T9" i="18" s="1"/>
  <c r="U9" i="18" s="1"/>
  <c r="M40" i="17"/>
  <c r="M81" i="17"/>
  <c r="O81" i="17" s="1"/>
  <c r="M88" i="17"/>
  <c r="O88" i="17" s="1"/>
  <c r="S37" i="17"/>
  <c r="U37" i="17" s="1"/>
  <c r="M80" i="17"/>
  <c r="O80" i="17" s="1"/>
  <c r="M34" i="17"/>
  <c r="O34" i="17" s="1"/>
  <c r="M102" i="17"/>
  <c r="O102" i="17" s="1"/>
  <c r="M101" i="17"/>
  <c r="O101" i="17" s="1"/>
  <c r="S99" i="17"/>
  <c r="U99" i="17" s="1"/>
  <c r="M98" i="17"/>
  <c r="O98" i="17" s="1"/>
  <c r="S96" i="17"/>
  <c r="U96" i="17" s="1"/>
  <c r="M96" i="17"/>
  <c r="O96" i="17" s="1"/>
  <c r="M93" i="17"/>
  <c r="O93" i="17" s="1"/>
  <c r="S92" i="17"/>
  <c r="M92" i="17"/>
  <c r="O92" i="17"/>
  <c r="S91" i="17"/>
  <c r="U91" i="17"/>
  <c r="M91" i="17"/>
  <c r="S90" i="17"/>
  <c r="U90" i="17" s="1"/>
  <c r="M90" i="17"/>
  <c r="O90" i="17" s="1"/>
  <c r="S88" i="17"/>
  <c r="U88" i="17" s="1"/>
  <c r="M85" i="17"/>
  <c r="O85" i="17" s="1"/>
  <c r="S84" i="17"/>
  <c r="U84" i="17" s="1"/>
  <c r="M84" i="17"/>
  <c r="O84" i="17" s="1"/>
  <c r="S83" i="17"/>
  <c r="U83" i="17" s="1"/>
  <c r="S81" i="17"/>
  <c r="U81" i="17" s="1"/>
  <c r="M78" i="17"/>
  <c r="O78" i="17" s="1"/>
  <c r="S77" i="17"/>
  <c r="U77" i="17" s="1"/>
  <c r="M77" i="17"/>
  <c r="O77" i="17" s="1"/>
  <c r="M68" i="17"/>
  <c r="O68" i="17" s="1"/>
  <c r="M67" i="17"/>
  <c r="O67" i="17" s="1"/>
  <c r="M61" i="17"/>
  <c r="S57" i="17"/>
  <c r="U57" i="17"/>
  <c r="M57" i="17"/>
  <c r="O57" i="17"/>
  <c r="S56" i="17"/>
  <c r="S63" i="17"/>
  <c r="U63" i="17" s="1"/>
  <c r="M63" i="17"/>
  <c r="O63" i="17" s="1"/>
  <c r="S53" i="17"/>
  <c r="U53" i="17" s="1"/>
  <c r="M53" i="17"/>
  <c r="O53" i="17" s="1"/>
  <c r="S51" i="17"/>
  <c r="U51" i="17" s="1"/>
  <c r="M51" i="17"/>
  <c r="O51" i="17" s="1"/>
  <c r="S50" i="17"/>
  <c r="U50" i="17" s="1"/>
  <c r="S45" i="17"/>
  <c r="U45" i="17" s="1"/>
  <c r="M45" i="17"/>
  <c r="M48" i="17"/>
  <c r="S43" i="17"/>
  <c r="U43" i="17"/>
  <c r="M39" i="17"/>
  <c r="O39" i="17"/>
  <c r="S41" i="17"/>
  <c r="U41" i="17"/>
  <c r="M41" i="17"/>
  <c r="O41" i="17"/>
  <c r="M38" i="17"/>
  <c r="O38" i="17"/>
  <c r="M35" i="17"/>
  <c r="O35" i="17"/>
  <c r="M30" i="17"/>
  <c r="O30" i="17"/>
  <c r="M29" i="17"/>
  <c r="S32" i="17"/>
  <c r="U32" i="17" s="1"/>
  <c r="S25" i="17"/>
  <c r="U25" i="17" s="1"/>
  <c r="M25" i="17"/>
  <c r="O25" i="17" s="1"/>
  <c r="S21" i="17"/>
  <c r="M21" i="17"/>
  <c r="O21" i="17"/>
  <c r="S19" i="17"/>
  <c r="M19" i="17"/>
  <c r="O19" i="17" s="1"/>
  <c r="S15" i="17"/>
  <c r="U15" i="17" s="1"/>
  <c r="M15" i="17"/>
  <c r="O15" i="17" s="1"/>
  <c r="S14" i="17"/>
  <c r="U14" i="17" s="1"/>
  <c r="M14" i="17"/>
  <c r="O14" i="17" s="1"/>
  <c r="S11" i="17"/>
  <c r="U11" i="17" s="1"/>
  <c r="R105" i="17"/>
  <c r="Q105" i="17"/>
  <c r="P105" i="17"/>
  <c r="L105" i="17"/>
  <c r="K105" i="17"/>
  <c r="J105" i="17"/>
  <c r="I105" i="17"/>
  <c r="H105" i="17"/>
  <c r="U103" i="17"/>
  <c r="O103" i="17"/>
  <c r="T102" i="17"/>
  <c r="S102" i="17"/>
  <c r="U102" i="17"/>
  <c r="N102" i="17"/>
  <c r="U101" i="17"/>
  <c r="U100" i="17"/>
  <c r="O100" i="17"/>
  <c r="O99" i="17"/>
  <c r="U98" i="17"/>
  <c r="U97" i="17"/>
  <c r="O97" i="17"/>
  <c r="S95" i="17"/>
  <c r="U95" i="17"/>
  <c r="O95" i="17"/>
  <c r="S94" i="17"/>
  <c r="U94" i="17" s="1"/>
  <c r="O94" i="17"/>
  <c r="U93" i="17"/>
  <c r="T92" i="17"/>
  <c r="U92" i="17" s="1"/>
  <c r="N91" i="17"/>
  <c r="U89" i="17"/>
  <c r="O89" i="17"/>
  <c r="U87" i="17"/>
  <c r="O87" i="17"/>
  <c r="S86" i="17"/>
  <c r="U86" i="17"/>
  <c r="M86" i="17"/>
  <c r="O86" i="17"/>
  <c r="U85" i="17"/>
  <c r="O83" i="17"/>
  <c r="U82" i="17"/>
  <c r="O82" i="17"/>
  <c r="U80" i="17"/>
  <c r="U79" i="17"/>
  <c r="O79" i="17"/>
  <c r="U78" i="17"/>
  <c r="U76" i="17"/>
  <c r="O76" i="17"/>
  <c r="U75" i="17"/>
  <c r="O75" i="17"/>
  <c r="U74" i="17"/>
  <c r="O74" i="17"/>
  <c r="S73" i="17"/>
  <c r="U73" i="17"/>
  <c r="O73" i="17"/>
  <c r="S72" i="17"/>
  <c r="U72" i="17" s="1"/>
  <c r="O72" i="17"/>
  <c r="U71" i="17"/>
  <c r="O71" i="17"/>
  <c r="U70" i="17"/>
  <c r="O70" i="17"/>
  <c r="U69" i="17"/>
  <c r="M69" i="17"/>
  <c r="O69" i="17" s="1"/>
  <c r="S68" i="17"/>
  <c r="U68" i="17" s="1"/>
  <c r="U67" i="17"/>
  <c r="U66" i="17"/>
  <c r="M66" i="17"/>
  <c r="O66" i="17" s="1"/>
  <c r="U65" i="17"/>
  <c r="O65" i="17"/>
  <c r="U64" i="17"/>
  <c r="O64" i="17"/>
  <c r="U62" i="17"/>
  <c r="O62" i="17"/>
  <c r="T61" i="17"/>
  <c r="U61" i="17" s="1"/>
  <c r="N61" i="17"/>
  <c r="U60" i="17"/>
  <c r="O60" i="17"/>
  <c r="U59" i="17"/>
  <c r="O59" i="17"/>
  <c r="U58" i="17"/>
  <c r="O58" i="17"/>
  <c r="U56" i="17"/>
  <c r="O56" i="17"/>
  <c r="S55" i="17"/>
  <c r="U55" i="17"/>
  <c r="M55" i="17"/>
  <c r="O55" i="17"/>
  <c r="T54" i="17"/>
  <c r="U54" i="17"/>
  <c r="O54" i="17"/>
  <c r="U52" i="17"/>
  <c r="O52" i="17"/>
  <c r="T50" i="17"/>
  <c r="O50" i="17"/>
  <c r="T49" i="17"/>
  <c r="S49" i="17"/>
  <c r="U49" i="17"/>
  <c r="N49" i="17"/>
  <c r="O49" i="17"/>
  <c r="T48" i="17"/>
  <c r="U48" i="17"/>
  <c r="N48" i="17"/>
  <c r="O48" i="17" s="1"/>
  <c r="U47" i="17"/>
  <c r="O47" i="17"/>
  <c r="U46" i="17"/>
  <c r="O46" i="17"/>
  <c r="T45" i="17"/>
  <c r="N45" i="17"/>
  <c r="O45" i="17"/>
  <c r="T44" i="17"/>
  <c r="U44" i="17"/>
  <c r="O44" i="17"/>
  <c r="O43" i="17"/>
  <c r="U42" i="17"/>
  <c r="M42" i="17"/>
  <c r="O42" i="17" s="1"/>
  <c r="U40" i="17"/>
  <c r="N40" i="17"/>
  <c r="S39" i="17"/>
  <c r="U39" i="17" s="1"/>
  <c r="U38" i="17"/>
  <c r="O37" i="17"/>
  <c r="S36" i="17"/>
  <c r="U36" i="17" s="1"/>
  <c r="M36" i="17"/>
  <c r="O36" i="17" s="1"/>
  <c r="U35" i="17"/>
  <c r="U34" i="17"/>
  <c r="U33" i="17"/>
  <c r="O33" i="17"/>
  <c r="O32" i="17"/>
  <c r="S30" i="17"/>
  <c r="U30" i="17"/>
  <c r="S29" i="17"/>
  <c r="U29" i="17"/>
  <c r="N29" i="17"/>
  <c r="U28" i="17"/>
  <c r="O28" i="17"/>
  <c r="S27" i="17"/>
  <c r="U27" i="17" s="1"/>
  <c r="M27" i="17"/>
  <c r="O27" i="17" s="1"/>
  <c r="U26" i="17"/>
  <c r="O26" i="17"/>
  <c r="T25" i="17"/>
  <c r="T24" i="17"/>
  <c r="U24" i="17"/>
  <c r="O24" i="17"/>
  <c r="T23" i="17"/>
  <c r="S23" i="17"/>
  <c r="U23" i="17"/>
  <c r="M23" i="17"/>
  <c r="O23" i="17"/>
  <c r="T22" i="17"/>
  <c r="S22" i="17"/>
  <c r="U22" i="17" s="1"/>
  <c r="M22" i="17"/>
  <c r="O22" i="17" s="1"/>
  <c r="T21" i="17"/>
  <c r="S20" i="17"/>
  <c r="U20" i="17"/>
  <c r="O20" i="17"/>
  <c r="T19" i="17"/>
  <c r="T105" i="17" s="1"/>
  <c r="N19" i="17"/>
  <c r="N105" i="17" s="1"/>
  <c r="U18" i="17"/>
  <c r="O18" i="17"/>
  <c r="U17" i="17"/>
  <c r="O17" i="17"/>
  <c r="U16" i="17"/>
  <c r="O16" i="17"/>
  <c r="S13" i="17"/>
  <c r="M13" i="17"/>
  <c r="O13" i="17"/>
  <c r="U12" i="17"/>
  <c r="O12" i="17"/>
  <c r="O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U10" i="17"/>
  <c r="M10" i="17"/>
  <c r="O10" i="17"/>
  <c r="H9" i="17"/>
  <c r="I9" i="17"/>
  <c r="J9" i="17" s="1"/>
  <c r="K9" i="17" s="1"/>
  <c r="L9" i="17" s="1"/>
  <c r="M9" i="17" s="1"/>
  <c r="N9" i="17" s="1"/>
  <c r="O9" i="17" s="1"/>
  <c r="P9" i="17" s="1"/>
  <c r="Q9" i="17" s="1"/>
  <c r="R9" i="17" s="1"/>
  <c r="S9" i="17" s="1"/>
  <c r="T9" i="17" s="1"/>
  <c r="U9" i="17" s="1"/>
  <c r="M102" i="16"/>
  <c r="T24" i="16"/>
  <c r="U24" i="16" s="1"/>
  <c r="T102" i="16"/>
  <c r="N102" i="16"/>
  <c r="T92" i="16"/>
  <c r="U92" i="16" s="1"/>
  <c r="N91" i="16"/>
  <c r="O91" i="16" s="1"/>
  <c r="T61" i="16"/>
  <c r="U61" i="16" s="1"/>
  <c r="N61" i="16"/>
  <c r="T54" i="16"/>
  <c r="U54" i="16"/>
  <c r="T50" i="16"/>
  <c r="U50" i="16"/>
  <c r="T49" i="16"/>
  <c r="N49" i="16"/>
  <c r="O49" i="16"/>
  <c r="T48" i="16"/>
  <c r="U48" i="16"/>
  <c r="N48" i="16"/>
  <c r="O48" i="16"/>
  <c r="T45" i="16"/>
  <c r="U45" i="16"/>
  <c r="N45" i="16"/>
  <c r="O45" i="16"/>
  <c r="T44" i="16"/>
  <c r="U44" i="16"/>
  <c r="N40" i="16"/>
  <c r="N29" i="16"/>
  <c r="T23" i="16"/>
  <c r="T19" i="16"/>
  <c r="N19" i="16"/>
  <c r="N105" i="16"/>
  <c r="T25" i="16"/>
  <c r="U25" i="16"/>
  <c r="T22" i="16"/>
  <c r="T21" i="16"/>
  <c r="U21" i="16" s="1"/>
  <c r="H105" i="16"/>
  <c r="R105" i="16"/>
  <c r="Q105" i="16"/>
  <c r="P105" i="16"/>
  <c r="L105" i="16"/>
  <c r="K105" i="16"/>
  <c r="J105" i="16"/>
  <c r="I105" i="16"/>
  <c r="U103" i="16"/>
  <c r="O103" i="16"/>
  <c r="S102" i="16"/>
  <c r="U102" i="16" s="1"/>
  <c r="U101" i="16"/>
  <c r="O101" i="16"/>
  <c r="U100" i="16"/>
  <c r="O100" i="16"/>
  <c r="U99" i="16"/>
  <c r="O99" i="16"/>
  <c r="U98" i="16"/>
  <c r="O98" i="16"/>
  <c r="U97" i="16"/>
  <c r="O97" i="16"/>
  <c r="U96" i="16"/>
  <c r="O96" i="16"/>
  <c r="S95" i="16"/>
  <c r="U95" i="16" s="1"/>
  <c r="O95" i="16"/>
  <c r="S94" i="16"/>
  <c r="U94" i="16"/>
  <c r="O94" i="16"/>
  <c r="U93" i="16"/>
  <c r="O93" i="16"/>
  <c r="O92" i="16"/>
  <c r="U91" i="16"/>
  <c r="U90" i="16"/>
  <c r="O90" i="16"/>
  <c r="U89" i="16"/>
  <c r="O89" i="16"/>
  <c r="U88" i="16"/>
  <c r="O88" i="16"/>
  <c r="U87" i="16"/>
  <c r="O87" i="16"/>
  <c r="S86" i="16"/>
  <c r="U86" i="16" s="1"/>
  <c r="M86" i="16"/>
  <c r="O86" i="16" s="1"/>
  <c r="U85" i="16"/>
  <c r="O85" i="16"/>
  <c r="U84" i="16"/>
  <c r="O84" i="16"/>
  <c r="U83" i="16"/>
  <c r="O83" i="16"/>
  <c r="U82" i="16"/>
  <c r="O82" i="16"/>
  <c r="U81" i="16"/>
  <c r="O81" i="16"/>
  <c r="U80" i="16"/>
  <c r="O80" i="16"/>
  <c r="U79" i="16"/>
  <c r="O79" i="16"/>
  <c r="U78" i="16"/>
  <c r="O78" i="16"/>
  <c r="U77" i="16"/>
  <c r="O77" i="16"/>
  <c r="U76" i="16"/>
  <c r="O76" i="16"/>
  <c r="U75" i="16"/>
  <c r="O75" i="16"/>
  <c r="U74" i="16"/>
  <c r="O74" i="16"/>
  <c r="S73" i="16"/>
  <c r="U73" i="16" s="1"/>
  <c r="O73" i="16"/>
  <c r="S72" i="16"/>
  <c r="U72" i="16"/>
  <c r="O72" i="16"/>
  <c r="U71" i="16"/>
  <c r="O71" i="16"/>
  <c r="U70" i="16"/>
  <c r="O70" i="16"/>
  <c r="U69" i="16"/>
  <c r="M69" i="16"/>
  <c r="O69" i="16"/>
  <c r="S68" i="16"/>
  <c r="U68" i="16"/>
  <c r="M68" i="16"/>
  <c r="O68" i="16"/>
  <c r="U67" i="16"/>
  <c r="O67" i="16"/>
  <c r="U66" i="16"/>
  <c r="M66" i="16"/>
  <c r="O66" i="16" s="1"/>
  <c r="U65" i="16"/>
  <c r="O65" i="16"/>
  <c r="U64" i="16"/>
  <c r="O64" i="16"/>
  <c r="U63" i="16"/>
  <c r="O63" i="16"/>
  <c r="U62" i="16"/>
  <c r="O62" i="16"/>
  <c r="M61" i="16"/>
  <c r="O61" i="16" s="1"/>
  <c r="U60" i="16"/>
  <c r="O60" i="16"/>
  <c r="U59" i="16"/>
  <c r="O59" i="16"/>
  <c r="U58" i="16"/>
  <c r="O58" i="16"/>
  <c r="U57" i="16"/>
  <c r="O57" i="16"/>
  <c r="S56" i="16"/>
  <c r="U56" i="16" s="1"/>
  <c r="O56" i="16"/>
  <c r="S55" i="16"/>
  <c r="U55" i="16"/>
  <c r="M55" i="16"/>
  <c r="O55" i="16"/>
  <c r="O54" i="16"/>
  <c r="U53" i="16"/>
  <c r="O53" i="16"/>
  <c r="U52" i="16"/>
  <c r="O52" i="16"/>
  <c r="U51" i="16"/>
  <c r="O51" i="16"/>
  <c r="O50" i="16"/>
  <c r="S49" i="16"/>
  <c r="U49" i="16" s="1"/>
  <c r="U47" i="16"/>
  <c r="O47" i="16"/>
  <c r="U46" i="16"/>
  <c r="O46" i="16"/>
  <c r="O44" i="16"/>
  <c r="U43" i="16"/>
  <c r="O43" i="16"/>
  <c r="U42" i="16"/>
  <c r="M42" i="16"/>
  <c r="O42" i="16" s="1"/>
  <c r="U41" i="16"/>
  <c r="O41" i="16"/>
  <c r="U40" i="16"/>
  <c r="M40" i="16"/>
  <c r="O40" i="16"/>
  <c r="S39" i="16"/>
  <c r="U39" i="16"/>
  <c r="M39" i="16"/>
  <c r="O39" i="16"/>
  <c r="U38" i="16"/>
  <c r="O38" i="16"/>
  <c r="U37" i="16"/>
  <c r="O37" i="16"/>
  <c r="S36" i="16"/>
  <c r="U36" i="16"/>
  <c r="M36" i="16"/>
  <c r="O36" i="16"/>
  <c r="U35" i="16"/>
  <c r="M35" i="16"/>
  <c r="O35" i="16" s="1"/>
  <c r="U34" i="16"/>
  <c r="O34" i="16"/>
  <c r="U33" i="16"/>
  <c r="O33" i="16"/>
  <c r="U32" i="16"/>
  <c r="O32" i="16"/>
  <c r="S30" i="16"/>
  <c r="U30" i="16" s="1"/>
  <c r="O30" i="16"/>
  <c r="S29" i="16"/>
  <c r="U29" i="16"/>
  <c r="M29" i="16"/>
  <c r="U28" i="16"/>
  <c r="O28" i="16"/>
  <c r="S27" i="16"/>
  <c r="U27" i="16" s="1"/>
  <c r="M27" i="16"/>
  <c r="O27" i="16" s="1"/>
  <c r="U26" i="16"/>
  <c r="O26" i="16"/>
  <c r="O25" i="16"/>
  <c r="O24" i="16"/>
  <c r="S23" i="16"/>
  <c r="M23" i="16"/>
  <c r="O23" i="16"/>
  <c r="S22" i="16"/>
  <c r="U22" i="16"/>
  <c r="M22" i="16"/>
  <c r="O22" i="16"/>
  <c r="O21" i="16"/>
  <c r="S20" i="16"/>
  <c r="U20" i="16" s="1"/>
  <c r="O20" i="16"/>
  <c r="S19" i="16"/>
  <c r="U19" i="16"/>
  <c r="M19" i="16"/>
  <c r="U18" i="16"/>
  <c r="O18" i="16"/>
  <c r="U17" i="16"/>
  <c r="O17" i="16"/>
  <c r="U16" i="16"/>
  <c r="O16" i="16"/>
  <c r="U15" i="16"/>
  <c r="O15" i="16"/>
  <c r="U14" i="16"/>
  <c r="O14" i="16"/>
  <c r="S13" i="16"/>
  <c r="U13" i="16" s="1"/>
  <c r="M13" i="16"/>
  <c r="O13" i="16" s="1"/>
  <c r="U12" i="16"/>
  <c r="O12" i="16"/>
  <c r="U11" i="16"/>
  <c r="O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U10" i="16"/>
  <c r="M10" i="16"/>
  <c r="O10" i="16" s="1"/>
  <c r="O105" i="16" s="1"/>
  <c r="H9" i="16"/>
  <c r="I9" i="16" s="1"/>
  <c r="J9" i="16" s="1"/>
  <c r="K9" i="16" s="1"/>
  <c r="L9" i="16" s="1"/>
  <c r="M9" i="16" s="1"/>
  <c r="N9" i="16" s="1"/>
  <c r="O9" i="16" s="1"/>
  <c r="P9" i="16" s="1"/>
  <c r="Q9" i="16" s="1"/>
  <c r="R9" i="16" s="1"/>
  <c r="S9" i="16" s="1"/>
  <c r="T9" i="16" s="1"/>
  <c r="U9" i="16" s="1"/>
  <c r="S94" i="14"/>
  <c r="U94" i="14" s="1"/>
  <c r="S55" i="14"/>
  <c r="U55" i="14" s="1"/>
  <c r="S102" i="14"/>
  <c r="U102" i="14" s="1"/>
  <c r="M102" i="14"/>
  <c r="O102" i="14" s="1"/>
  <c r="S95" i="14"/>
  <c r="U95" i="14" s="1"/>
  <c r="S86" i="14"/>
  <c r="U86" i="14" s="1"/>
  <c r="M86" i="14"/>
  <c r="O86" i="14" s="1"/>
  <c r="S73" i="14"/>
  <c r="U73" i="14" s="1"/>
  <c r="S72" i="14"/>
  <c r="U72" i="14" s="1"/>
  <c r="M69" i="14"/>
  <c r="O69" i="14" s="1"/>
  <c r="S68" i="14"/>
  <c r="U68" i="14" s="1"/>
  <c r="M68" i="14"/>
  <c r="O68" i="14" s="1"/>
  <c r="M66" i="14"/>
  <c r="O66" i="14" s="1"/>
  <c r="M61" i="14"/>
  <c r="O61" i="14" s="1"/>
  <c r="S56" i="14"/>
  <c r="U56" i="14" s="1"/>
  <c r="M55" i="14"/>
  <c r="O55" i="14" s="1"/>
  <c r="S49" i="14"/>
  <c r="U49" i="14" s="1"/>
  <c r="M42" i="14"/>
  <c r="O42" i="14" s="1"/>
  <c r="M40" i="14"/>
  <c r="O40" i="14" s="1"/>
  <c r="S39" i="14"/>
  <c r="U39" i="14" s="1"/>
  <c r="M39" i="14"/>
  <c r="O39" i="14" s="1"/>
  <c r="S36" i="14"/>
  <c r="U36" i="14" s="1"/>
  <c r="M36" i="14"/>
  <c r="O36" i="14" s="1"/>
  <c r="M35" i="14"/>
  <c r="O35" i="14" s="1"/>
  <c r="S30" i="14"/>
  <c r="U30" i="14" s="1"/>
  <c r="S29" i="14"/>
  <c r="U29" i="14" s="1"/>
  <c r="M29" i="14"/>
  <c r="O29" i="14" s="1"/>
  <c r="S27" i="14"/>
  <c r="U27" i="14" s="1"/>
  <c r="M27" i="14"/>
  <c r="S24" i="14"/>
  <c r="U24" i="14"/>
  <c r="S23" i="14"/>
  <c r="M23" i="14"/>
  <c r="O23" i="14" s="1"/>
  <c r="S22" i="14"/>
  <c r="U22" i="14" s="1"/>
  <c r="M22" i="14"/>
  <c r="O22" i="14" s="1"/>
  <c r="S20" i="14"/>
  <c r="U20" i="14" s="1"/>
  <c r="S19" i="14"/>
  <c r="U19" i="14" s="1"/>
  <c r="M19" i="14"/>
  <c r="O19" i="14" s="1"/>
  <c r="S13" i="14"/>
  <c r="U13" i="14" s="1"/>
  <c r="U104" i="14" s="1"/>
  <c r="M13" i="14"/>
  <c r="O13" i="14" s="1"/>
  <c r="M10" i="14"/>
  <c r="O10" i="14" s="1"/>
  <c r="O104" i="14" s="1"/>
  <c r="T104" i="15"/>
  <c r="S104" i="15"/>
  <c r="R104" i="15"/>
  <c r="Q104" i="15"/>
  <c r="P104" i="15"/>
  <c r="N104" i="15"/>
  <c r="M104" i="15"/>
  <c r="L104" i="15"/>
  <c r="K104" i="15"/>
  <c r="J104" i="15"/>
  <c r="I104" i="15"/>
  <c r="H104" i="15"/>
  <c r="U103" i="15"/>
  <c r="O103" i="15"/>
  <c r="U102" i="15"/>
  <c r="O102" i="15"/>
  <c r="U101" i="15"/>
  <c r="O101" i="15"/>
  <c r="U100" i="15"/>
  <c r="O100" i="15"/>
  <c r="U99" i="15"/>
  <c r="O99" i="15"/>
  <c r="U98" i="15"/>
  <c r="O98" i="15"/>
  <c r="U97" i="15"/>
  <c r="O97" i="15"/>
  <c r="U96" i="15"/>
  <c r="O96" i="15"/>
  <c r="U95" i="15"/>
  <c r="O95" i="15"/>
  <c r="U94" i="15"/>
  <c r="O94" i="15"/>
  <c r="U93" i="15"/>
  <c r="O93" i="15"/>
  <c r="U92" i="15"/>
  <c r="O92" i="15"/>
  <c r="U91" i="15"/>
  <c r="O91" i="15"/>
  <c r="U90" i="15"/>
  <c r="O90" i="15"/>
  <c r="U89" i="15"/>
  <c r="O89" i="15"/>
  <c r="U88" i="15"/>
  <c r="O88" i="15"/>
  <c r="U87" i="15"/>
  <c r="O87" i="15"/>
  <c r="U86" i="15"/>
  <c r="O86" i="15"/>
  <c r="U85" i="15"/>
  <c r="O85" i="15"/>
  <c r="U84" i="15"/>
  <c r="O84" i="15"/>
  <c r="U83" i="15"/>
  <c r="O83" i="15"/>
  <c r="U82" i="15"/>
  <c r="O82" i="15"/>
  <c r="U81" i="15"/>
  <c r="O81" i="15"/>
  <c r="U80" i="15"/>
  <c r="O80" i="15"/>
  <c r="U79" i="15"/>
  <c r="O79" i="15"/>
  <c r="U78" i="15"/>
  <c r="O78" i="15"/>
  <c r="U77" i="15"/>
  <c r="O77" i="15"/>
  <c r="U76" i="15"/>
  <c r="O76" i="15"/>
  <c r="U75" i="15"/>
  <c r="O75" i="15"/>
  <c r="U74" i="15"/>
  <c r="O74" i="15"/>
  <c r="U73" i="15"/>
  <c r="O73" i="15"/>
  <c r="U72" i="15"/>
  <c r="O72" i="15"/>
  <c r="U71" i="15"/>
  <c r="O71" i="15"/>
  <c r="U70" i="15"/>
  <c r="O70" i="15"/>
  <c r="U69" i="15"/>
  <c r="O69" i="15"/>
  <c r="U68" i="15"/>
  <c r="O68" i="15"/>
  <c r="U67" i="15"/>
  <c r="O67" i="15"/>
  <c r="U66" i="15"/>
  <c r="O66" i="15"/>
  <c r="U65" i="15"/>
  <c r="O65" i="15"/>
  <c r="U64" i="15"/>
  <c r="O64" i="15"/>
  <c r="U63" i="15"/>
  <c r="O63" i="15"/>
  <c r="U62" i="15"/>
  <c r="O62" i="15"/>
  <c r="U61" i="15"/>
  <c r="O61" i="15"/>
  <c r="U60" i="15"/>
  <c r="O60" i="15"/>
  <c r="U59" i="15"/>
  <c r="O59" i="15"/>
  <c r="U58" i="15"/>
  <c r="O58" i="15"/>
  <c r="U57" i="15"/>
  <c r="O57" i="15"/>
  <c r="U56" i="15"/>
  <c r="O56" i="15"/>
  <c r="U55" i="15"/>
  <c r="O55" i="15"/>
  <c r="U54" i="15"/>
  <c r="O54" i="15"/>
  <c r="U53" i="15"/>
  <c r="O53" i="15"/>
  <c r="U52" i="15"/>
  <c r="O52" i="15"/>
  <c r="U51" i="15"/>
  <c r="O51" i="15"/>
  <c r="U50" i="15"/>
  <c r="O50" i="15"/>
  <c r="U49" i="15"/>
  <c r="O49" i="15"/>
  <c r="U48" i="15"/>
  <c r="O48" i="15"/>
  <c r="U47" i="15"/>
  <c r="O47" i="15"/>
  <c r="U46" i="15"/>
  <c r="O46" i="15"/>
  <c r="U45" i="15"/>
  <c r="O45" i="15"/>
  <c r="U44" i="15"/>
  <c r="O44" i="15"/>
  <c r="U43" i="15"/>
  <c r="O43" i="15"/>
  <c r="U42" i="15"/>
  <c r="O42" i="15"/>
  <c r="U41" i="15"/>
  <c r="O41" i="15"/>
  <c r="U40" i="15"/>
  <c r="O40" i="15"/>
  <c r="U39" i="15"/>
  <c r="O39" i="15"/>
  <c r="U38" i="15"/>
  <c r="O38" i="15"/>
  <c r="U37" i="15"/>
  <c r="O37" i="15"/>
  <c r="U36" i="15"/>
  <c r="O36" i="15"/>
  <c r="U35" i="15"/>
  <c r="O35" i="15"/>
  <c r="U34" i="15"/>
  <c r="O34" i="15"/>
  <c r="U33" i="15"/>
  <c r="O33" i="15"/>
  <c r="U32" i="15"/>
  <c r="O32" i="15"/>
  <c r="U30" i="15"/>
  <c r="O30" i="15"/>
  <c r="U29" i="15"/>
  <c r="O29" i="15"/>
  <c r="U28" i="15"/>
  <c r="O28" i="15"/>
  <c r="U27" i="15"/>
  <c r="O27" i="15"/>
  <c r="U26" i="15"/>
  <c r="O26" i="15"/>
  <c r="U25" i="15"/>
  <c r="O25" i="15"/>
  <c r="U24" i="15"/>
  <c r="O24" i="15"/>
  <c r="U23" i="15"/>
  <c r="O23" i="15"/>
  <c r="U22" i="15"/>
  <c r="O22" i="15"/>
  <c r="U21" i="15"/>
  <c r="O21" i="15"/>
  <c r="U20" i="15"/>
  <c r="O20" i="15"/>
  <c r="U19" i="15"/>
  <c r="O19" i="15"/>
  <c r="U18" i="15"/>
  <c r="O18" i="15"/>
  <c r="U17" i="15"/>
  <c r="O17" i="15"/>
  <c r="U16" i="15"/>
  <c r="O16" i="15"/>
  <c r="U15" i="15"/>
  <c r="O15" i="15"/>
  <c r="U14" i="15"/>
  <c r="O14" i="15"/>
  <c r="U13" i="15"/>
  <c r="O13" i="15"/>
  <c r="U12" i="15"/>
  <c r="O12" i="15"/>
  <c r="U11" i="15"/>
  <c r="O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U10" i="15"/>
  <c r="U104" i="15" s="1"/>
  <c r="O10" i="15"/>
  <c r="O104" i="15" s="1"/>
  <c r="H9" i="15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U9" i="15" s="1"/>
  <c r="T104" i="14"/>
  <c r="R104" i="14"/>
  <c r="Q104" i="14"/>
  <c r="P104" i="14"/>
  <c r="N104" i="14"/>
  <c r="AA104" i="14" s="1"/>
  <c r="L104" i="14"/>
  <c r="K104" i="14"/>
  <c r="J104" i="14"/>
  <c r="I104" i="14"/>
  <c r="H104" i="14"/>
  <c r="U103" i="14"/>
  <c r="O103" i="14"/>
  <c r="U101" i="14"/>
  <c r="O101" i="14"/>
  <c r="U100" i="14"/>
  <c r="O100" i="14"/>
  <c r="U99" i="14"/>
  <c r="O99" i="14"/>
  <c r="U98" i="14"/>
  <c r="O98" i="14"/>
  <c r="U97" i="14"/>
  <c r="O97" i="14"/>
  <c r="U96" i="14"/>
  <c r="O96" i="14"/>
  <c r="O95" i="14"/>
  <c r="O94" i="14"/>
  <c r="U93" i="14"/>
  <c r="O93" i="14"/>
  <c r="U92" i="14"/>
  <c r="O92" i="14"/>
  <c r="U91" i="14"/>
  <c r="O91" i="14"/>
  <c r="U90" i="14"/>
  <c r="O90" i="14"/>
  <c r="U89" i="14"/>
  <c r="O89" i="14"/>
  <c r="U88" i="14"/>
  <c r="O88" i="14"/>
  <c r="U87" i="14"/>
  <c r="O87" i="14"/>
  <c r="U85" i="14"/>
  <c r="O85" i="14"/>
  <c r="U84" i="14"/>
  <c r="O84" i="14"/>
  <c r="U83" i="14"/>
  <c r="O83" i="14"/>
  <c r="U82" i="14"/>
  <c r="O82" i="14"/>
  <c r="U81" i="14"/>
  <c r="O81" i="14"/>
  <c r="U80" i="14"/>
  <c r="O80" i="14"/>
  <c r="U79" i="14"/>
  <c r="O79" i="14"/>
  <c r="U78" i="14"/>
  <c r="O78" i="14"/>
  <c r="U77" i="14"/>
  <c r="O77" i="14"/>
  <c r="U76" i="14"/>
  <c r="O76" i="14"/>
  <c r="U75" i="14"/>
  <c r="O75" i="14"/>
  <c r="U74" i="14"/>
  <c r="O74" i="14"/>
  <c r="O73" i="14"/>
  <c r="O72" i="14"/>
  <c r="U71" i="14"/>
  <c r="O71" i="14"/>
  <c r="U70" i="14"/>
  <c r="O70" i="14"/>
  <c r="U69" i="14"/>
  <c r="U67" i="14"/>
  <c r="O67" i="14"/>
  <c r="U66" i="14"/>
  <c r="U65" i="14"/>
  <c r="O65" i="14"/>
  <c r="U64" i="14"/>
  <c r="O64" i="14"/>
  <c r="U63" i="14"/>
  <c r="O63" i="14"/>
  <c r="U62" i="14"/>
  <c r="O62" i="14"/>
  <c r="U61" i="14"/>
  <c r="U60" i="14"/>
  <c r="O60" i="14"/>
  <c r="U59" i="14"/>
  <c r="O59" i="14"/>
  <c r="U58" i="14"/>
  <c r="O58" i="14"/>
  <c r="U57" i="14"/>
  <c r="O57" i="14"/>
  <c r="O56" i="14"/>
  <c r="U54" i="14"/>
  <c r="O54" i="14"/>
  <c r="U53" i="14"/>
  <c r="O53" i="14"/>
  <c r="U52" i="14"/>
  <c r="O52" i="14"/>
  <c r="U51" i="14"/>
  <c r="O51" i="14"/>
  <c r="U50" i="14"/>
  <c r="O50" i="14"/>
  <c r="O49" i="14"/>
  <c r="U48" i="14"/>
  <c r="O48" i="14"/>
  <c r="U47" i="14"/>
  <c r="O47" i="14"/>
  <c r="U46" i="14"/>
  <c r="O46" i="14"/>
  <c r="U45" i="14"/>
  <c r="O45" i="14"/>
  <c r="U44" i="14"/>
  <c r="O44" i="14"/>
  <c r="U43" i="14"/>
  <c r="O43" i="14"/>
  <c r="U42" i="14"/>
  <c r="U41" i="14"/>
  <c r="O41" i="14"/>
  <c r="U40" i="14"/>
  <c r="U38" i="14"/>
  <c r="O38" i="14"/>
  <c r="U37" i="14"/>
  <c r="O37" i="14"/>
  <c r="U35" i="14"/>
  <c r="U34" i="14"/>
  <c r="O34" i="14"/>
  <c r="U33" i="14"/>
  <c r="O33" i="14"/>
  <c r="U32" i="14"/>
  <c r="O32" i="14"/>
  <c r="O30" i="14"/>
  <c r="U28" i="14"/>
  <c r="O28" i="14"/>
  <c r="U26" i="14"/>
  <c r="O26" i="14"/>
  <c r="U25" i="14"/>
  <c r="O25" i="14"/>
  <c r="O24" i="14"/>
  <c r="U21" i="14"/>
  <c r="O21" i="14"/>
  <c r="O20" i="14"/>
  <c r="U18" i="14"/>
  <c r="O18" i="14"/>
  <c r="U17" i="14"/>
  <c r="O17" i="14"/>
  <c r="U16" i="14"/>
  <c r="O16" i="14"/>
  <c r="U15" i="14"/>
  <c r="O15" i="14"/>
  <c r="U14" i="14"/>
  <c r="O14" i="14"/>
  <c r="U12" i="14"/>
  <c r="O12" i="14"/>
  <c r="U11" i="14"/>
  <c r="O11" i="14"/>
  <c r="B11" i="14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U10" i="14"/>
  <c r="H9" i="14"/>
  <c r="I9" i="14"/>
  <c r="J9" i="14" s="1"/>
  <c r="K9" i="14" s="1"/>
  <c r="L9" i="14" s="1"/>
  <c r="M9" i="14" s="1"/>
  <c r="N9" i="14" s="1"/>
  <c r="O9" i="14" s="1"/>
  <c r="P9" i="14" s="1"/>
  <c r="Q9" i="14" s="1"/>
  <c r="R9" i="14" s="1"/>
  <c r="S9" i="14" s="1"/>
  <c r="T9" i="14" s="1"/>
  <c r="U9" i="14" s="1"/>
  <c r="W43" i="13"/>
  <c r="W44" i="13"/>
  <c r="W45" i="13"/>
  <c r="W46" i="13"/>
  <c r="W47" i="13"/>
  <c r="W48" i="13"/>
  <c r="W49" i="13"/>
  <c r="W50" i="13"/>
  <c r="W51" i="13"/>
  <c r="W52" i="13"/>
  <c r="W53" i="13"/>
  <c r="W54" i="13"/>
  <c r="W55" i="13"/>
  <c r="W56" i="13"/>
  <c r="W57" i="13"/>
  <c r="W58" i="13"/>
  <c r="W59" i="13"/>
  <c r="W60" i="13"/>
  <c r="W61" i="13"/>
  <c r="W62" i="13"/>
  <c r="W63" i="13"/>
  <c r="W64" i="13"/>
  <c r="W65" i="13"/>
  <c r="W66" i="13"/>
  <c r="W67" i="13"/>
  <c r="W68" i="13"/>
  <c r="W69" i="13"/>
  <c r="W70" i="13"/>
  <c r="W71" i="13"/>
  <c r="W72" i="13"/>
  <c r="W73" i="13"/>
  <c r="W74" i="13"/>
  <c r="W75" i="13"/>
  <c r="W76" i="13"/>
  <c r="W77" i="13"/>
  <c r="W78" i="13"/>
  <c r="W79" i="13"/>
  <c r="W80" i="13"/>
  <c r="W81" i="13"/>
  <c r="W82" i="13"/>
  <c r="W83" i="13"/>
  <c r="W84" i="13"/>
  <c r="W85" i="13"/>
  <c r="W86" i="13"/>
  <c r="W87" i="13"/>
  <c r="W88" i="13"/>
  <c r="W89" i="13"/>
  <c r="W90" i="13"/>
  <c r="W91" i="13"/>
  <c r="W92" i="13"/>
  <c r="W93" i="13"/>
  <c r="W94" i="13"/>
  <c r="W95" i="13"/>
  <c r="W96" i="13"/>
  <c r="W97" i="13"/>
  <c r="W98" i="13"/>
  <c r="W99" i="13"/>
  <c r="W100" i="13"/>
  <c r="W101" i="13"/>
  <c r="W102" i="13"/>
  <c r="W103" i="13"/>
  <c r="W42" i="13"/>
  <c r="O29" i="16"/>
  <c r="U23" i="16"/>
  <c r="O29" i="17"/>
  <c r="O19" i="16"/>
  <c r="U23" i="14"/>
  <c r="T104" i="13"/>
  <c r="S104" i="13"/>
  <c r="R104" i="13"/>
  <c r="Q104" i="13"/>
  <c r="P104" i="13"/>
  <c r="N104" i="13"/>
  <c r="X103" i="13"/>
  <c r="Z103" i="13" s="1"/>
  <c r="M104" i="13"/>
  <c r="W104" i="13" s="1"/>
  <c r="L104" i="13"/>
  <c r="K104" i="13"/>
  <c r="J104" i="13"/>
  <c r="I104" i="13"/>
  <c r="H104" i="13"/>
  <c r="U103" i="13"/>
  <c r="O103" i="13"/>
  <c r="U102" i="13"/>
  <c r="O102" i="13"/>
  <c r="U101" i="13"/>
  <c r="O101" i="13"/>
  <c r="U100" i="13"/>
  <c r="O100" i="13"/>
  <c r="U99" i="13"/>
  <c r="O99" i="13"/>
  <c r="U98" i="13"/>
  <c r="O98" i="13"/>
  <c r="U97" i="13"/>
  <c r="O97" i="13"/>
  <c r="U96" i="13"/>
  <c r="O96" i="13"/>
  <c r="U95" i="13"/>
  <c r="O95" i="13"/>
  <c r="U94" i="13"/>
  <c r="O94" i="13"/>
  <c r="U93" i="13"/>
  <c r="O93" i="13"/>
  <c r="U92" i="13"/>
  <c r="O92" i="13"/>
  <c r="U91" i="13"/>
  <c r="O91" i="13"/>
  <c r="U90" i="13"/>
  <c r="O90" i="13"/>
  <c r="U89" i="13"/>
  <c r="O89" i="13"/>
  <c r="U88" i="13"/>
  <c r="O88" i="13"/>
  <c r="U87" i="13"/>
  <c r="O87" i="13"/>
  <c r="U86" i="13"/>
  <c r="O86" i="13"/>
  <c r="U85" i="13"/>
  <c r="O85" i="13"/>
  <c r="U84" i="13"/>
  <c r="O84" i="13"/>
  <c r="U83" i="13"/>
  <c r="O83" i="13"/>
  <c r="U82" i="13"/>
  <c r="O82" i="13"/>
  <c r="U81" i="13"/>
  <c r="O81" i="13"/>
  <c r="U80" i="13"/>
  <c r="O80" i="13"/>
  <c r="U79" i="13"/>
  <c r="O79" i="13"/>
  <c r="U78" i="13"/>
  <c r="O78" i="13"/>
  <c r="U77" i="13"/>
  <c r="O77" i="13"/>
  <c r="U76" i="13"/>
  <c r="O76" i="13"/>
  <c r="U75" i="13"/>
  <c r="O75" i="13"/>
  <c r="U74" i="13"/>
  <c r="O74" i="13"/>
  <c r="U73" i="13"/>
  <c r="O73" i="13"/>
  <c r="U72" i="13"/>
  <c r="O72" i="13"/>
  <c r="U71" i="13"/>
  <c r="O71" i="13"/>
  <c r="U70" i="13"/>
  <c r="O70" i="13"/>
  <c r="U69" i="13"/>
  <c r="O69" i="13"/>
  <c r="U68" i="13"/>
  <c r="O68" i="13"/>
  <c r="U67" i="13"/>
  <c r="O67" i="13"/>
  <c r="U66" i="13"/>
  <c r="O66" i="13"/>
  <c r="U65" i="13"/>
  <c r="O65" i="13"/>
  <c r="U64" i="13"/>
  <c r="O64" i="13"/>
  <c r="U63" i="13"/>
  <c r="O63" i="13"/>
  <c r="U62" i="13"/>
  <c r="O62" i="13"/>
  <c r="U61" i="13"/>
  <c r="O61" i="13"/>
  <c r="U60" i="13"/>
  <c r="O60" i="13"/>
  <c r="U59" i="13"/>
  <c r="O59" i="13"/>
  <c r="U58" i="13"/>
  <c r="O58" i="13"/>
  <c r="U57" i="13"/>
  <c r="O57" i="13"/>
  <c r="U56" i="13"/>
  <c r="O56" i="13"/>
  <c r="U55" i="13"/>
  <c r="O55" i="13"/>
  <c r="U54" i="13"/>
  <c r="O54" i="13"/>
  <c r="U53" i="13"/>
  <c r="O53" i="13"/>
  <c r="U52" i="13"/>
  <c r="O52" i="13"/>
  <c r="U51" i="13"/>
  <c r="O51" i="13"/>
  <c r="U50" i="13"/>
  <c r="O50" i="13"/>
  <c r="U49" i="13"/>
  <c r="O49" i="13"/>
  <c r="U48" i="13"/>
  <c r="O48" i="13"/>
  <c r="U47" i="13"/>
  <c r="O47" i="13"/>
  <c r="U46" i="13"/>
  <c r="O46" i="13"/>
  <c r="U45" i="13"/>
  <c r="O45" i="13"/>
  <c r="U44" i="13"/>
  <c r="O44" i="13"/>
  <c r="U43" i="13"/>
  <c r="O43" i="13"/>
  <c r="U42" i="13"/>
  <c r="O42" i="13"/>
  <c r="U41" i="13"/>
  <c r="O41" i="13"/>
  <c r="U40" i="13"/>
  <c r="O40" i="13"/>
  <c r="U39" i="13"/>
  <c r="O39" i="13"/>
  <c r="U38" i="13"/>
  <c r="O38" i="13"/>
  <c r="U37" i="13"/>
  <c r="O37" i="13"/>
  <c r="U36" i="13"/>
  <c r="O36" i="13"/>
  <c r="U35" i="13"/>
  <c r="O35" i="13"/>
  <c r="U34" i="13"/>
  <c r="O34" i="13"/>
  <c r="U33" i="13"/>
  <c r="O33" i="13"/>
  <c r="U32" i="13"/>
  <c r="O32" i="13"/>
  <c r="U30" i="13"/>
  <c r="O30" i="13"/>
  <c r="U29" i="13"/>
  <c r="O29" i="13"/>
  <c r="U28" i="13"/>
  <c r="O28" i="13"/>
  <c r="U27" i="13"/>
  <c r="O27" i="13"/>
  <c r="U26" i="13"/>
  <c r="O26" i="13"/>
  <c r="U25" i="13"/>
  <c r="O25" i="13"/>
  <c r="U24" i="13"/>
  <c r="O24" i="13"/>
  <c r="U23" i="13"/>
  <c r="O23" i="13"/>
  <c r="U22" i="13"/>
  <c r="O22" i="13"/>
  <c r="U21" i="13"/>
  <c r="O21" i="13"/>
  <c r="U20" i="13"/>
  <c r="O20" i="13"/>
  <c r="U19" i="13"/>
  <c r="O19" i="13"/>
  <c r="U18" i="13"/>
  <c r="O18" i="13"/>
  <c r="U17" i="13"/>
  <c r="O17" i="13"/>
  <c r="U16" i="13"/>
  <c r="O16" i="13"/>
  <c r="U15" i="13"/>
  <c r="O15" i="13"/>
  <c r="U14" i="13"/>
  <c r="O14" i="13"/>
  <c r="U13" i="13"/>
  <c r="O13" i="13"/>
  <c r="U12" i="13"/>
  <c r="O12" i="13"/>
  <c r="U11" i="13"/>
  <c r="O11" i="13"/>
  <c r="B11" i="13"/>
  <c r="B12" i="13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U10" i="13"/>
  <c r="U104" i="13"/>
  <c r="O10" i="13"/>
  <c r="O104" i="13"/>
  <c r="H9" i="13"/>
  <c r="I9" i="13"/>
  <c r="J9" i="13" s="1"/>
  <c r="K9" i="13" s="1"/>
  <c r="L9" i="13" s="1"/>
  <c r="M9" i="13" s="1"/>
  <c r="N9" i="13" s="1"/>
  <c r="O9" i="13" s="1"/>
  <c r="P9" i="13" s="1"/>
  <c r="Q9" i="13" s="1"/>
  <c r="R9" i="13" s="1"/>
  <c r="S9" i="13" s="1"/>
  <c r="T9" i="13" s="1"/>
  <c r="U9" i="13" s="1"/>
  <c r="W16" i="12"/>
  <c r="W17" i="12"/>
  <c r="W18" i="12"/>
  <c r="W19" i="12"/>
  <c r="W20" i="12"/>
  <c r="W21" i="12"/>
  <c r="W22" i="12"/>
  <c r="W23" i="12"/>
  <c r="W24" i="12"/>
  <c r="W25" i="12"/>
  <c r="W26" i="12"/>
  <c r="W27" i="12"/>
  <c r="W28" i="12"/>
  <c r="W29" i="12"/>
  <c r="W30" i="12"/>
  <c r="W32" i="12"/>
  <c r="W33" i="12"/>
  <c r="W34" i="12"/>
  <c r="W35" i="12"/>
  <c r="W36" i="12"/>
  <c r="W37" i="12"/>
  <c r="W38" i="12"/>
  <c r="W39" i="12"/>
  <c r="W40" i="12"/>
  <c r="W41" i="12"/>
  <c r="W42" i="12"/>
  <c r="W43" i="12"/>
  <c r="W44" i="12"/>
  <c r="W45" i="12"/>
  <c r="W46" i="12"/>
  <c r="W47" i="12"/>
  <c r="W48" i="12"/>
  <c r="W49" i="12"/>
  <c r="W50" i="12"/>
  <c r="W51" i="12"/>
  <c r="W52" i="12"/>
  <c r="W53" i="12"/>
  <c r="W54" i="12"/>
  <c r="W55" i="12"/>
  <c r="W56" i="12"/>
  <c r="W57" i="12"/>
  <c r="W58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72" i="12"/>
  <c r="W73" i="12"/>
  <c r="W74" i="12"/>
  <c r="W75" i="12"/>
  <c r="W76" i="12"/>
  <c r="W77" i="12"/>
  <c r="W78" i="12"/>
  <c r="W79" i="12"/>
  <c r="W80" i="12"/>
  <c r="W81" i="12"/>
  <c r="W82" i="12"/>
  <c r="W83" i="12"/>
  <c r="W84" i="12"/>
  <c r="W85" i="12"/>
  <c r="W86" i="12"/>
  <c r="W87" i="12"/>
  <c r="W88" i="12"/>
  <c r="W89" i="12"/>
  <c r="W90" i="12"/>
  <c r="W91" i="12"/>
  <c r="W92" i="12"/>
  <c r="W93" i="12"/>
  <c r="W94" i="12"/>
  <c r="W95" i="12"/>
  <c r="W96" i="12"/>
  <c r="W97" i="12"/>
  <c r="W98" i="12"/>
  <c r="W99" i="12"/>
  <c r="W100" i="12"/>
  <c r="W101" i="12"/>
  <c r="W102" i="12"/>
  <c r="W103" i="12"/>
  <c r="W15" i="12"/>
  <c r="W11" i="12"/>
  <c r="W12" i="12"/>
  <c r="W13" i="12"/>
  <c r="W14" i="12"/>
  <c r="W10" i="12"/>
  <c r="T104" i="12"/>
  <c r="S104" i="12"/>
  <c r="R104" i="12"/>
  <c r="Q104" i="12"/>
  <c r="P104" i="12"/>
  <c r="N104" i="12"/>
  <c r="M104" i="12"/>
  <c r="W104" i="12" s="1"/>
  <c r="L104" i="12"/>
  <c r="K104" i="12"/>
  <c r="J104" i="12"/>
  <c r="I104" i="12"/>
  <c r="H104" i="12"/>
  <c r="U103" i="12"/>
  <c r="O103" i="12"/>
  <c r="U102" i="12"/>
  <c r="O102" i="12"/>
  <c r="U101" i="12"/>
  <c r="O101" i="12"/>
  <c r="U100" i="12"/>
  <c r="O100" i="12"/>
  <c r="U99" i="12"/>
  <c r="O99" i="12"/>
  <c r="U98" i="12"/>
  <c r="O98" i="12"/>
  <c r="U97" i="12"/>
  <c r="O97" i="12"/>
  <c r="U96" i="12"/>
  <c r="O96" i="12"/>
  <c r="U95" i="12"/>
  <c r="O95" i="12"/>
  <c r="U94" i="12"/>
  <c r="O94" i="12"/>
  <c r="U93" i="12"/>
  <c r="O93" i="12"/>
  <c r="U92" i="12"/>
  <c r="O92" i="12"/>
  <c r="U91" i="12"/>
  <c r="O91" i="12"/>
  <c r="U90" i="12"/>
  <c r="O90" i="12"/>
  <c r="U89" i="12"/>
  <c r="O89" i="12"/>
  <c r="U88" i="12"/>
  <c r="O88" i="12"/>
  <c r="U87" i="12"/>
  <c r="O87" i="12"/>
  <c r="U86" i="12"/>
  <c r="O86" i="12"/>
  <c r="U85" i="12"/>
  <c r="O85" i="12"/>
  <c r="U84" i="12"/>
  <c r="O84" i="12"/>
  <c r="U83" i="12"/>
  <c r="O83" i="12"/>
  <c r="U82" i="12"/>
  <c r="O82" i="12"/>
  <c r="U81" i="12"/>
  <c r="O81" i="12"/>
  <c r="U80" i="12"/>
  <c r="O80" i="12"/>
  <c r="U79" i="12"/>
  <c r="O79" i="12"/>
  <c r="U78" i="12"/>
  <c r="O78" i="12"/>
  <c r="U77" i="12"/>
  <c r="O77" i="12"/>
  <c r="U76" i="12"/>
  <c r="O76" i="12"/>
  <c r="U75" i="12"/>
  <c r="O75" i="12"/>
  <c r="U74" i="12"/>
  <c r="O74" i="12"/>
  <c r="U73" i="12"/>
  <c r="O73" i="12"/>
  <c r="U72" i="12"/>
  <c r="O72" i="12"/>
  <c r="U71" i="12"/>
  <c r="O71" i="12"/>
  <c r="U70" i="12"/>
  <c r="O70" i="12"/>
  <c r="U69" i="12"/>
  <c r="O69" i="12"/>
  <c r="U68" i="12"/>
  <c r="O68" i="12"/>
  <c r="U67" i="12"/>
  <c r="O67" i="12"/>
  <c r="U66" i="12"/>
  <c r="O66" i="12"/>
  <c r="U65" i="12"/>
  <c r="O65" i="12"/>
  <c r="U64" i="12"/>
  <c r="O64" i="12"/>
  <c r="U63" i="12"/>
  <c r="O63" i="12"/>
  <c r="U62" i="12"/>
  <c r="O62" i="12"/>
  <c r="U61" i="12"/>
  <c r="O61" i="12"/>
  <c r="U60" i="12"/>
  <c r="O60" i="12"/>
  <c r="U59" i="12"/>
  <c r="O59" i="12"/>
  <c r="U58" i="12"/>
  <c r="O58" i="12"/>
  <c r="U57" i="12"/>
  <c r="O57" i="12"/>
  <c r="U56" i="12"/>
  <c r="O56" i="12"/>
  <c r="U55" i="12"/>
  <c r="O55" i="12"/>
  <c r="U54" i="12"/>
  <c r="O54" i="12"/>
  <c r="U53" i="12"/>
  <c r="O53" i="12"/>
  <c r="U52" i="12"/>
  <c r="O52" i="12"/>
  <c r="U51" i="12"/>
  <c r="O51" i="12"/>
  <c r="U50" i="12"/>
  <c r="O50" i="12"/>
  <c r="U49" i="12"/>
  <c r="O49" i="12"/>
  <c r="U48" i="12"/>
  <c r="O48" i="12"/>
  <c r="U47" i="12"/>
  <c r="O47" i="12"/>
  <c r="U46" i="12"/>
  <c r="O46" i="12"/>
  <c r="U45" i="12"/>
  <c r="O45" i="12"/>
  <c r="U44" i="12"/>
  <c r="O44" i="12"/>
  <c r="U43" i="12"/>
  <c r="O43" i="12"/>
  <c r="U42" i="12"/>
  <c r="O42" i="12"/>
  <c r="U41" i="12"/>
  <c r="O41" i="12"/>
  <c r="U40" i="12"/>
  <c r="O40" i="12"/>
  <c r="U39" i="12"/>
  <c r="O39" i="12"/>
  <c r="U38" i="12"/>
  <c r="O38" i="12"/>
  <c r="U37" i="12"/>
  <c r="O37" i="12"/>
  <c r="U36" i="12"/>
  <c r="O36" i="12"/>
  <c r="U35" i="12"/>
  <c r="O35" i="12"/>
  <c r="U34" i="12"/>
  <c r="O34" i="12"/>
  <c r="U33" i="12"/>
  <c r="O33" i="12"/>
  <c r="U32" i="12"/>
  <c r="O32" i="12"/>
  <c r="U30" i="12"/>
  <c r="O30" i="12"/>
  <c r="U29" i="12"/>
  <c r="O29" i="12"/>
  <c r="U28" i="12"/>
  <c r="O28" i="12"/>
  <c r="U27" i="12"/>
  <c r="O27" i="12"/>
  <c r="U26" i="12"/>
  <c r="O26" i="12"/>
  <c r="U25" i="12"/>
  <c r="O25" i="12"/>
  <c r="U24" i="12"/>
  <c r="O24" i="12"/>
  <c r="U23" i="12"/>
  <c r="O23" i="12"/>
  <c r="U22" i="12"/>
  <c r="O22" i="12"/>
  <c r="U21" i="12"/>
  <c r="O21" i="12"/>
  <c r="U20" i="12"/>
  <c r="O20" i="12"/>
  <c r="U19" i="12"/>
  <c r="O19" i="12"/>
  <c r="U18" i="12"/>
  <c r="O18" i="12"/>
  <c r="U17" i="12"/>
  <c r="O17" i="12"/>
  <c r="U16" i="12"/>
  <c r="O16" i="12"/>
  <c r="U15" i="12"/>
  <c r="O15" i="12"/>
  <c r="U14" i="12"/>
  <c r="O14" i="12"/>
  <c r="U13" i="12"/>
  <c r="O13" i="12"/>
  <c r="U12" i="12"/>
  <c r="O12" i="12"/>
  <c r="U11" i="12"/>
  <c r="O11" i="12"/>
  <c r="B11" i="12"/>
  <c r="B12" i="12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U10" i="12"/>
  <c r="U104" i="12"/>
  <c r="O10" i="12"/>
  <c r="O104" i="12"/>
  <c r="H9" i="12"/>
  <c r="I9" i="12"/>
  <c r="J9" i="12" s="1"/>
  <c r="K9" i="12" s="1"/>
  <c r="L9" i="12" s="1"/>
  <c r="M9" i="12" s="1"/>
  <c r="N9" i="12" s="1"/>
  <c r="O9" i="12" s="1"/>
  <c r="P9" i="12" s="1"/>
  <c r="Q9" i="12" s="1"/>
  <c r="R9" i="12" s="1"/>
  <c r="S9" i="12" s="1"/>
  <c r="T9" i="12" s="1"/>
  <c r="U9" i="12" s="1"/>
  <c r="S103" i="11"/>
  <c r="R103" i="11"/>
  <c r="Q103" i="11"/>
  <c r="P103" i="11"/>
  <c r="O103" i="11"/>
  <c r="M103" i="11"/>
  <c r="L103" i="11"/>
  <c r="K103" i="11"/>
  <c r="J103" i="11"/>
  <c r="I103" i="11"/>
  <c r="H103" i="11"/>
  <c r="G103" i="11"/>
  <c r="T102" i="11"/>
  <c r="N102" i="11"/>
  <c r="T101" i="11"/>
  <c r="N101" i="11"/>
  <c r="T100" i="11"/>
  <c r="N100" i="11"/>
  <c r="T99" i="11"/>
  <c r="N99" i="11"/>
  <c r="T98" i="11"/>
  <c r="N98" i="11"/>
  <c r="T97" i="11"/>
  <c r="N97" i="11"/>
  <c r="T96" i="11"/>
  <c r="N96" i="11"/>
  <c r="T95" i="11"/>
  <c r="N95" i="11"/>
  <c r="T94" i="11"/>
  <c r="N94" i="11"/>
  <c r="T93" i="11"/>
  <c r="N93" i="11"/>
  <c r="T92" i="11"/>
  <c r="N92" i="11"/>
  <c r="T91" i="11"/>
  <c r="N91" i="11"/>
  <c r="T90" i="11"/>
  <c r="N90" i="11"/>
  <c r="T89" i="11"/>
  <c r="N89" i="11"/>
  <c r="T88" i="11"/>
  <c r="N88" i="11"/>
  <c r="T87" i="11"/>
  <c r="N87" i="11"/>
  <c r="T86" i="11"/>
  <c r="N86" i="11"/>
  <c r="T85" i="11"/>
  <c r="N85" i="11"/>
  <c r="T84" i="11"/>
  <c r="N84" i="11"/>
  <c r="T83" i="11"/>
  <c r="N83" i="11"/>
  <c r="T82" i="11"/>
  <c r="N82" i="11"/>
  <c r="T81" i="11"/>
  <c r="N81" i="11"/>
  <c r="T80" i="11"/>
  <c r="N80" i="11"/>
  <c r="T79" i="11"/>
  <c r="N79" i="11"/>
  <c r="T78" i="11"/>
  <c r="N78" i="11"/>
  <c r="T77" i="11"/>
  <c r="N77" i="11"/>
  <c r="T76" i="11"/>
  <c r="N76" i="11"/>
  <c r="T75" i="11"/>
  <c r="N75" i="11"/>
  <c r="T74" i="11"/>
  <c r="N74" i="11"/>
  <c r="T73" i="11"/>
  <c r="N73" i="11"/>
  <c r="T72" i="11"/>
  <c r="N72" i="11"/>
  <c r="T71" i="11"/>
  <c r="N71" i="11"/>
  <c r="T70" i="11"/>
  <c r="N70" i="11"/>
  <c r="T69" i="11"/>
  <c r="N69" i="11"/>
  <c r="T68" i="11"/>
  <c r="N68" i="11"/>
  <c r="T67" i="11"/>
  <c r="N67" i="11"/>
  <c r="T66" i="11"/>
  <c r="N66" i="11"/>
  <c r="T65" i="11"/>
  <c r="N65" i="11"/>
  <c r="T64" i="11"/>
  <c r="N64" i="11"/>
  <c r="T63" i="11"/>
  <c r="N63" i="11"/>
  <c r="T62" i="11"/>
  <c r="N62" i="11"/>
  <c r="T61" i="11"/>
  <c r="N61" i="11"/>
  <c r="T60" i="11"/>
  <c r="N60" i="11"/>
  <c r="T59" i="11"/>
  <c r="N59" i="11"/>
  <c r="T58" i="11"/>
  <c r="N58" i="11"/>
  <c r="T57" i="11"/>
  <c r="N57" i="11"/>
  <c r="T56" i="11"/>
  <c r="N56" i="11"/>
  <c r="T55" i="11"/>
  <c r="N55" i="11"/>
  <c r="T54" i="11"/>
  <c r="N54" i="11"/>
  <c r="T53" i="11"/>
  <c r="N53" i="11"/>
  <c r="T52" i="11"/>
  <c r="N52" i="11"/>
  <c r="T51" i="11"/>
  <c r="N51" i="11"/>
  <c r="T50" i="11"/>
  <c r="N50" i="11"/>
  <c r="T49" i="11"/>
  <c r="N49" i="11"/>
  <c r="T48" i="11"/>
  <c r="N48" i="11"/>
  <c r="T47" i="11"/>
  <c r="N47" i="11"/>
  <c r="T46" i="11"/>
  <c r="N46" i="11"/>
  <c r="T45" i="11"/>
  <c r="N45" i="11"/>
  <c r="T44" i="11"/>
  <c r="N44" i="11"/>
  <c r="T43" i="11"/>
  <c r="N43" i="11"/>
  <c r="T42" i="11"/>
  <c r="N42" i="11"/>
  <c r="T41" i="11"/>
  <c r="N41" i="11"/>
  <c r="T40" i="11"/>
  <c r="N40" i="11"/>
  <c r="T39" i="11"/>
  <c r="N39" i="11"/>
  <c r="T38" i="11"/>
  <c r="N38" i="11"/>
  <c r="T37" i="11"/>
  <c r="N37" i="11"/>
  <c r="T36" i="11"/>
  <c r="N36" i="11"/>
  <c r="T35" i="11"/>
  <c r="N35" i="11"/>
  <c r="T34" i="11"/>
  <c r="N34" i="11"/>
  <c r="T33" i="11"/>
  <c r="N33" i="11"/>
  <c r="T32" i="11"/>
  <c r="N32" i="11"/>
  <c r="T31" i="11"/>
  <c r="N31" i="11"/>
  <c r="T30" i="11"/>
  <c r="N30" i="11"/>
  <c r="T29" i="11"/>
  <c r="N29" i="11"/>
  <c r="T28" i="11"/>
  <c r="N28" i="11"/>
  <c r="T27" i="11"/>
  <c r="N27" i="11"/>
  <c r="T26" i="11"/>
  <c r="N26" i="11"/>
  <c r="T25" i="11"/>
  <c r="N25" i="11"/>
  <c r="T24" i="11"/>
  <c r="N24" i="11"/>
  <c r="T23" i="11"/>
  <c r="N23" i="11"/>
  <c r="T22" i="11"/>
  <c r="N22" i="11"/>
  <c r="T21" i="11"/>
  <c r="N21" i="11"/>
  <c r="T20" i="11"/>
  <c r="N20" i="11"/>
  <c r="T19" i="11"/>
  <c r="N19" i="11"/>
  <c r="T18" i="11"/>
  <c r="N18" i="11"/>
  <c r="T17" i="11"/>
  <c r="N17" i="11"/>
  <c r="T16" i="11"/>
  <c r="N16" i="11"/>
  <c r="T15" i="11"/>
  <c r="N15" i="11"/>
  <c r="T14" i="11"/>
  <c r="N14" i="11"/>
  <c r="T13" i="11"/>
  <c r="N13" i="11"/>
  <c r="T12" i="11"/>
  <c r="N12" i="11"/>
  <c r="T11" i="11"/>
  <c r="N11" i="11"/>
  <c r="A11" i="11"/>
  <c r="A12" i="1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T10" i="11"/>
  <c r="T103" i="11"/>
  <c r="N10" i="11"/>
  <c r="N103" i="11"/>
  <c r="G9" i="11"/>
  <c r="H9" i="1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1" i="8"/>
  <c r="T12" i="8"/>
  <c r="Y104" i="12"/>
  <c r="S103" i="8"/>
  <c r="R103" i="8"/>
  <c r="Q103" i="8"/>
  <c r="P103" i="8"/>
  <c r="O103" i="8"/>
  <c r="M103" i="8"/>
  <c r="L103" i="8"/>
  <c r="K103" i="8"/>
  <c r="J103" i="8"/>
  <c r="I103" i="8"/>
  <c r="H103" i="8"/>
  <c r="G103" i="8"/>
  <c r="A11" i="8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T10" i="8"/>
  <c r="T103" i="8" s="1"/>
  <c r="N10" i="8"/>
  <c r="N103" i="8" s="1"/>
  <c r="G9" i="8"/>
  <c r="H9" i="8" s="1"/>
  <c r="I9" i="8" s="1"/>
  <c r="J9" i="8" s="1"/>
  <c r="K9" i="8" s="1"/>
  <c r="L9" i="8" s="1"/>
  <c r="M9" i="8" s="1"/>
  <c r="N9" i="8" s="1"/>
  <c r="O9" i="8" s="1"/>
  <c r="P9" i="8" s="1"/>
  <c r="Q9" i="8" s="1"/>
  <c r="R9" i="8" s="1"/>
  <c r="S9" i="8" s="1"/>
  <c r="T9" i="8" s="1"/>
  <c r="R103" i="10"/>
  <c r="S103" i="10"/>
  <c r="Q103" i="10"/>
  <c r="P103" i="10"/>
  <c r="O103" i="10"/>
  <c r="M103" i="10"/>
  <c r="L103" i="10"/>
  <c r="K103" i="10"/>
  <c r="J103" i="10"/>
  <c r="I103" i="10"/>
  <c r="H103" i="10"/>
  <c r="G103" i="10"/>
  <c r="T102" i="10"/>
  <c r="N102" i="10"/>
  <c r="T101" i="10"/>
  <c r="N101" i="10"/>
  <c r="T100" i="10"/>
  <c r="N100" i="10"/>
  <c r="T99" i="10"/>
  <c r="N99" i="10"/>
  <c r="T98" i="10"/>
  <c r="N98" i="10"/>
  <c r="T97" i="10"/>
  <c r="N97" i="10"/>
  <c r="T96" i="10"/>
  <c r="N96" i="10"/>
  <c r="T95" i="10"/>
  <c r="N95" i="10"/>
  <c r="T94" i="10"/>
  <c r="N94" i="10"/>
  <c r="T93" i="10"/>
  <c r="N93" i="10"/>
  <c r="T92" i="10"/>
  <c r="N92" i="10"/>
  <c r="T91" i="10"/>
  <c r="N91" i="10"/>
  <c r="T90" i="10"/>
  <c r="N90" i="10"/>
  <c r="T89" i="10"/>
  <c r="N89" i="10"/>
  <c r="T88" i="10"/>
  <c r="N88" i="10"/>
  <c r="T87" i="10"/>
  <c r="N87" i="10"/>
  <c r="T86" i="10"/>
  <c r="N86" i="10"/>
  <c r="T85" i="10"/>
  <c r="N85" i="10"/>
  <c r="T84" i="10"/>
  <c r="N84" i="10"/>
  <c r="T83" i="10"/>
  <c r="N83" i="10"/>
  <c r="T82" i="10"/>
  <c r="N82" i="10"/>
  <c r="T81" i="10"/>
  <c r="N81" i="10"/>
  <c r="T80" i="10"/>
  <c r="N80" i="10"/>
  <c r="T79" i="10"/>
  <c r="N79" i="10"/>
  <c r="T78" i="10"/>
  <c r="N78" i="10"/>
  <c r="T77" i="10"/>
  <c r="N77" i="10"/>
  <c r="T76" i="10"/>
  <c r="N76" i="10"/>
  <c r="T75" i="10"/>
  <c r="N75" i="10"/>
  <c r="T74" i="10"/>
  <c r="N74" i="10"/>
  <c r="T73" i="10"/>
  <c r="N73" i="10"/>
  <c r="T72" i="10"/>
  <c r="N72" i="10"/>
  <c r="T71" i="10"/>
  <c r="N71" i="10"/>
  <c r="T70" i="10"/>
  <c r="N70" i="10"/>
  <c r="T69" i="10"/>
  <c r="N69" i="10"/>
  <c r="T68" i="10"/>
  <c r="N68" i="10"/>
  <c r="T67" i="10"/>
  <c r="N67" i="10"/>
  <c r="T66" i="10"/>
  <c r="N66" i="10"/>
  <c r="T65" i="10"/>
  <c r="N65" i="10"/>
  <c r="T64" i="10"/>
  <c r="N64" i="10"/>
  <c r="T63" i="10"/>
  <c r="N63" i="10"/>
  <c r="T62" i="10"/>
  <c r="N62" i="10"/>
  <c r="N61" i="10"/>
  <c r="T60" i="10"/>
  <c r="N60" i="10"/>
  <c r="T59" i="10"/>
  <c r="N59" i="10"/>
  <c r="T58" i="10"/>
  <c r="N58" i="10"/>
  <c r="N57" i="10"/>
  <c r="T56" i="10"/>
  <c r="N56" i="10"/>
  <c r="T55" i="10"/>
  <c r="N55" i="10"/>
  <c r="T54" i="10"/>
  <c r="N54" i="10"/>
  <c r="T53" i="10"/>
  <c r="N53" i="10"/>
  <c r="T52" i="10"/>
  <c r="N52" i="10"/>
  <c r="T51" i="10"/>
  <c r="N51" i="10"/>
  <c r="T50" i="10"/>
  <c r="N50" i="10"/>
  <c r="T49" i="10"/>
  <c r="N49" i="10"/>
  <c r="T48" i="10"/>
  <c r="N48" i="10"/>
  <c r="T47" i="10"/>
  <c r="N47" i="10"/>
  <c r="T46" i="10"/>
  <c r="N46" i="10"/>
  <c r="T45" i="10"/>
  <c r="N45" i="10"/>
  <c r="T44" i="10"/>
  <c r="N44" i="10"/>
  <c r="T43" i="10"/>
  <c r="N43" i="10"/>
  <c r="T42" i="10"/>
  <c r="N42" i="10"/>
  <c r="T41" i="10"/>
  <c r="N41" i="10"/>
  <c r="T40" i="10"/>
  <c r="N40" i="10"/>
  <c r="T39" i="10"/>
  <c r="N39" i="10"/>
  <c r="T38" i="10"/>
  <c r="N38" i="10"/>
  <c r="T37" i="10"/>
  <c r="N37" i="10"/>
  <c r="T36" i="10"/>
  <c r="N36" i="10"/>
  <c r="T35" i="10"/>
  <c r="N35" i="10"/>
  <c r="N34" i="10"/>
  <c r="N33" i="10"/>
  <c r="T32" i="10"/>
  <c r="N32" i="10"/>
  <c r="T31" i="10"/>
  <c r="N31" i="10"/>
  <c r="T30" i="10"/>
  <c r="N30" i="10"/>
  <c r="T29" i="10"/>
  <c r="N29" i="10"/>
  <c r="T28" i="10"/>
  <c r="N28" i="10"/>
  <c r="T27" i="10"/>
  <c r="N27" i="10"/>
  <c r="T26" i="10"/>
  <c r="N26" i="10"/>
  <c r="T25" i="10"/>
  <c r="N25" i="10"/>
  <c r="T24" i="10"/>
  <c r="N24" i="10"/>
  <c r="T23" i="10"/>
  <c r="N23" i="10"/>
  <c r="T22" i="10"/>
  <c r="N22" i="10"/>
  <c r="T21" i="10"/>
  <c r="N21" i="10"/>
  <c r="T20" i="10"/>
  <c r="N20" i="10"/>
  <c r="T19" i="10"/>
  <c r="N19" i="10"/>
  <c r="T18" i="10"/>
  <c r="N18" i="10"/>
  <c r="T17" i="10"/>
  <c r="N17" i="10"/>
  <c r="T16" i="10"/>
  <c r="N16" i="10"/>
  <c r="T15" i="10"/>
  <c r="N15" i="10"/>
  <c r="T14" i="10"/>
  <c r="N14" i="10"/>
  <c r="T13" i="10"/>
  <c r="N13" i="10"/>
  <c r="T12" i="10"/>
  <c r="N12" i="10"/>
  <c r="T11" i="10"/>
  <c r="N11" i="10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T10" i="10"/>
  <c r="T103" i="10" s="1"/>
  <c r="N10" i="10"/>
  <c r="N103" i="10" s="1"/>
  <c r="G9" i="10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S103" i="7"/>
  <c r="R103" i="7"/>
  <c r="Q103" i="7"/>
  <c r="P103" i="7"/>
  <c r="O103" i="7"/>
  <c r="M103" i="7"/>
  <c r="L103" i="7"/>
  <c r="K103" i="7"/>
  <c r="J103" i="7"/>
  <c r="I103" i="7"/>
  <c r="H103" i="7"/>
  <c r="G103" i="7"/>
  <c r="T102" i="7"/>
  <c r="N102" i="7"/>
  <c r="T101" i="7"/>
  <c r="N101" i="7"/>
  <c r="T100" i="7"/>
  <c r="N100" i="7"/>
  <c r="T99" i="7"/>
  <c r="N99" i="7"/>
  <c r="T98" i="7"/>
  <c r="N98" i="7"/>
  <c r="T97" i="7"/>
  <c r="N97" i="7"/>
  <c r="T96" i="7"/>
  <c r="N96" i="7"/>
  <c r="T95" i="7"/>
  <c r="N95" i="7"/>
  <c r="T94" i="7"/>
  <c r="N94" i="7"/>
  <c r="T93" i="7"/>
  <c r="N93" i="7"/>
  <c r="T92" i="7"/>
  <c r="N92" i="7"/>
  <c r="T91" i="7"/>
  <c r="N91" i="7"/>
  <c r="T90" i="7"/>
  <c r="N90" i="7"/>
  <c r="T89" i="7"/>
  <c r="N89" i="7"/>
  <c r="T88" i="7"/>
  <c r="N88" i="7"/>
  <c r="T87" i="7"/>
  <c r="N87" i="7"/>
  <c r="T86" i="7"/>
  <c r="N86" i="7"/>
  <c r="T85" i="7"/>
  <c r="N85" i="7"/>
  <c r="T84" i="7"/>
  <c r="N84" i="7"/>
  <c r="T83" i="7"/>
  <c r="N83" i="7"/>
  <c r="T82" i="7"/>
  <c r="N82" i="7"/>
  <c r="T81" i="7"/>
  <c r="N81" i="7"/>
  <c r="T80" i="7"/>
  <c r="N80" i="7"/>
  <c r="T79" i="7"/>
  <c r="N79" i="7"/>
  <c r="T78" i="7"/>
  <c r="N78" i="7"/>
  <c r="T77" i="7"/>
  <c r="N77" i="7"/>
  <c r="T76" i="7"/>
  <c r="N76" i="7"/>
  <c r="T75" i="7"/>
  <c r="N75" i="7"/>
  <c r="T74" i="7"/>
  <c r="N74" i="7"/>
  <c r="T73" i="7"/>
  <c r="N73" i="7"/>
  <c r="T72" i="7"/>
  <c r="N72" i="7"/>
  <c r="T71" i="7"/>
  <c r="N71" i="7"/>
  <c r="T70" i="7"/>
  <c r="N70" i="7"/>
  <c r="T69" i="7"/>
  <c r="N69" i="7"/>
  <c r="T68" i="7"/>
  <c r="N68" i="7"/>
  <c r="T67" i="7"/>
  <c r="N67" i="7"/>
  <c r="T66" i="7"/>
  <c r="N66" i="7"/>
  <c r="T65" i="7"/>
  <c r="N65" i="7"/>
  <c r="T64" i="7"/>
  <c r="N64" i="7"/>
  <c r="T63" i="7"/>
  <c r="N63" i="7"/>
  <c r="T62" i="7"/>
  <c r="N62" i="7"/>
  <c r="N61" i="7"/>
  <c r="T60" i="7"/>
  <c r="N60" i="7"/>
  <c r="T59" i="7"/>
  <c r="N59" i="7"/>
  <c r="T58" i="7"/>
  <c r="N58" i="7"/>
  <c r="N57" i="7"/>
  <c r="T56" i="7"/>
  <c r="N56" i="7"/>
  <c r="T55" i="7"/>
  <c r="N55" i="7"/>
  <c r="T54" i="7"/>
  <c r="N54" i="7"/>
  <c r="T53" i="7"/>
  <c r="N53" i="7"/>
  <c r="T52" i="7"/>
  <c r="N52" i="7"/>
  <c r="T51" i="7"/>
  <c r="N51" i="7"/>
  <c r="T50" i="7"/>
  <c r="N50" i="7"/>
  <c r="T49" i="7"/>
  <c r="N49" i="7"/>
  <c r="T48" i="7"/>
  <c r="N48" i="7"/>
  <c r="T47" i="7"/>
  <c r="N47" i="7"/>
  <c r="T46" i="7"/>
  <c r="N46" i="7"/>
  <c r="T45" i="7"/>
  <c r="N45" i="7"/>
  <c r="T44" i="7"/>
  <c r="N44" i="7"/>
  <c r="T43" i="7"/>
  <c r="N43" i="7"/>
  <c r="T42" i="7"/>
  <c r="N42" i="7"/>
  <c r="T41" i="7"/>
  <c r="N41" i="7"/>
  <c r="T40" i="7"/>
  <c r="N40" i="7"/>
  <c r="T39" i="7"/>
  <c r="N39" i="7"/>
  <c r="T38" i="7"/>
  <c r="N38" i="7"/>
  <c r="T37" i="7"/>
  <c r="N37" i="7"/>
  <c r="T36" i="7"/>
  <c r="N36" i="7"/>
  <c r="T35" i="7"/>
  <c r="N35" i="7"/>
  <c r="N34" i="7"/>
  <c r="N33" i="7"/>
  <c r="T32" i="7"/>
  <c r="N32" i="7"/>
  <c r="T31" i="7"/>
  <c r="N31" i="7"/>
  <c r="T30" i="7"/>
  <c r="N30" i="7"/>
  <c r="T29" i="7"/>
  <c r="N29" i="7"/>
  <c r="T28" i="7"/>
  <c r="N28" i="7"/>
  <c r="T27" i="7"/>
  <c r="N27" i="7"/>
  <c r="T26" i="7"/>
  <c r="N26" i="7"/>
  <c r="T25" i="7"/>
  <c r="N25" i="7"/>
  <c r="T24" i="7"/>
  <c r="N24" i="7"/>
  <c r="T23" i="7"/>
  <c r="N23" i="7"/>
  <c r="T22" i="7"/>
  <c r="N22" i="7"/>
  <c r="T21" i="7"/>
  <c r="N21" i="7"/>
  <c r="T20" i="7"/>
  <c r="N20" i="7"/>
  <c r="T19" i="7"/>
  <c r="N19" i="7"/>
  <c r="T18" i="7"/>
  <c r="N18" i="7"/>
  <c r="T17" i="7"/>
  <c r="N17" i="7"/>
  <c r="T16" i="7"/>
  <c r="N16" i="7"/>
  <c r="T15" i="7"/>
  <c r="N15" i="7"/>
  <c r="T14" i="7"/>
  <c r="N14" i="7"/>
  <c r="T13" i="7"/>
  <c r="N13" i="7"/>
  <c r="T12" i="7"/>
  <c r="N12" i="7"/>
  <c r="T11" i="7"/>
  <c r="N11" i="7"/>
  <c r="A11" i="7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T10" i="7"/>
  <c r="T103" i="7" s="1"/>
  <c r="N10" i="7"/>
  <c r="N103" i="7" s="1"/>
  <c r="G9" i="7"/>
  <c r="H9" i="7" s="1"/>
  <c r="I9" i="7" s="1"/>
  <c r="J9" i="7" s="1"/>
  <c r="K9" i="7" s="1"/>
  <c r="L9" i="7" s="1"/>
  <c r="M9" i="7" s="1"/>
  <c r="N9" i="7" s="1"/>
  <c r="O9" i="7" s="1"/>
  <c r="P9" i="7" s="1"/>
  <c r="Q9" i="7" s="1"/>
  <c r="R9" i="7" s="1"/>
  <c r="S9" i="7" s="1"/>
  <c r="T9" i="7" s="1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24" i="6"/>
  <c r="N25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J103" i="6"/>
  <c r="S103" i="6"/>
  <c r="R103" i="6"/>
  <c r="Q103" i="6"/>
  <c r="P103" i="6"/>
  <c r="O103" i="6"/>
  <c r="M103" i="6"/>
  <c r="L103" i="6"/>
  <c r="K103" i="6"/>
  <c r="I103" i="6"/>
  <c r="H103" i="6"/>
  <c r="G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0" i="6"/>
  <c r="T59" i="6"/>
  <c r="T58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A11" i="6"/>
  <c r="A12" i="6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T10" i="6"/>
  <c r="T103" i="6" s="1"/>
  <c r="N10" i="6"/>
  <c r="G9" i="6"/>
  <c r="H9" i="6"/>
  <c r="I9" i="6" s="1"/>
  <c r="J9" i="6" s="1"/>
  <c r="K9" i="6" s="1"/>
  <c r="L9" i="6" s="1"/>
  <c r="M9" i="6" s="1"/>
  <c r="N9" i="6" s="1"/>
  <c r="O9" i="6" s="1"/>
  <c r="P9" i="6" s="1"/>
  <c r="Q9" i="6" s="1"/>
  <c r="R9" i="6" s="1"/>
  <c r="S9" i="6" s="1"/>
  <c r="T9" i="6" s="1"/>
  <c r="T16" i="5"/>
  <c r="T17" i="5"/>
  <c r="N16" i="5"/>
  <c r="N17" i="5"/>
  <c r="R103" i="5"/>
  <c r="S103" i="5"/>
  <c r="M103" i="5"/>
  <c r="L103" i="5"/>
  <c r="K103" i="5"/>
  <c r="O103" i="5"/>
  <c r="P103" i="5"/>
  <c r="H103" i="5"/>
  <c r="I103" i="5"/>
  <c r="Q103" i="5"/>
  <c r="J103" i="5"/>
  <c r="G103" i="5"/>
  <c r="T102" i="5"/>
  <c r="N102" i="5"/>
  <c r="T101" i="5"/>
  <c r="N101" i="5"/>
  <c r="T100" i="5"/>
  <c r="N100" i="5"/>
  <c r="T99" i="5"/>
  <c r="N99" i="5"/>
  <c r="T98" i="5"/>
  <c r="N98" i="5"/>
  <c r="T97" i="5"/>
  <c r="N97" i="5"/>
  <c r="T96" i="5"/>
  <c r="N96" i="5"/>
  <c r="T95" i="5"/>
  <c r="N95" i="5"/>
  <c r="T94" i="5"/>
  <c r="N94" i="5"/>
  <c r="T93" i="5"/>
  <c r="N93" i="5"/>
  <c r="T92" i="5"/>
  <c r="N92" i="5"/>
  <c r="T91" i="5"/>
  <c r="N91" i="5"/>
  <c r="T90" i="5"/>
  <c r="N90" i="5"/>
  <c r="T89" i="5"/>
  <c r="N89" i="5"/>
  <c r="T88" i="5"/>
  <c r="N88" i="5"/>
  <c r="T87" i="5"/>
  <c r="N87" i="5"/>
  <c r="T86" i="5"/>
  <c r="N86" i="5"/>
  <c r="T85" i="5"/>
  <c r="N85" i="5"/>
  <c r="T84" i="5"/>
  <c r="N84" i="5"/>
  <c r="T83" i="5"/>
  <c r="N83" i="5"/>
  <c r="T82" i="5"/>
  <c r="N82" i="5"/>
  <c r="T81" i="5"/>
  <c r="N81" i="5"/>
  <c r="T80" i="5"/>
  <c r="N80" i="5"/>
  <c r="T79" i="5"/>
  <c r="N79" i="5"/>
  <c r="T78" i="5"/>
  <c r="N78" i="5"/>
  <c r="T77" i="5"/>
  <c r="N77" i="5"/>
  <c r="T76" i="5"/>
  <c r="N76" i="5"/>
  <c r="T75" i="5"/>
  <c r="N75" i="5"/>
  <c r="T74" i="5"/>
  <c r="N74" i="5"/>
  <c r="T73" i="5"/>
  <c r="N73" i="5"/>
  <c r="T72" i="5"/>
  <c r="N72" i="5"/>
  <c r="T71" i="5"/>
  <c r="N71" i="5"/>
  <c r="T70" i="5"/>
  <c r="N70" i="5"/>
  <c r="T69" i="5"/>
  <c r="N69" i="5"/>
  <c r="T68" i="5"/>
  <c r="N68" i="5"/>
  <c r="T67" i="5"/>
  <c r="N67" i="5"/>
  <c r="T66" i="5"/>
  <c r="N66" i="5"/>
  <c r="T65" i="5"/>
  <c r="N65" i="5"/>
  <c r="T64" i="5"/>
  <c r="N64" i="5"/>
  <c r="T63" i="5"/>
  <c r="N63" i="5"/>
  <c r="T62" i="5"/>
  <c r="N62" i="5"/>
  <c r="T60" i="5"/>
  <c r="N60" i="5"/>
  <c r="T59" i="5"/>
  <c r="N59" i="5"/>
  <c r="T58" i="5"/>
  <c r="N58" i="5"/>
  <c r="T56" i="5"/>
  <c r="N56" i="5"/>
  <c r="T55" i="5"/>
  <c r="N55" i="5"/>
  <c r="T54" i="5"/>
  <c r="N54" i="5"/>
  <c r="T53" i="5"/>
  <c r="N53" i="5"/>
  <c r="T52" i="5"/>
  <c r="N52" i="5"/>
  <c r="T51" i="5"/>
  <c r="N51" i="5"/>
  <c r="T50" i="5"/>
  <c r="N50" i="5"/>
  <c r="T49" i="5"/>
  <c r="N49" i="5"/>
  <c r="T48" i="5"/>
  <c r="N48" i="5"/>
  <c r="T47" i="5"/>
  <c r="N47" i="5"/>
  <c r="T46" i="5"/>
  <c r="N46" i="5"/>
  <c r="T45" i="5"/>
  <c r="N45" i="5"/>
  <c r="T44" i="5"/>
  <c r="N44" i="5"/>
  <c r="T43" i="5"/>
  <c r="N43" i="5"/>
  <c r="T42" i="5"/>
  <c r="N42" i="5"/>
  <c r="T41" i="5"/>
  <c r="N41" i="5"/>
  <c r="T40" i="5"/>
  <c r="N40" i="5"/>
  <c r="T39" i="5"/>
  <c r="N39" i="5"/>
  <c r="T38" i="5"/>
  <c r="N38" i="5"/>
  <c r="T37" i="5"/>
  <c r="N37" i="5"/>
  <c r="T36" i="5"/>
  <c r="N36" i="5"/>
  <c r="T35" i="5"/>
  <c r="N35" i="5"/>
  <c r="T34" i="5"/>
  <c r="N34" i="5"/>
  <c r="T32" i="5"/>
  <c r="N32" i="5"/>
  <c r="T31" i="5"/>
  <c r="N31" i="5"/>
  <c r="T30" i="5"/>
  <c r="N30" i="5"/>
  <c r="T29" i="5"/>
  <c r="N29" i="5"/>
  <c r="T28" i="5"/>
  <c r="N28" i="5"/>
  <c r="T27" i="5"/>
  <c r="N27" i="5"/>
  <c r="T26" i="5"/>
  <c r="N26" i="5"/>
  <c r="T25" i="5"/>
  <c r="N25" i="5"/>
  <c r="T24" i="5"/>
  <c r="N24" i="5"/>
  <c r="T23" i="5"/>
  <c r="N23" i="5"/>
  <c r="T22" i="5"/>
  <c r="N22" i="5"/>
  <c r="T21" i="5"/>
  <c r="N21" i="5"/>
  <c r="T20" i="5"/>
  <c r="N20" i="5"/>
  <c r="T19" i="5"/>
  <c r="N19" i="5"/>
  <c r="T18" i="5"/>
  <c r="N18" i="5"/>
  <c r="T15" i="5"/>
  <c r="N15" i="5"/>
  <c r="T14" i="5"/>
  <c r="N14" i="5"/>
  <c r="T13" i="5"/>
  <c r="N13" i="5"/>
  <c r="T12" i="5"/>
  <c r="N12" i="5"/>
  <c r="T11" i="5"/>
  <c r="N11" i="5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T10" i="5"/>
  <c r="N10" i="5"/>
  <c r="G9" i="5"/>
  <c r="H9" i="5" s="1"/>
  <c r="I9" i="5" s="1"/>
  <c r="J9" i="5" s="1"/>
  <c r="K9" i="5" s="1"/>
  <c r="L9" i="5" s="1"/>
  <c r="M9" i="5" s="1"/>
  <c r="N9" i="5" s="1"/>
  <c r="O9" i="5" s="1"/>
  <c r="P9" i="5" s="1"/>
  <c r="Q9" i="5" s="1"/>
  <c r="R9" i="5" s="1"/>
  <c r="S9" i="5" s="1"/>
  <c r="T9" i="5" s="1"/>
  <c r="P99" i="4"/>
  <c r="Q99" i="4"/>
  <c r="J99" i="4"/>
  <c r="O99" i="4"/>
  <c r="I99" i="4"/>
  <c r="H99" i="4"/>
  <c r="G99" i="4"/>
  <c r="T98" i="4"/>
  <c r="N98" i="4"/>
  <c r="T97" i="4"/>
  <c r="N97" i="4"/>
  <c r="T96" i="4"/>
  <c r="N96" i="4"/>
  <c r="T95" i="4"/>
  <c r="N95" i="4"/>
  <c r="T94" i="4"/>
  <c r="N94" i="4"/>
  <c r="T93" i="4"/>
  <c r="N93" i="4"/>
  <c r="T92" i="4"/>
  <c r="N92" i="4"/>
  <c r="T91" i="4"/>
  <c r="N91" i="4"/>
  <c r="T90" i="4"/>
  <c r="N90" i="4"/>
  <c r="T89" i="4"/>
  <c r="N89" i="4"/>
  <c r="T88" i="4"/>
  <c r="N88" i="4"/>
  <c r="T87" i="4"/>
  <c r="N87" i="4"/>
  <c r="T86" i="4"/>
  <c r="N86" i="4"/>
  <c r="T85" i="4"/>
  <c r="N85" i="4"/>
  <c r="T84" i="4"/>
  <c r="N84" i="4"/>
  <c r="T83" i="4"/>
  <c r="N83" i="4"/>
  <c r="T82" i="4"/>
  <c r="N82" i="4"/>
  <c r="T81" i="4"/>
  <c r="N81" i="4"/>
  <c r="T80" i="4"/>
  <c r="N80" i="4"/>
  <c r="T79" i="4"/>
  <c r="N79" i="4"/>
  <c r="T78" i="4"/>
  <c r="N78" i="4"/>
  <c r="T77" i="4"/>
  <c r="N77" i="4"/>
  <c r="T76" i="4"/>
  <c r="N76" i="4"/>
  <c r="T75" i="4"/>
  <c r="N75" i="4"/>
  <c r="T74" i="4"/>
  <c r="N74" i="4"/>
  <c r="T73" i="4"/>
  <c r="N73" i="4"/>
  <c r="T72" i="4"/>
  <c r="N72" i="4"/>
  <c r="T71" i="4"/>
  <c r="N71" i="4"/>
  <c r="T70" i="4"/>
  <c r="N70" i="4"/>
  <c r="T69" i="4"/>
  <c r="N69" i="4"/>
  <c r="T68" i="4"/>
  <c r="N68" i="4"/>
  <c r="T67" i="4"/>
  <c r="N67" i="4"/>
  <c r="T66" i="4"/>
  <c r="N66" i="4"/>
  <c r="T65" i="4"/>
  <c r="N65" i="4"/>
  <c r="T64" i="4"/>
  <c r="N64" i="4"/>
  <c r="T63" i="4"/>
  <c r="N63" i="4"/>
  <c r="T62" i="4"/>
  <c r="N62" i="4"/>
  <c r="T61" i="4"/>
  <c r="N61" i="4"/>
  <c r="T60" i="4"/>
  <c r="N60" i="4"/>
  <c r="T59" i="4"/>
  <c r="N59" i="4"/>
  <c r="T58" i="4"/>
  <c r="N58" i="4"/>
  <c r="T57" i="4"/>
  <c r="N57" i="4"/>
  <c r="T56" i="4"/>
  <c r="N56" i="4"/>
  <c r="T55" i="4"/>
  <c r="N55" i="4"/>
  <c r="T54" i="4"/>
  <c r="N54" i="4"/>
  <c r="T53" i="4"/>
  <c r="N53" i="4"/>
  <c r="T52" i="4"/>
  <c r="N52" i="4"/>
  <c r="T51" i="4"/>
  <c r="N51" i="4"/>
  <c r="T50" i="4"/>
  <c r="N50" i="4"/>
  <c r="T49" i="4"/>
  <c r="N49" i="4"/>
  <c r="T48" i="4"/>
  <c r="N48" i="4"/>
  <c r="T47" i="4"/>
  <c r="N47" i="4"/>
  <c r="T46" i="4"/>
  <c r="N46" i="4"/>
  <c r="T45" i="4"/>
  <c r="N45" i="4"/>
  <c r="T44" i="4"/>
  <c r="N44" i="4"/>
  <c r="T43" i="4"/>
  <c r="N43" i="4"/>
  <c r="T42" i="4"/>
  <c r="N42" i="4"/>
  <c r="T41" i="4"/>
  <c r="N41" i="4"/>
  <c r="T40" i="4"/>
  <c r="N40" i="4"/>
  <c r="T39" i="4"/>
  <c r="N39" i="4"/>
  <c r="T38" i="4"/>
  <c r="N38" i="4"/>
  <c r="T37" i="4"/>
  <c r="N37" i="4"/>
  <c r="T36" i="4"/>
  <c r="N36" i="4"/>
  <c r="T35" i="4"/>
  <c r="N35" i="4"/>
  <c r="T34" i="4"/>
  <c r="N34" i="4"/>
  <c r="T33" i="4"/>
  <c r="N33" i="4"/>
  <c r="T32" i="4"/>
  <c r="N32" i="4"/>
  <c r="T31" i="4"/>
  <c r="N31" i="4"/>
  <c r="T30" i="4"/>
  <c r="N30" i="4"/>
  <c r="T29" i="4"/>
  <c r="N29" i="4"/>
  <c r="T28" i="4"/>
  <c r="N28" i="4"/>
  <c r="T27" i="4"/>
  <c r="N27" i="4"/>
  <c r="T26" i="4"/>
  <c r="N26" i="4"/>
  <c r="T25" i="4"/>
  <c r="N25" i="4"/>
  <c r="T24" i="4"/>
  <c r="N24" i="4"/>
  <c r="T23" i="4"/>
  <c r="N23" i="4"/>
  <c r="T22" i="4"/>
  <c r="N22" i="4"/>
  <c r="T21" i="4"/>
  <c r="N21" i="4"/>
  <c r="T20" i="4"/>
  <c r="N20" i="4"/>
  <c r="T19" i="4"/>
  <c r="N19" i="4"/>
  <c r="T18" i="4"/>
  <c r="N18" i="4"/>
  <c r="T17" i="4"/>
  <c r="N17" i="4"/>
  <c r="T16" i="4"/>
  <c r="N16" i="4"/>
  <c r="T15" i="4"/>
  <c r="N15" i="4"/>
  <c r="T14" i="4"/>
  <c r="N14" i="4"/>
  <c r="T13" i="4"/>
  <c r="N13" i="4"/>
  <c r="T12" i="4"/>
  <c r="N12" i="4"/>
  <c r="T11" i="4"/>
  <c r="N11" i="4"/>
  <c r="A11" i="4"/>
  <c r="A12" i="4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T10" i="4"/>
  <c r="N10" i="4"/>
  <c r="G9" i="4"/>
  <c r="H9" i="4" s="1"/>
  <c r="I9" i="4" s="1"/>
  <c r="J9" i="4" s="1"/>
  <c r="K9" i="4" s="1"/>
  <c r="L9" i="4" s="1"/>
  <c r="M9" i="4" s="1"/>
  <c r="N9" i="4" s="1"/>
  <c r="O9" i="4" s="1"/>
  <c r="P9" i="4" s="1"/>
  <c r="Q9" i="4" s="1"/>
  <c r="R9" i="4" s="1"/>
  <c r="S9" i="4" s="1"/>
  <c r="T9" i="4" s="1"/>
  <c r="T44" i="3"/>
  <c r="N44" i="3"/>
  <c r="H99" i="3"/>
  <c r="I99" i="3"/>
  <c r="O99" i="3"/>
  <c r="G99" i="3"/>
  <c r="T98" i="3"/>
  <c r="N98" i="3"/>
  <c r="T97" i="3"/>
  <c r="N97" i="3"/>
  <c r="T96" i="3"/>
  <c r="N96" i="3"/>
  <c r="T95" i="3"/>
  <c r="N95" i="3"/>
  <c r="T94" i="3"/>
  <c r="N94" i="3"/>
  <c r="T93" i="3"/>
  <c r="N93" i="3"/>
  <c r="T92" i="3"/>
  <c r="N92" i="3"/>
  <c r="T91" i="3"/>
  <c r="N91" i="3"/>
  <c r="T90" i="3"/>
  <c r="N90" i="3"/>
  <c r="T89" i="3"/>
  <c r="N89" i="3"/>
  <c r="T88" i="3"/>
  <c r="N88" i="3"/>
  <c r="T87" i="3"/>
  <c r="N87" i="3"/>
  <c r="T86" i="3"/>
  <c r="N86" i="3"/>
  <c r="T85" i="3"/>
  <c r="N85" i="3"/>
  <c r="T84" i="3"/>
  <c r="N84" i="3"/>
  <c r="T83" i="3"/>
  <c r="N83" i="3"/>
  <c r="T82" i="3"/>
  <c r="N82" i="3"/>
  <c r="T81" i="3"/>
  <c r="N81" i="3"/>
  <c r="T80" i="3"/>
  <c r="N80" i="3"/>
  <c r="T79" i="3"/>
  <c r="N79" i="3"/>
  <c r="T78" i="3"/>
  <c r="N78" i="3"/>
  <c r="T77" i="3"/>
  <c r="N77" i="3"/>
  <c r="T76" i="3"/>
  <c r="N76" i="3"/>
  <c r="T75" i="3"/>
  <c r="N75" i="3"/>
  <c r="T74" i="3"/>
  <c r="N74" i="3"/>
  <c r="T73" i="3"/>
  <c r="N73" i="3"/>
  <c r="T72" i="3"/>
  <c r="N72" i="3"/>
  <c r="T71" i="3"/>
  <c r="N71" i="3"/>
  <c r="T70" i="3"/>
  <c r="N70" i="3"/>
  <c r="T69" i="3"/>
  <c r="N69" i="3"/>
  <c r="T68" i="3"/>
  <c r="N68" i="3"/>
  <c r="T67" i="3"/>
  <c r="N67" i="3"/>
  <c r="T66" i="3"/>
  <c r="N66" i="3"/>
  <c r="T65" i="3"/>
  <c r="N65" i="3"/>
  <c r="T64" i="3"/>
  <c r="N64" i="3"/>
  <c r="T63" i="3"/>
  <c r="N63" i="3"/>
  <c r="T62" i="3"/>
  <c r="N62" i="3"/>
  <c r="T61" i="3"/>
  <c r="N61" i="3"/>
  <c r="T60" i="3"/>
  <c r="N60" i="3"/>
  <c r="T59" i="3"/>
  <c r="N59" i="3"/>
  <c r="T58" i="3"/>
  <c r="N58" i="3"/>
  <c r="T57" i="3"/>
  <c r="N57" i="3"/>
  <c r="T56" i="3"/>
  <c r="N56" i="3"/>
  <c r="T55" i="3"/>
  <c r="N55" i="3"/>
  <c r="T54" i="3"/>
  <c r="N54" i="3"/>
  <c r="T53" i="3"/>
  <c r="N53" i="3"/>
  <c r="T52" i="3"/>
  <c r="N52" i="3"/>
  <c r="T51" i="3"/>
  <c r="N51" i="3"/>
  <c r="T50" i="3"/>
  <c r="N50" i="3"/>
  <c r="T49" i="3"/>
  <c r="N49" i="3"/>
  <c r="T48" i="3"/>
  <c r="N48" i="3"/>
  <c r="T47" i="3"/>
  <c r="N47" i="3"/>
  <c r="T46" i="3"/>
  <c r="N46" i="3"/>
  <c r="T45" i="3"/>
  <c r="N45" i="3"/>
  <c r="T43" i="3"/>
  <c r="N43" i="3"/>
  <c r="T42" i="3"/>
  <c r="N42" i="3"/>
  <c r="T41" i="3"/>
  <c r="N41" i="3"/>
  <c r="T40" i="3"/>
  <c r="N40" i="3"/>
  <c r="T39" i="3"/>
  <c r="N39" i="3"/>
  <c r="T38" i="3"/>
  <c r="N38" i="3"/>
  <c r="T37" i="3"/>
  <c r="N37" i="3"/>
  <c r="T36" i="3"/>
  <c r="N36" i="3"/>
  <c r="T35" i="3"/>
  <c r="N35" i="3"/>
  <c r="T34" i="3"/>
  <c r="N34" i="3"/>
  <c r="T33" i="3"/>
  <c r="N33" i="3"/>
  <c r="T32" i="3"/>
  <c r="N32" i="3"/>
  <c r="T31" i="3"/>
  <c r="N31" i="3"/>
  <c r="T30" i="3"/>
  <c r="N30" i="3"/>
  <c r="T29" i="3"/>
  <c r="N29" i="3"/>
  <c r="T28" i="3"/>
  <c r="N28" i="3"/>
  <c r="T27" i="3"/>
  <c r="N27" i="3"/>
  <c r="T26" i="3"/>
  <c r="N26" i="3"/>
  <c r="T25" i="3"/>
  <c r="N25" i="3"/>
  <c r="T24" i="3"/>
  <c r="N24" i="3"/>
  <c r="T23" i="3"/>
  <c r="N23" i="3"/>
  <c r="T22" i="3"/>
  <c r="N22" i="3"/>
  <c r="T21" i="3"/>
  <c r="N21" i="3"/>
  <c r="T20" i="3"/>
  <c r="N20" i="3"/>
  <c r="T19" i="3"/>
  <c r="N19" i="3"/>
  <c r="T18" i="3"/>
  <c r="N18" i="3"/>
  <c r="T17" i="3"/>
  <c r="N17" i="3"/>
  <c r="T16" i="3"/>
  <c r="N16" i="3"/>
  <c r="T15" i="3"/>
  <c r="N15" i="3"/>
  <c r="T14" i="3"/>
  <c r="N14" i="3"/>
  <c r="T13" i="3"/>
  <c r="N13" i="3"/>
  <c r="T12" i="3"/>
  <c r="N12" i="3"/>
  <c r="T11" i="3"/>
  <c r="N11" i="3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T10" i="3"/>
  <c r="N10" i="3"/>
  <c r="G9" i="3"/>
  <c r="H9" i="3" s="1"/>
  <c r="I9" i="3" s="1"/>
  <c r="J9" i="3" s="1"/>
  <c r="K9" i="3" s="1"/>
  <c r="L9" i="3" s="1"/>
  <c r="M9" i="3" s="1"/>
  <c r="N9" i="3" s="1"/>
  <c r="O9" i="3" s="1"/>
  <c r="P9" i="3" s="1"/>
  <c r="Q9" i="3" s="1"/>
  <c r="R9" i="3" s="1"/>
  <c r="S9" i="3" s="1"/>
  <c r="T9" i="3" s="1"/>
  <c r="H98" i="2"/>
  <c r="I98" i="2"/>
  <c r="O98" i="2"/>
  <c r="G98" i="2"/>
  <c r="T91" i="2"/>
  <c r="T92" i="2"/>
  <c r="N91" i="2"/>
  <c r="N92" i="2"/>
  <c r="N93" i="2"/>
  <c r="T97" i="2"/>
  <c r="N97" i="2"/>
  <c r="T96" i="2"/>
  <c r="N96" i="2"/>
  <c r="T95" i="2"/>
  <c r="N95" i="2"/>
  <c r="T94" i="2"/>
  <c r="N94" i="2"/>
  <c r="T93" i="2"/>
  <c r="T90" i="2"/>
  <c r="N90" i="2"/>
  <c r="T89" i="2"/>
  <c r="N89" i="2"/>
  <c r="T88" i="2"/>
  <c r="N88" i="2"/>
  <c r="T87" i="2"/>
  <c r="N87" i="2"/>
  <c r="T86" i="2"/>
  <c r="N86" i="2"/>
  <c r="T85" i="2"/>
  <c r="N85" i="2"/>
  <c r="T84" i="2"/>
  <c r="N84" i="2"/>
  <c r="T83" i="2"/>
  <c r="N83" i="2"/>
  <c r="T82" i="2"/>
  <c r="N82" i="2"/>
  <c r="T81" i="2"/>
  <c r="N81" i="2"/>
  <c r="T80" i="2"/>
  <c r="N80" i="2"/>
  <c r="T79" i="2"/>
  <c r="N79" i="2"/>
  <c r="T78" i="2"/>
  <c r="N78" i="2"/>
  <c r="T77" i="2"/>
  <c r="N77" i="2"/>
  <c r="T76" i="2"/>
  <c r="N76" i="2"/>
  <c r="T75" i="2"/>
  <c r="N75" i="2"/>
  <c r="T74" i="2"/>
  <c r="N74" i="2"/>
  <c r="T73" i="2"/>
  <c r="N73" i="2"/>
  <c r="T72" i="2"/>
  <c r="N72" i="2"/>
  <c r="T71" i="2"/>
  <c r="N71" i="2"/>
  <c r="T70" i="2"/>
  <c r="N70" i="2"/>
  <c r="T69" i="2"/>
  <c r="N69" i="2"/>
  <c r="T68" i="2"/>
  <c r="N68" i="2"/>
  <c r="T67" i="2"/>
  <c r="N67" i="2"/>
  <c r="T66" i="2"/>
  <c r="N66" i="2"/>
  <c r="T65" i="2"/>
  <c r="N65" i="2"/>
  <c r="T64" i="2"/>
  <c r="N64" i="2"/>
  <c r="T63" i="2"/>
  <c r="N63" i="2"/>
  <c r="T62" i="2"/>
  <c r="N62" i="2"/>
  <c r="T61" i="2"/>
  <c r="N61" i="2"/>
  <c r="T60" i="2"/>
  <c r="N60" i="2"/>
  <c r="T59" i="2"/>
  <c r="N59" i="2"/>
  <c r="T58" i="2"/>
  <c r="N58" i="2"/>
  <c r="T57" i="2"/>
  <c r="N57" i="2"/>
  <c r="T56" i="2"/>
  <c r="N56" i="2"/>
  <c r="T55" i="2"/>
  <c r="N55" i="2"/>
  <c r="T54" i="2"/>
  <c r="N54" i="2"/>
  <c r="T53" i="2"/>
  <c r="N53" i="2"/>
  <c r="T52" i="2"/>
  <c r="N52" i="2"/>
  <c r="T51" i="2"/>
  <c r="N51" i="2"/>
  <c r="T50" i="2"/>
  <c r="N50" i="2"/>
  <c r="T49" i="2"/>
  <c r="N49" i="2"/>
  <c r="T48" i="2"/>
  <c r="N48" i="2"/>
  <c r="T47" i="2"/>
  <c r="N47" i="2"/>
  <c r="T46" i="2"/>
  <c r="N46" i="2"/>
  <c r="T45" i="2"/>
  <c r="N45" i="2"/>
  <c r="T44" i="2"/>
  <c r="N44" i="2"/>
  <c r="T43" i="2"/>
  <c r="N43" i="2"/>
  <c r="T42" i="2"/>
  <c r="N42" i="2"/>
  <c r="T41" i="2"/>
  <c r="N41" i="2"/>
  <c r="T40" i="2"/>
  <c r="N40" i="2"/>
  <c r="T39" i="2"/>
  <c r="N39" i="2"/>
  <c r="T38" i="2"/>
  <c r="N38" i="2"/>
  <c r="T37" i="2"/>
  <c r="N37" i="2"/>
  <c r="T36" i="2"/>
  <c r="N36" i="2"/>
  <c r="T35" i="2"/>
  <c r="N35" i="2"/>
  <c r="T34" i="2"/>
  <c r="N34" i="2"/>
  <c r="T33" i="2"/>
  <c r="N33" i="2"/>
  <c r="T32" i="2"/>
  <c r="N32" i="2"/>
  <c r="T31" i="2"/>
  <c r="N31" i="2"/>
  <c r="T30" i="2"/>
  <c r="N30" i="2"/>
  <c r="T29" i="2"/>
  <c r="N29" i="2"/>
  <c r="T28" i="2"/>
  <c r="N28" i="2"/>
  <c r="T27" i="2"/>
  <c r="N27" i="2"/>
  <c r="T26" i="2"/>
  <c r="N26" i="2"/>
  <c r="T25" i="2"/>
  <c r="N25" i="2"/>
  <c r="T24" i="2"/>
  <c r="N24" i="2"/>
  <c r="T23" i="2"/>
  <c r="N23" i="2"/>
  <c r="T22" i="2"/>
  <c r="N22" i="2"/>
  <c r="T21" i="2"/>
  <c r="N21" i="2"/>
  <c r="T20" i="2"/>
  <c r="N20" i="2"/>
  <c r="T19" i="2"/>
  <c r="N19" i="2"/>
  <c r="T18" i="2"/>
  <c r="N18" i="2"/>
  <c r="T17" i="2"/>
  <c r="N17" i="2"/>
  <c r="T16" i="2"/>
  <c r="N16" i="2"/>
  <c r="T15" i="2"/>
  <c r="N15" i="2"/>
  <c r="T14" i="2"/>
  <c r="N14" i="2"/>
  <c r="T13" i="2"/>
  <c r="N13" i="2"/>
  <c r="T12" i="2"/>
  <c r="N12" i="2"/>
  <c r="T11" i="2"/>
  <c r="N11" i="2"/>
  <c r="A11" i="2"/>
  <c r="A12" i="2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T10" i="2"/>
  <c r="N10" i="2"/>
  <c r="G9" i="2"/>
  <c r="H9" i="2" s="1"/>
  <c r="I9" i="2" s="1"/>
  <c r="J9" i="2" s="1"/>
  <c r="K9" i="2" s="1"/>
  <c r="L9" i="2" s="1"/>
  <c r="M9" i="2" s="1"/>
  <c r="N9" i="2" s="1"/>
  <c r="O9" i="2" s="1"/>
  <c r="P9" i="2" s="1"/>
  <c r="Q9" i="2" s="1"/>
  <c r="R9" i="2" s="1"/>
  <c r="S9" i="2" s="1"/>
  <c r="T9" i="2" s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10" i="1"/>
  <c r="A11" i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G9" i="1"/>
  <c r="H9" i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M105" i="49"/>
  <c r="O10" i="49"/>
  <c r="T105" i="49"/>
  <c r="U36" i="49"/>
  <c r="O40" i="49"/>
  <c r="U41" i="49"/>
  <c r="U51" i="49"/>
  <c r="O53" i="49"/>
  <c r="U54" i="49"/>
  <c r="U64" i="49"/>
  <c r="O69" i="49"/>
  <c r="O71" i="49"/>
  <c r="U72" i="49"/>
  <c r="U78" i="49"/>
  <c r="O82" i="49"/>
  <c r="U83" i="49"/>
  <c r="U10" i="49"/>
  <c r="S105" i="20"/>
  <c r="U11" i="25"/>
  <c r="U105" i="25" s="1"/>
  <c r="O13" i="29"/>
  <c r="U67" i="32"/>
  <c r="O70" i="32"/>
  <c r="U79" i="32"/>
  <c r="U82" i="32"/>
  <c r="O20" i="33"/>
  <c r="U21" i="33"/>
  <c r="O15" i="33"/>
  <c r="O46" i="33"/>
  <c r="O60" i="33"/>
  <c r="O92" i="33"/>
  <c r="O101" i="33"/>
  <c r="T105" i="33"/>
  <c r="U11" i="33"/>
  <c r="O10" i="37"/>
  <c r="S105" i="38"/>
  <c r="O11" i="38"/>
  <c r="M105" i="39"/>
  <c r="U26" i="41"/>
  <c r="S105" i="42"/>
  <c r="U11" i="42"/>
  <c r="O10" i="43"/>
  <c r="O65" i="44"/>
  <c r="U52" i="44"/>
  <c r="U13" i="46"/>
  <c r="S105" i="48"/>
  <c r="O44" i="39"/>
  <c r="U18" i="41"/>
  <c r="S105" i="41"/>
  <c r="U27" i="41"/>
  <c r="T105" i="41"/>
  <c r="O10" i="34"/>
  <c r="U10" i="34"/>
  <c r="U14" i="36"/>
  <c r="O30" i="38"/>
  <c r="U41" i="38"/>
  <c r="U49" i="38"/>
  <c r="O64" i="38"/>
  <c r="O95" i="38"/>
  <c r="O87" i="38"/>
  <c r="O36" i="39"/>
  <c r="O41" i="39"/>
  <c r="O65" i="39"/>
  <c r="U10" i="40"/>
  <c r="O24" i="40"/>
  <c r="O70" i="40"/>
  <c r="O79" i="40"/>
  <c r="U87" i="40"/>
  <c r="O56" i="40"/>
  <c r="N105" i="41"/>
  <c r="U101" i="44"/>
  <c r="S105" i="43"/>
  <c r="O10" i="46"/>
  <c r="S105" i="46"/>
  <c r="U15" i="46"/>
  <c r="U105" i="46"/>
  <c r="O21" i="49"/>
  <c r="N105" i="50"/>
  <c r="U10" i="50"/>
  <c r="O10" i="50"/>
  <c r="M105" i="22"/>
  <c r="U35" i="33"/>
  <c r="U30" i="33"/>
  <c r="O39" i="33"/>
  <c r="O56" i="33"/>
  <c r="O64" i="33"/>
  <c r="O82" i="33"/>
  <c r="U89" i="39"/>
  <c r="U98" i="39"/>
  <c r="O101" i="39"/>
  <c r="U10" i="39"/>
  <c r="O19" i="39"/>
  <c r="O47" i="39"/>
  <c r="O62" i="39"/>
  <c r="O85" i="39"/>
  <c r="O93" i="39"/>
  <c r="U31" i="40"/>
  <c r="U54" i="40"/>
  <c r="U75" i="40"/>
  <c r="O39" i="40"/>
  <c r="O50" i="40"/>
  <c r="O90" i="40"/>
  <c r="M105" i="43"/>
  <c r="O103" i="43"/>
  <c r="O20" i="41"/>
  <c r="O25" i="41"/>
  <c r="O43" i="41"/>
  <c r="U52" i="41"/>
  <c r="O71" i="41"/>
  <c r="U79" i="41"/>
  <c r="U82" i="41"/>
  <c r="U85" i="41"/>
  <c r="O90" i="41"/>
  <c r="U35" i="42"/>
  <c r="U105" i="42" s="1"/>
  <c r="O76" i="42"/>
  <c r="O89" i="42"/>
  <c r="O99" i="42"/>
  <c r="U13" i="43"/>
  <c r="U27" i="43"/>
  <c r="O48" i="43"/>
  <c r="U55" i="43"/>
  <c r="U63" i="43"/>
  <c r="O56" i="43"/>
  <c r="O77" i="43"/>
  <c r="U10" i="44"/>
  <c r="S105" i="44"/>
  <c r="O20" i="43"/>
  <c r="O80" i="43"/>
  <c r="U10" i="45"/>
  <c r="O60" i="47"/>
  <c r="O82" i="47"/>
  <c r="O10" i="48"/>
  <c r="M105" i="48"/>
  <c r="O23" i="49"/>
  <c r="O92" i="20"/>
  <c r="O47" i="29"/>
  <c r="O94" i="29"/>
  <c r="O34" i="34"/>
  <c r="O33" i="41"/>
  <c r="U98" i="43"/>
  <c r="M105" i="44"/>
  <c r="M105" i="45"/>
  <c r="S105" i="49"/>
  <c r="M105" i="51"/>
  <c r="T105" i="51"/>
  <c r="O34" i="24"/>
  <c r="S105" i="30"/>
  <c r="O34" i="39"/>
  <c r="U85" i="39"/>
  <c r="O51" i="39"/>
  <c r="U50" i="39"/>
  <c r="U105" i="39" s="1"/>
  <c r="O61" i="39"/>
  <c r="O44" i="43"/>
  <c r="O54" i="43"/>
  <c r="S105" i="51"/>
  <c r="U105" i="51"/>
  <c r="N105" i="51"/>
  <c r="V106" i="51"/>
  <c r="T105" i="52"/>
  <c r="N105" i="52"/>
  <c r="M105" i="52"/>
  <c r="O14" i="52"/>
  <c r="U40" i="52"/>
  <c r="O51" i="52"/>
  <c r="O54" i="52"/>
  <c r="U55" i="52"/>
  <c r="O60" i="52"/>
  <c r="O64" i="52"/>
  <c r="U65" i="52"/>
  <c r="O69" i="52"/>
  <c r="O72" i="52"/>
  <c r="O76" i="52"/>
  <c r="O79" i="52"/>
  <c r="U80" i="52"/>
  <c r="O83" i="52"/>
  <c r="O85" i="52"/>
  <c r="O87" i="52"/>
  <c r="U10" i="52"/>
  <c r="U94" i="26"/>
  <c r="O10" i="32"/>
  <c r="O10" i="35"/>
  <c r="O30" i="35"/>
  <c r="U19" i="36"/>
  <c r="U52" i="36"/>
  <c r="O60" i="36"/>
  <c r="U35" i="41"/>
  <c r="U36" i="41"/>
  <c r="O55" i="41"/>
  <c r="U18" i="45"/>
  <c r="O13" i="46"/>
  <c r="M105" i="46"/>
  <c r="O44" i="47"/>
  <c r="O95" i="49"/>
  <c r="O65" i="49"/>
  <c r="O93" i="49"/>
  <c r="U19" i="50"/>
  <c r="O10" i="19"/>
  <c r="O105" i="19" s="1"/>
  <c r="O43" i="30"/>
  <c r="O51" i="38"/>
  <c r="O15" i="38"/>
  <c r="O99" i="38"/>
  <c r="N105" i="45"/>
  <c r="T105" i="45"/>
  <c r="O17" i="48"/>
  <c r="O64" i="49"/>
  <c r="O56" i="50"/>
  <c r="O10" i="53"/>
  <c r="O13" i="53"/>
  <c r="O105" i="53" s="1"/>
  <c r="U10" i="53"/>
  <c r="U105" i="53"/>
  <c r="O27" i="14"/>
  <c r="M104" i="14"/>
  <c r="U13" i="17"/>
  <c r="S105" i="17"/>
  <c r="O102" i="16"/>
  <c r="O10" i="20"/>
  <c r="O105" i="20" s="1"/>
  <c r="O10" i="21"/>
  <c r="O105" i="21" s="1"/>
  <c r="M105" i="24"/>
  <c r="O26" i="30"/>
  <c r="O60" i="30"/>
  <c r="O79" i="30"/>
  <c r="O101" i="29"/>
  <c r="O77" i="37"/>
  <c r="O97" i="37"/>
  <c r="U41" i="37"/>
  <c r="O84" i="37"/>
  <c r="O97" i="43"/>
  <c r="O71" i="43"/>
  <c r="O92" i="43"/>
  <c r="O18" i="43"/>
  <c r="O22" i="43"/>
  <c r="U72" i="47"/>
  <c r="U102" i="47"/>
  <c r="O46" i="47"/>
  <c r="O83" i="47"/>
  <c r="O92" i="47"/>
  <c r="O69" i="47"/>
  <c r="T105" i="50"/>
  <c r="O17" i="52"/>
  <c r="O23" i="52"/>
  <c r="O35" i="52"/>
  <c r="O41" i="52"/>
  <c r="U71" i="52"/>
  <c r="O84" i="52"/>
  <c r="O94" i="52"/>
  <c r="U41" i="52"/>
  <c r="O44" i="52"/>
  <c r="O47" i="52"/>
  <c r="O70" i="52"/>
  <c r="O91" i="52"/>
  <c r="O56" i="52"/>
  <c r="O102" i="52"/>
  <c r="O50" i="52"/>
  <c r="N105" i="29"/>
  <c r="O19" i="29"/>
  <c r="U30" i="29"/>
  <c r="O50" i="29"/>
  <c r="O65" i="29"/>
  <c r="O79" i="29"/>
  <c r="U95" i="30"/>
  <c r="O80" i="30"/>
  <c r="U55" i="30"/>
  <c r="O100" i="30"/>
  <c r="O61" i="30"/>
  <c r="U10" i="37"/>
  <c r="O79" i="37"/>
  <c r="O83" i="37"/>
  <c r="O93" i="37"/>
  <c r="O65" i="37"/>
  <c r="O29" i="43"/>
  <c r="O65" i="43"/>
  <c r="O72" i="43"/>
  <c r="O98" i="43"/>
  <c r="O27" i="43"/>
  <c r="O39" i="49"/>
  <c r="O73" i="49"/>
  <c r="O71" i="50"/>
  <c r="O65" i="50"/>
  <c r="O52" i="49"/>
  <c r="O68" i="49"/>
  <c r="U71" i="49"/>
  <c r="O94" i="49"/>
  <c r="O101" i="49"/>
  <c r="O93" i="51"/>
  <c r="O105" i="51" s="1"/>
  <c r="V107" i="51" s="1"/>
  <c r="O61" i="52"/>
  <c r="O33" i="52"/>
  <c r="O75" i="52"/>
  <c r="O95" i="52"/>
  <c r="O90" i="52"/>
  <c r="U100" i="52"/>
  <c r="N105" i="53"/>
  <c r="O10" i="54"/>
  <c r="T105" i="54"/>
  <c r="O13" i="54"/>
  <c r="U10" i="54"/>
  <c r="U105" i="54"/>
  <c r="U19" i="17"/>
  <c r="U21" i="17"/>
  <c r="O21" i="18"/>
  <c r="M105" i="18"/>
  <c r="S105" i="21"/>
  <c r="U11" i="21"/>
  <c r="U105" i="21" s="1"/>
  <c r="M105" i="21"/>
  <c r="O13" i="21"/>
  <c r="O13" i="25"/>
  <c r="O105" i="25" s="1"/>
  <c r="M105" i="25"/>
  <c r="M105" i="29"/>
  <c r="O43" i="29"/>
  <c r="T105" i="30"/>
  <c r="U13" i="30"/>
  <c r="O65" i="30"/>
  <c r="O13" i="32"/>
  <c r="M105" i="32"/>
  <c r="AF105" i="32"/>
  <c r="AF108" i="32" s="1"/>
  <c r="N105" i="33"/>
  <c r="AG105" i="33" s="1"/>
  <c r="O10" i="33"/>
  <c r="O23" i="33"/>
  <c r="M105" i="33"/>
  <c r="O38" i="33"/>
  <c r="U49" i="33"/>
  <c r="AG105" i="34"/>
  <c r="U20" i="34"/>
  <c r="S105" i="34"/>
  <c r="S105" i="35"/>
  <c r="U10" i="35"/>
  <c r="O19" i="35"/>
  <c r="M105" i="35"/>
  <c r="AF105" i="35"/>
  <c r="AF108" i="35" s="1"/>
  <c r="O85" i="37"/>
  <c r="O56" i="39"/>
  <c r="O10" i="41"/>
  <c r="M105" i="41"/>
  <c r="O105" i="42"/>
  <c r="S105" i="39"/>
  <c r="S105" i="29"/>
  <c r="AF105" i="29" s="1"/>
  <c r="AF108" i="29" s="1"/>
  <c r="S105" i="25"/>
  <c r="O17" i="34"/>
  <c r="O10" i="29"/>
  <c r="S105" i="18"/>
  <c r="M105" i="38"/>
  <c r="S105" i="33"/>
  <c r="N105" i="30"/>
  <c r="N103" i="6"/>
  <c r="S105" i="16"/>
  <c r="S104" i="14"/>
  <c r="Y104" i="14" s="1"/>
  <c r="T105" i="16"/>
  <c r="O40" i="17"/>
  <c r="O60" i="18"/>
  <c r="M105" i="19"/>
  <c r="U11" i="19"/>
  <c r="S105" i="19"/>
  <c r="N105" i="19"/>
  <c r="T105" i="19"/>
  <c r="T105" i="21"/>
  <c r="U11" i="22"/>
  <c r="U105" i="22"/>
  <c r="S105" i="22"/>
  <c r="O105" i="24"/>
  <c r="O14" i="25"/>
  <c r="N105" i="25"/>
  <c r="N105" i="26"/>
  <c r="AG105" i="26"/>
  <c r="M105" i="26"/>
  <c r="AF105" i="26"/>
  <c r="AF108" i="26" s="1"/>
  <c r="O13" i="26"/>
  <c r="O105" i="26" s="1"/>
  <c r="AH105" i="26" s="1"/>
  <c r="U30" i="26"/>
  <c r="U105" i="26"/>
  <c r="U52" i="26"/>
  <c r="O92" i="26"/>
  <c r="M105" i="27"/>
  <c r="O10" i="27"/>
  <c r="S105" i="27"/>
  <c r="U40" i="27"/>
  <c r="U55" i="27"/>
  <c r="O66" i="27"/>
  <c r="U83" i="27"/>
  <c r="U87" i="27"/>
  <c r="O92" i="27"/>
  <c r="N105" i="27"/>
  <c r="AG105" i="27"/>
  <c r="S105" i="28"/>
  <c r="AF105" i="28" s="1"/>
  <c r="AF108" i="28" s="1"/>
  <c r="U11" i="28"/>
  <c r="O13" i="28"/>
  <c r="O20" i="28"/>
  <c r="O26" i="28"/>
  <c r="O47" i="28"/>
  <c r="O50" i="28"/>
  <c r="O61" i="28"/>
  <c r="O65" i="28"/>
  <c r="U73" i="28"/>
  <c r="O80" i="28"/>
  <c r="O85" i="28"/>
  <c r="U91" i="28"/>
  <c r="U105" i="28" s="1"/>
  <c r="T105" i="29"/>
  <c r="AG105" i="29" s="1"/>
  <c r="O20" i="29"/>
  <c r="U10" i="32"/>
  <c r="O76" i="29"/>
  <c r="O95" i="29"/>
  <c r="U101" i="29"/>
  <c r="U105" i="29"/>
  <c r="U50" i="30"/>
  <c r="O10" i="30"/>
  <c r="O105" i="30"/>
  <c r="M105" i="30"/>
  <c r="AF105" i="30"/>
  <c r="AF108" i="30" s="1"/>
  <c r="O24" i="32"/>
  <c r="O39" i="32"/>
  <c r="O43" i="32"/>
  <c r="O67" i="32"/>
  <c r="O77" i="32"/>
  <c r="M105" i="34"/>
  <c r="U10" i="36"/>
  <c r="S105" i="36"/>
  <c r="N105" i="36"/>
  <c r="T105" i="36"/>
  <c r="AG105" i="36" s="1"/>
  <c r="O21" i="36"/>
  <c r="O14" i="36"/>
  <c r="M105" i="36"/>
  <c r="AF105" i="36" s="1"/>
  <c r="AF108" i="36" s="1"/>
  <c r="O27" i="36"/>
  <c r="O41" i="36"/>
  <c r="O52" i="36"/>
  <c r="O56" i="36"/>
  <c r="O11" i="37"/>
  <c r="M105" i="37"/>
  <c r="S105" i="37"/>
  <c r="U11" i="37"/>
  <c r="N105" i="37"/>
  <c r="T105" i="37"/>
  <c r="N105" i="38"/>
  <c r="U44" i="38"/>
  <c r="U105" i="38"/>
  <c r="O65" i="38"/>
  <c r="T105" i="39"/>
  <c r="N105" i="39"/>
  <c r="M105" i="40"/>
  <c r="O10" i="40"/>
  <c r="S105" i="40"/>
  <c r="U10" i="47"/>
  <c r="T105" i="46"/>
  <c r="M105" i="47"/>
  <c r="S105" i="50"/>
  <c r="M105" i="42"/>
  <c r="O29" i="32"/>
  <c r="O50" i="32"/>
  <c r="O52" i="32"/>
  <c r="O69" i="32"/>
  <c r="O80" i="32"/>
  <c r="U91" i="32"/>
  <c r="U95" i="32"/>
  <c r="O21" i="33"/>
  <c r="U94" i="33"/>
  <c r="T105" i="35"/>
  <c r="AG105" i="35"/>
  <c r="O21" i="35"/>
  <c r="U20" i="35"/>
  <c r="U105" i="35" s="1"/>
  <c r="O38" i="35"/>
  <c r="O71" i="35"/>
  <c r="O73" i="35"/>
  <c r="O96" i="35"/>
  <c r="O23" i="36"/>
  <c r="O77" i="36"/>
  <c r="O92" i="36"/>
  <c r="O96" i="36"/>
  <c r="U63" i="37"/>
  <c r="O90" i="37"/>
  <c r="U101" i="37"/>
  <c r="T105" i="38"/>
  <c r="O22" i="38"/>
  <c r="O105" i="38" s="1"/>
  <c r="O76" i="39"/>
  <c r="O93" i="40"/>
  <c r="O85" i="40"/>
  <c r="O105" i="40"/>
  <c r="U10" i="41"/>
  <c r="O15" i="41"/>
  <c r="O17" i="41"/>
  <c r="O27" i="41"/>
  <c r="U30" i="41"/>
  <c r="O38" i="41"/>
  <c r="O41" i="41"/>
  <c r="O44" i="41"/>
  <c r="U50" i="41"/>
  <c r="O42" i="46"/>
  <c r="O99" i="47"/>
  <c r="O20" i="47"/>
  <c r="M105" i="50"/>
  <c r="U22" i="43"/>
  <c r="U105" i="43"/>
  <c r="O37" i="43"/>
  <c r="O43" i="43"/>
  <c r="O49" i="43"/>
  <c r="O68" i="43"/>
  <c r="O84" i="43"/>
  <c r="O93" i="43"/>
  <c r="O38" i="44"/>
  <c r="O89" i="44"/>
  <c r="O93" i="44"/>
  <c r="S105" i="45"/>
  <c r="U98" i="45"/>
  <c r="U105" i="45" s="1"/>
  <c r="O13" i="45"/>
  <c r="O105" i="45" s="1"/>
  <c r="O24" i="45"/>
  <c r="O49" i="45"/>
  <c r="O73" i="45"/>
  <c r="O93" i="45"/>
  <c r="O80" i="46"/>
  <c r="O105" i="46" s="1"/>
  <c r="O103" i="46"/>
  <c r="N105" i="47"/>
  <c r="T105" i="47"/>
  <c r="U26" i="47"/>
  <c r="O87" i="49"/>
  <c r="O96" i="49"/>
  <c r="O14" i="47"/>
  <c r="O56" i="47"/>
  <c r="O95" i="47"/>
  <c r="U85" i="48"/>
  <c r="U105" i="48"/>
  <c r="O98" i="48"/>
  <c r="O29" i="49"/>
  <c r="O50" i="49"/>
  <c r="O70" i="49"/>
  <c r="O105" i="49" s="1"/>
  <c r="O100" i="49"/>
  <c r="U101" i="49"/>
  <c r="U37" i="50"/>
  <c r="O19" i="50"/>
  <c r="U22" i="50"/>
  <c r="U105" i="50"/>
  <c r="O94" i="50"/>
  <c r="U105" i="41"/>
  <c r="AF105" i="33"/>
  <c r="AF108" i="33"/>
  <c r="AF105" i="34"/>
  <c r="AF108" i="34"/>
  <c r="U105" i="32"/>
  <c r="AF105" i="27"/>
  <c r="AF108" i="27" s="1"/>
  <c r="AG105" i="30"/>
  <c r="U105" i="30"/>
  <c r="O61" i="17"/>
  <c r="O91" i="17"/>
  <c r="U105" i="24"/>
  <c r="O105" i="54"/>
  <c r="O44" i="33"/>
  <c r="O54" i="33"/>
  <c r="O105" i="33" s="1"/>
  <c r="AH105" i="33" s="1"/>
  <c r="O89" i="33"/>
  <c r="U11" i="34"/>
  <c r="U105" i="34" s="1"/>
  <c r="O70" i="33"/>
  <c r="O90" i="33"/>
  <c r="O60" i="41"/>
  <c r="O105" i="41" s="1"/>
  <c r="O95" i="41"/>
  <c r="U95" i="47"/>
  <c r="U105" i="47" s="1"/>
  <c r="O80" i="47"/>
  <c r="O71" i="47"/>
  <c r="O23" i="47"/>
  <c r="O105" i="47" s="1"/>
  <c r="O102" i="47"/>
  <c r="O101" i="50"/>
  <c r="M105" i="55"/>
  <c r="V105" i="55" s="1"/>
  <c r="O10" i="55"/>
  <c r="O105" i="55" s="1"/>
  <c r="T105" i="55"/>
  <c r="U10" i="55"/>
  <c r="U105" i="55"/>
  <c r="O20" i="36"/>
  <c r="O38" i="36"/>
  <c r="O19" i="36"/>
  <c r="O105" i="36" s="1"/>
  <c r="AH105" i="36" s="1"/>
  <c r="U63" i="36"/>
  <c r="O23" i="39"/>
  <c r="O26" i="39"/>
  <c r="O21" i="39"/>
  <c r="O105" i="39" s="1"/>
  <c r="O50" i="39"/>
  <c r="O91" i="45"/>
  <c r="O87" i="45"/>
  <c r="S105" i="52"/>
  <c r="U105" i="19"/>
  <c r="O105" i="22"/>
  <c r="S105" i="24"/>
  <c r="U73" i="27"/>
  <c r="U105" i="27" s="1"/>
  <c r="O82" i="27"/>
  <c r="O105" i="27" s="1"/>
  <c r="AH105" i="27" s="1"/>
  <c r="O84" i="35"/>
  <c r="O94" i="35"/>
  <c r="U95" i="35"/>
  <c r="O79" i="35"/>
  <c r="U105" i="37"/>
  <c r="AH105" i="30"/>
  <c r="O105" i="28"/>
  <c r="AH105" i="28" s="1"/>
  <c r="O105" i="29"/>
  <c r="AH105" i="29" s="1"/>
  <c r="O105" i="32"/>
  <c r="AH105" i="32"/>
  <c r="U105" i="52"/>
  <c r="O105" i="52"/>
  <c r="O105" i="50"/>
  <c r="U105" i="40"/>
  <c r="U105" i="36"/>
  <c r="O105" i="34"/>
  <c r="AH105" i="34" s="1"/>
  <c r="U105" i="33"/>
  <c r="U105" i="49"/>
  <c r="M105" i="16"/>
  <c r="AG105" i="32"/>
  <c r="O61" i="37"/>
  <c r="O105" i="37"/>
  <c r="O55" i="43"/>
  <c r="O105" i="43"/>
  <c r="U105" i="44"/>
  <c r="V105" i="51"/>
  <c r="M105" i="17"/>
  <c r="U105" i="16" l="1"/>
  <c r="U105" i="17"/>
  <c r="U105" i="18"/>
  <c r="W106" i="14"/>
  <c r="W104" i="14"/>
  <c r="O105" i="17"/>
  <c r="O11" i="35"/>
  <c r="O62" i="35"/>
  <c r="O92" i="35"/>
  <c r="O43" i="44"/>
  <c r="O60" i="44"/>
  <c r="O70" i="44"/>
  <c r="O83" i="48"/>
  <c r="O105" i="48" s="1"/>
  <c r="O105" i="35" l="1"/>
  <c r="AH105" i="35" s="1"/>
  <c r="O105" i="44"/>
</calcChain>
</file>

<file path=xl/sharedStrings.xml><?xml version="1.0" encoding="utf-8"?>
<sst xmlns="http://schemas.openxmlformats.org/spreadsheetml/2006/main" count="20616" uniqueCount="339">
  <si>
    <t>№ з/п</t>
  </si>
  <si>
    <t>І. Інформація про адвоката</t>
  </si>
  <si>
    <t>ІІ. Інформація за дорученнями, виданими у 2016 році</t>
  </si>
  <si>
    <t>ІІІ. Інформація за дорученнями, виданими у попередніх бюджетних періодах (включаючи ті, за якими станом на 01.01.2016 зареєстровано кредиторську заборгованість)</t>
  </si>
  <si>
    <t>ПІБ адвокатів, з якими регіональним центром з надання БВПД (було) укладено контракт / договір</t>
  </si>
  <si>
    <t>організаційна форма адвокатської діяльності (ІНД, АБ, АО)</t>
  </si>
  <si>
    <t>найменування адвокатського бюро чи адвокатського об'єднання</t>
  </si>
  <si>
    <t>населений пункт, де знаходиться робоче місце адвоката (за ЄРАУ)</t>
  </si>
  <si>
    <t>реквізити контракту (договору) на 2016 р.</t>
  </si>
  <si>
    <t>кількість виданих регіональним та місцевим центрами доручень (без врахування скасованих доручень, правова допомога за якими не надавалася)</t>
  </si>
  <si>
    <t>кількість доручень, за якими місцевими центрами прийнято хоча б 1 акт</t>
  </si>
  <si>
    <t>кількість актів, прийнятих місцевими центрами</t>
  </si>
  <si>
    <t>кількість актів, підписаних місцевими центрами та переданих на затвердження регіональному центру</t>
  </si>
  <si>
    <t>кількість актів, затверджених регіональним центром</t>
  </si>
  <si>
    <t>сума фактичних видатків (зареєстрованих та взятих на облік органами ДКСУ) за затвердженими актами</t>
  </si>
  <si>
    <t>сума касових видатків за затвердженими актами</t>
  </si>
  <si>
    <t>сума кредиторської заборгованості за затвердженими актами</t>
  </si>
  <si>
    <t xml:space="preserve">Додаток 1
до наказу Координаційного центру
з надання правової допомоги
від «31» грудня 2015 року № __1___
</t>
  </si>
  <si>
    <t>Анацький Олег Валерійович</t>
  </si>
  <si>
    <t>Безверха Ганна Олександрівна</t>
  </si>
  <si>
    <t>Безруков Віктор Васильович</t>
  </si>
  <si>
    <t>Богданов Віктор Анатолійович</t>
  </si>
  <si>
    <t>Бордюк Юлія Володимирівна</t>
  </si>
  <si>
    <t>Борох Валерій Миколайович</t>
  </si>
  <si>
    <t>Бушта Віта Олександрівна</t>
  </si>
  <si>
    <t>Валюх Юрій Васильович</t>
  </si>
  <si>
    <t>Вербицький Віктор Михайлович</t>
  </si>
  <si>
    <t>Волкова Ірина Іванівна</t>
  </si>
  <si>
    <t>Гаврилюк Надія Миколаївна</t>
  </si>
  <si>
    <t>Глущенко Віталій Вікторович</t>
  </si>
  <si>
    <t>Гребеник Світлана Миколаївна</t>
  </si>
  <si>
    <t>Гребенник Микола Григорович</t>
  </si>
  <si>
    <t>Гулаков Андрій Іванович</t>
  </si>
  <si>
    <t>Гусейнова Вафа Гамзатівна</t>
  </si>
  <si>
    <t>Гусєв Валерій Анатолійович</t>
  </si>
  <si>
    <t>Діброва Костянтин Юрійович</t>
  </si>
  <si>
    <t>Дем’яненко Наталія Петрівна</t>
  </si>
  <si>
    <t>Дехтярьов Олександр Олексійович</t>
  </si>
  <si>
    <t>Друченко Тетяна Василівна</t>
  </si>
  <si>
    <t>Єфіменко Лідія Іванівна</t>
  </si>
  <si>
    <t>Іванов Сергій Олексійович</t>
  </si>
  <si>
    <t>Іващенко Тамара Андріївна</t>
  </si>
  <si>
    <t>Ільченко Вадим Володимирович</t>
  </si>
  <si>
    <t>Казміренко Лариса Олексіївна</t>
  </si>
  <si>
    <t>Калантаєнко Сергій Вікторович</t>
  </si>
  <si>
    <t>Кисляк Олег Олександрович</t>
  </si>
  <si>
    <t>Ковальова Олександра Михайлівна</t>
  </si>
  <si>
    <t>Козін Тетяна Володимирівна</t>
  </si>
  <si>
    <t>Кондратенко Максим Миколайович</t>
  </si>
  <si>
    <t>Кондратенко Світлана Юріївна</t>
  </si>
  <si>
    <t>Косолап Микола Михайлович</t>
  </si>
  <si>
    <t>Кошик Оксана Петрівна</t>
  </si>
  <si>
    <t>Кубанова Анна Михайлівна</t>
  </si>
  <si>
    <t>Кудін Олександр Михайлович</t>
  </si>
  <si>
    <t>Лазун Надія Степанівна</t>
  </si>
  <si>
    <t>Лебединець Наталія Іванівна</t>
  </si>
  <si>
    <t>Лисенко  Галина Костянтинівна</t>
  </si>
  <si>
    <t>Литовченко Лідія  Іванівна</t>
  </si>
  <si>
    <t>Малюк Вікторія Валеріївна</t>
  </si>
  <si>
    <t>Марченко Анатолій Іванович</t>
  </si>
  <si>
    <t>Марченко Ігор Васильович</t>
  </si>
  <si>
    <t>Матеко Лариса Анатоліївна</t>
  </si>
  <si>
    <t>Моісеєнко Сергій Борисович</t>
  </si>
  <si>
    <t>Мороз Леся Олексіївна</t>
  </si>
  <si>
    <t>Мороко Сергій Олегович</t>
  </si>
  <si>
    <t>Назаренко Олексій Олександрович</t>
  </si>
  <si>
    <t>Наумова Інна Михайлівна</t>
  </si>
  <si>
    <t>Нікітченко Евгенія Вікторівна</t>
  </si>
  <si>
    <t>Овчинникова Раїса Олексіївна</t>
  </si>
  <si>
    <t>Оніщенко Олег Вікторович</t>
  </si>
  <si>
    <t>Островська Ганна Вікторівна</t>
  </si>
  <si>
    <t>Пашков Сергій Іванович</t>
  </si>
  <si>
    <t>Петрова Лариса Петрівна</t>
  </si>
  <si>
    <t>Прихожай Тетяна Ігорівна</t>
  </si>
  <si>
    <t>Прокоп’єва Марина Аполонівна</t>
  </si>
  <si>
    <t>Рекуха  Олена Володимирівна</t>
  </si>
  <si>
    <t>Розторгуєва Валентина Борисівна</t>
  </si>
  <si>
    <t>Садовський Євген Анатолійович</t>
  </si>
  <si>
    <t>Сапіч Володимир Михайлович</t>
  </si>
  <si>
    <t>Семиволос Володимир Владиславович</t>
  </si>
  <si>
    <t>Сергеєва Світлана Анатоліївна</t>
  </si>
  <si>
    <t>Сипленко Олександр Володимирович</t>
  </si>
  <si>
    <t>Сінько Ольга Аркадіївна</t>
  </si>
  <si>
    <t>Сітайло Юлія Анатоліївна</t>
  </si>
  <si>
    <t>Скляров Сергій Леонідович</t>
  </si>
  <si>
    <t>Смирнова Ольга Леонідівна</t>
  </si>
  <si>
    <t>Сомок Олена Анатоліївна</t>
  </si>
  <si>
    <t>Стеценко Віктор Михайлович</t>
  </si>
  <si>
    <t>Страшок Олег Володимирович</t>
  </si>
  <si>
    <t>Сукач Ольга Сергіївна</t>
  </si>
  <si>
    <t>Супрун Ігор Федорович</t>
  </si>
  <si>
    <t>Суслін Євгеній Володимирович</t>
  </si>
  <si>
    <t>Третьяков Сергій Миколайович</t>
  </si>
  <si>
    <t>Фесенко Олексій Дмитрович</t>
  </si>
  <si>
    <t>Фомінов Роман Миколайович</t>
  </si>
  <si>
    <t>Хвостик Яна Сергіївна</t>
  </si>
  <si>
    <t>Цимбал Володимир Іванович</t>
  </si>
  <si>
    <t>Черняк Марина Володимирівна</t>
  </si>
  <si>
    <t>Шаповал Олена Олегівна</t>
  </si>
  <si>
    <t>Шестов Андрій Валерійович</t>
  </si>
  <si>
    <t>Шудренко Тетяна Олександрівна</t>
  </si>
  <si>
    <t>Щербак Світлана Володимирівна</t>
  </si>
  <si>
    <t>Юшкевич Євгенія Юріївна</t>
  </si>
  <si>
    <t>Яковець Євгеній Олександрович</t>
  </si>
  <si>
    <t>Ященко Владислав Владиславович</t>
  </si>
  <si>
    <t>м. Охтирка</t>
  </si>
  <si>
    <t>м. Суми</t>
  </si>
  <si>
    <t>м. Шостка</t>
  </si>
  <si>
    <t>м. Глухів</t>
  </si>
  <si>
    <t>м.Конотоп</t>
  </si>
  <si>
    <t>смт. Недригайлів</t>
  </si>
  <si>
    <t>м. Конотоп</t>
  </si>
  <si>
    <t>м. Ромни</t>
  </si>
  <si>
    <t>м. Тростянець</t>
  </si>
  <si>
    <t>смт. Краснопілля</t>
  </si>
  <si>
    <t>м. Лебедин</t>
  </si>
  <si>
    <t>смт.Л.Долина</t>
  </si>
  <si>
    <t>м. Білопілля</t>
  </si>
  <si>
    <t>м. Кролевець</t>
  </si>
  <si>
    <t>Сумський район</t>
  </si>
  <si>
    <t>Недригайлівський район</t>
  </si>
  <si>
    <t>смт. Ямпіль</t>
  </si>
  <si>
    <t>м. Путивль</t>
  </si>
  <si>
    <t>м.Суми</t>
  </si>
  <si>
    <t>ІНД</t>
  </si>
  <si>
    <t>АО</t>
  </si>
  <si>
    <t>"АЛЬТЕРА"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</si>
  <si>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4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11 січня 2016 року</t>
    </r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</si>
  <si>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4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18 січня 2016 року</t>
    </r>
  </si>
  <si>
    <t>Шевченко Сергій Васильович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</si>
  <si>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4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25 січня 2016 року</t>
    </r>
  </si>
  <si>
    <t>Кривенко Борис Григорович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</si>
  <si>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4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08 лютого 2016 року</t>
    </r>
  </si>
  <si>
    <t>Буланов Олексій Михайлович</t>
  </si>
  <si>
    <t>Макогон Сергій Григорович</t>
  </si>
  <si>
    <t>Мусієнко Оксана Вікторівна</t>
  </si>
  <si>
    <t>м. Контоп</t>
  </si>
  <si>
    <t>Жулавский Сергій Аркадійович</t>
  </si>
  <si>
    <t>№1 від 01.02.2016</t>
  </si>
  <si>
    <t>№2 від 01.02.2016</t>
  </si>
  <si>
    <t>№7 від 01.02.2016</t>
  </si>
  <si>
    <t>№8 від 01.02.2016</t>
  </si>
  <si>
    <t>№9 від 01.02.2016</t>
  </si>
  <si>
    <t>№3 від 01.02.2016</t>
  </si>
  <si>
    <t>№5 від 01.02.2016</t>
  </si>
  <si>
    <t>№10 від 01.02.2016</t>
  </si>
  <si>
    <t>№11 від 01.02.2016</t>
  </si>
  <si>
    <t>№12 від 01.02.2016</t>
  </si>
  <si>
    <t>№13 від 01.02.2016</t>
  </si>
  <si>
    <t>№14 від 01.02.2016</t>
  </si>
  <si>
    <t>№15 від 01.02.2016</t>
  </si>
  <si>
    <t>№16 від 01.02.2016</t>
  </si>
  <si>
    <t>№17 від 01.02.2016</t>
  </si>
  <si>
    <t>№18 від 01.02.2016</t>
  </si>
  <si>
    <t>№19 від 01.02.2016</t>
  </si>
  <si>
    <t>№21 від 01.02.2016</t>
  </si>
  <si>
    <t>№22 від 01.02.2016</t>
  </si>
  <si>
    <t>№23 від 01.02.2016</t>
  </si>
  <si>
    <t>№86 від 01.02.2016</t>
  </si>
  <si>
    <t>№24 від 01.02.2016</t>
  </si>
  <si>
    <t>№25від 01.02.2016</t>
  </si>
  <si>
    <t>№26 від 01.02.2016</t>
  </si>
  <si>
    <t>№27 від 01.02.2016</t>
  </si>
  <si>
    <t>№28 від 01.02.2016</t>
  </si>
  <si>
    <t>№29 від 01.02.2016</t>
  </si>
  <si>
    <t>№30 від 01.02.2016</t>
  </si>
  <si>
    <t>№32 від 01.02.2016</t>
  </si>
  <si>
    <t>№33 від 01.02.2016</t>
  </si>
  <si>
    <t>№34 від 01.02.2016</t>
  </si>
  <si>
    <t>№35 від 01.02.2016</t>
  </si>
  <si>
    <t>№36 від 01.02.2016</t>
  </si>
  <si>
    <t>№37 від 01.02.2016</t>
  </si>
  <si>
    <t>№38 від 01.02.2016</t>
  </si>
  <si>
    <t>№39 від 01.02.2016</t>
  </si>
  <si>
    <t>№40 від 01.02.2016</t>
  </si>
  <si>
    <t>№41 від 01.02.2016</t>
  </si>
  <si>
    <t>№43 від 01.02.2016</t>
  </si>
  <si>
    <t>№44 від 01.02.2016</t>
  </si>
  <si>
    <t>№45 від 01.02.2016</t>
  </si>
  <si>
    <t>№46 від 01.02.2016</t>
  </si>
  <si>
    <t>№48 від 01.02.2016</t>
  </si>
  <si>
    <t>№47 від 01.02.2016</t>
  </si>
  <si>
    <t>№49 від 01.02.2016</t>
  </si>
  <si>
    <t>№50 від 01.02.2016</t>
  </si>
  <si>
    <t>№51 від 01.02.2016</t>
  </si>
  <si>
    <t>№52 від 01.02.2016</t>
  </si>
  <si>
    <t>№53 від 01.02.2016</t>
  </si>
  <si>
    <t>№54 від 01.02.2016</t>
  </si>
  <si>
    <t>№55 від 01.02.2016</t>
  </si>
  <si>
    <t>№56 від 01.02.2016</t>
  </si>
  <si>
    <t>№57 від 01.02.2016</t>
  </si>
  <si>
    <t>№58 від 01.02.2016</t>
  </si>
  <si>
    <t>№59 від 01.02.2016</t>
  </si>
  <si>
    <t>№60 від 01.02.2016</t>
  </si>
  <si>
    <t>№61 від 01.02.2016</t>
  </si>
  <si>
    <t>№62 від 01.02.2016</t>
  </si>
  <si>
    <t>№63 від 01.02.2016</t>
  </si>
  <si>
    <t>№64 від 01.02.2016</t>
  </si>
  <si>
    <t>№65 від 01.02.2016</t>
  </si>
  <si>
    <t>№66 від 01.02.2016</t>
  </si>
  <si>
    <t>№67 від 01.02.2016</t>
  </si>
  <si>
    <t>№68 від 01.02.2016</t>
  </si>
  <si>
    <t>№69 від 01.02.2016</t>
  </si>
  <si>
    <t>№70 від 01.02.2016</t>
  </si>
  <si>
    <t>№71 від 01.02.2016</t>
  </si>
  <si>
    <t>№72 від 01.02.2016</t>
  </si>
  <si>
    <t>№73 від 01.02.2016</t>
  </si>
  <si>
    <t>№85 від 01.02.2016</t>
  </si>
  <si>
    <t>№84 від 01.02.2016</t>
  </si>
  <si>
    <t>№83 від 01.02.2016</t>
  </si>
  <si>
    <t>№82 від 01.02.2016</t>
  </si>
  <si>
    <t>№81 від 01.02.2016</t>
  </si>
  <si>
    <t>№80 від 01.02.2016</t>
  </si>
  <si>
    <t>№79 від 01.02.2016</t>
  </si>
  <si>
    <t>№78 від 01.02.2016</t>
  </si>
  <si>
    <t>№77 від 01.02.2016</t>
  </si>
  <si>
    <t>№76 від 01.02.2016</t>
  </si>
  <si>
    <t>№75 від 01.02.2016</t>
  </si>
  <si>
    <t>№74 від 01.02.2016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</si>
  <si>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4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15 лютого 2016 року</t>
    </r>
  </si>
  <si>
    <t>№47 від 28.01.2015</t>
  </si>
  <si>
    <t>№44 від 28.01.2015</t>
  </si>
  <si>
    <t>№28 від 01.01.2014</t>
  </si>
  <si>
    <t>№62 від 28.01.2015</t>
  </si>
  <si>
    <t>№31 від 28.01.2015</t>
  </si>
  <si>
    <t>№22 від 28.01.2015</t>
  </si>
  <si>
    <t>№17 від 28.01.2015</t>
  </si>
  <si>
    <t>№74 від 06.05.2015</t>
  </si>
  <si>
    <t>№ 90 від 03.11.2015</t>
  </si>
  <si>
    <t>№ 81 від 03.11.2015</t>
  </si>
  <si>
    <t>№77 від 29.07.2015</t>
  </si>
  <si>
    <t>№ 9 від 28.01.2015</t>
  </si>
  <si>
    <t>ІІІ. Інформація за дорученнями, виданими у попередніх бюджетних періодах (включаючи ті, за якими станом на 15.02.2016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</si>
  <si>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4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22 лютого 2016 року</t>
    </r>
  </si>
  <si>
    <t>ІІІ. Інформація за дорученнями, виданими у попередніх бюджетних періодах (включаючи ті, за якими станом на 22.02.2016 зареєстровано кредиторську заборгованість)</t>
  </si>
  <si>
    <t>ІІІ. Інформація за дорученнями, виданими у попередніх бюджетних періодах (включаючи ті, за якими станом на 29.02.2016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</si>
  <si>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4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29 лютого 2016 року</t>
    </r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</si>
  <si>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4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09 березня 2016 року</t>
    </r>
  </si>
  <si>
    <t>ІІІ. Інформація за дорученнями, виданими у попередніх бюджетних періодах (включаючи ті, за якими станом на 14.03.2016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</si>
  <si>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4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14 березня 2016 року</t>
    </r>
  </si>
  <si>
    <t>ІІІ. Інформація за дорученнями, виданими у попередніх бюджетних періодах (включаючи ті, за якими станом на 09.03.2016 зареєстровано кредиторську заборгованість)</t>
  </si>
  <si>
    <t>62/15</t>
  </si>
  <si>
    <t>Дорожинець Наталія Григорівна</t>
  </si>
  <si>
    <t>ІІІ. Інформація за дорученнями, виданими у попередніх бюджетних періодах (включаючи ті, за якими станом на 21.03.2016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</si>
  <si>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21 березня 2016 року</t>
    </r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</si>
  <si>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28 березня 2016 року</t>
    </r>
  </si>
  <si>
    <t>ІІІ. Інформація за дорученнями, виданими у попередніх бюджетних періодах (включаючи ті, за якими станом на 28.03.2016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</si>
  <si>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04 квітня 2016 року</t>
    </r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</si>
  <si>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4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01 лютого 2016 року</t>
    </r>
  </si>
  <si>
    <t>ІІІ. Інформація за дорученнями, виданими у попередніх бюджетних періодах (включаючи ті, за якими станом на 18.01.2016 зареєстровано кредиторську заборгованість)</t>
  </si>
  <si>
    <t>ІІІ. Інформація за дорученнями, виданими у попередніх бюджетних періодах (включаючи ті, за якими станом на 25.01.2016 зареєстровано кредиторську заборгованість)</t>
  </si>
  <si>
    <t>ІІІ. Інформація за дорученнями, виданими у попередніх бюджетних періодах (включаючи ті, за якими станом на 01.02.2016 зареєстровано кредиторську заборгованість)</t>
  </si>
  <si>
    <t>ІІІ. Інформація за дорученнями, виданими у попередніх бюджетних періодах (включаючи ті, за якими станом на 08.02.2016 зареєстровано кредиторську заборгованість)</t>
  </si>
  <si>
    <t>ІІІ. Інформація за дорученнями, виданими у попередніх бюджетних періодах (включаючи ті, за якими станом на 04.04.2016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</si>
  <si>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11 квітня 2016 року</t>
    </r>
  </si>
  <si>
    <t>ІІІ. Інформація за дорученнями, виданими у попередніх бюджетних періодах (включаючи ті, за якими станом на 11.04.2016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</si>
  <si>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18 квітня 2016 року</t>
    </r>
  </si>
  <si>
    <t>ІІІ. Інформація за дорученнями, виданими у попередніх бюджетних періодах (включаючи ті, за якими станом на 18.04.2016 зареєстровано кредиторську заборгованість)</t>
  </si>
  <si>
    <t xml:space="preserve">Крамаренко Ірина Валеріївна </t>
  </si>
  <si>
    <t>№20 від 12.02.2016</t>
  </si>
  <si>
    <t>№42 від 25.02.2016</t>
  </si>
  <si>
    <t>№88 від 08.04.2016</t>
  </si>
  <si>
    <t>ІІІ. Інформація за дорученнями, виданими у попередніх бюджетних періодах (включаючи ті, за якими станом на 25.04.2016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</si>
  <si>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25 квітня 2016 року</t>
    </r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</si>
  <si>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02  травня 2016 року</t>
    </r>
  </si>
  <si>
    <t>ІІІ. Інформація за дорученнями, виданими у попередніх бюджетних періодах (включаючи ті, за якими станом на 02.05.2016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</si>
  <si>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09  травня 2016 року</t>
    </r>
  </si>
  <si>
    <t>ІІІ. Інформація за дорученнями, виданими у попередніх бюджетних періодах (включаючи ті, за якими станом на 09.05.2016 зареєстровано кредиторську заборгованість)</t>
  </si>
  <si>
    <t>ІІІ. Інформація за дорученнями, виданими у попередніх бюджетних періодах (включаючи ті, за якими станом на 16.05.2016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</si>
  <si>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16  травня 2016 року</t>
    </r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</si>
  <si>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23  травня 2016 року</t>
    </r>
  </si>
  <si>
    <t>ІІІ. Інформація за дорученнями, виданими у попередніх бюджетних періодах (включаючи ті, за якими станом на 23.05.2016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</si>
  <si>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30  травня 2016 року</t>
    </r>
  </si>
  <si>
    <t>ІІІ. Інформація за дорученнями, виданими у попередніх бюджетних періодах (включаючи ті, за якими станом на 30.05.2016 зареєстровано кредиторську заборгованість)</t>
  </si>
  <si>
    <t>№20 від 12.022016</t>
  </si>
  <si>
    <t>ІІІ. Інформація за дорученнями, виданими у попередніх бюджетних періодах (включаючи ті, за якими станом на 06.06.2016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</si>
  <si>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06  червня  2016 року</t>
    </r>
  </si>
  <si>
    <t>ІІІ. Інформація за дорученнями, виданими у попередніх бюджетних періодах (включаючи ті, за якими станом на 13.06.2016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</si>
  <si>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13  червня  2016 року</t>
    </r>
  </si>
  <si>
    <t>ІІІ. Інформація за дорученнями, виданими у попередніх бюджетних періодах (включаючи ті, за якими станом на 20.06.2016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</si>
  <si>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20  червня  2016 року</t>
    </r>
  </si>
  <si>
    <t>ІІІ. Інформація за дорученнями, виданими у попередніх бюджетних періодах (включаючи ті, за якими станом на 27.06.2016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</si>
  <si>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27  червня  2016 року</t>
    </r>
  </si>
  <si>
    <t>ІІІ. Інформація за дорученнями, виданими у попередніх бюджетних періодах (включаючи ті, за якими станом на 04.07.2016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</si>
  <si>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04  липня  2016 року</t>
    </r>
  </si>
  <si>
    <t>ІІІ. Інформація за дорученнями, виданими у попередніх бюджетних періодах (включаючи ті, за якими станом на 11.07.2016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</si>
  <si>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11  липня  2016 року</t>
    </r>
  </si>
  <si>
    <t>ІІІ. Інформація за дорученнями, виданими у попередніх бюджетних періодах (включаючи ті, за якими станом на 18.07.2016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</si>
  <si>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18  липня  2016 року</t>
    </r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</si>
  <si>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25  липня  2016 року</t>
    </r>
  </si>
  <si>
    <t>ІІІ. Інформація за дорученнями, виданими у попередніх бюджетних періодах (включаючи ті, за якими станом на 25.07.2016 зареєстровано кредиторську заборгованість)</t>
  </si>
  <si>
    <t>ІІІ. Інформація за дорученнями, виданими у попередніх бюджетних періодах (включаючи ті, за якими станом на 01.08.2016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</si>
  <si>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01 серпня  2016 року</t>
    </r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</si>
  <si>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08 серпня  2016 року</t>
    </r>
  </si>
  <si>
    <t>ІІІ. Інформація за дорученнями, виданими у попередніх бюджетних періодах (включаючи ті, за якими станом на 08.08.2016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</si>
  <si>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15 серпня  2016 року</t>
    </r>
  </si>
  <si>
    <t>ІІІ. Інформація за дорученнями, виданими у попередніх бюджетних періодах (включаючи ті, за якими станом на 15.08.2016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</si>
  <si>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22 серпня  2016 року</t>
    </r>
  </si>
  <si>
    <t>ІІІ. Інформація за дорученнями, виданими у попередніх бюджетних періодах (включаючи ті, за якими станом на 22.08.2016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</si>
  <si>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29 серпня  2016 року</t>
    </r>
  </si>
  <si>
    <t>ІІІ. Інформація за дорученнями, виданими у попередніх бюджетних періодах (включаючи ті, за якими станом на 29.08.2016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</si>
  <si>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05 вересня  2016 року</t>
    </r>
  </si>
  <si>
    <t>ІІІ. Інформація за дорученнями, виданими у попередніх бюджетних періодах (включаючи ті, за якими станом на 05.09.2016 зареєстровано кредиторську заборгованість)</t>
  </si>
  <si>
    <t>ІІІ. Інформація за дорученнями, виданими у попередніх бюджетних періодах (включаючи ті, за якими станом на 12.09.2016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</si>
  <si>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12 вересня  2016 року</t>
    </r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</si>
  <si>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19 вересня  2016 року</t>
    </r>
  </si>
  <si>
    <t>ІІІ. Інформація за дорученнями, виданими у попередніх бюджетних періодах (включаючи ті, за якими станом на 19.09.2016 зареєстровано кредиторську заборгованість)</t>
  </si>
  <si>
    <t>ІІІ. Інформація за дорученнями, виданими у попередніх бюджетних періодах (включаючи ті, за якими станом на 26.09.2016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</si>
  <si>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26 вересня  2016 року</t>
    </r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</si>
  <si>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03 жовтня 2016 року</t>
    </r>
  </si>
  <si>
    <t>ІІІ. Інформація за дорученнями, виданими у попередніх бюджетних періодах (включаючи ті, за якими станом на 03.10.2016 зареєстровано кредиторську заборгованість)</t>
  </si>
  <si>
    <t>ІІІ. Інформація за дорученнями, виданими у попередніх бюджетних періодах (включаючи ті, за якими станом на 10.10.2016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</si>
  <si>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10 жовтня 2016 року</t>
    </r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</si>
  <si>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17 жовтня 2016 року</t>
    </r>
  </si>
  <si>
    <t>ІІІ. Інформація за дорученнями, виданими у попередніх бюджетних періодах (включаючи ті, за якими станом на 17.10.2016 зареєстровано кредиторську заборгованість)</t>
  </si>
  <si>
    <t>17/15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</si>
  <si>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24  жовтня 2016 року</t>
    </r>
  </si>
  <si>
    <t>ІІІ. Інформація за дорученнями, виданими у попередніх бюджетних періодах (включаючи ті, за якими станом на 24.10.2016 зареєстровано кредиторську заборгованість)</t>
  </si>
  <si>
    <t xml:space="preserve"> 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</si>
  <si>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31  жовтня 2016 року</t>
    </r>
  </si>
  <si>
    <t>ІІІ. Інформація за дорученнями, виданими у попередніх бюджетних періодах (включаючи ті, за якими станом на 31.10.2016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</si>
  <si>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07  листопада  2016 року</t>
    </r>
  </si>
  <si>
    <t>ІІІ. Інформація за дорученнями, виданими у попередніх бюджетних періодах (включаючи ті, за якими станом на 07.11.2016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</si>
  <si>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14  листопада  2016 року</t>
    </r>
  </si>
  <si>
    <t>ІІІ. Інформація за дорученнями, виданими у попередніх бюджетних періодах (включаючи ті, за якими станом на 14.11.2016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</si>
  <si>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21  листопада  2016 року</t>
    </r>
  </si>
  <si>
    <t>ІІІ. Інформація за дорученнями, виданими у попередніх бюджетних періодах (включаючи ті, за якими станом на 21.11.2016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</si>
  <si>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28  листопада  2016 року</t>
    </r>
  </si>
  <si>
    <t>ІІІ. Інформація за дорученнями, виданими у попередніх бюджетних періодах (включаючи ті, за якими станом на 28.11.2016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</si>
  <si>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05  грудня  2016 року</t>
    </r>
  </si>
  <si>
    <t>ІІІ. Інформація за дорученнями, виданими у попередніх бюджетних періодах (включаючи ті, за якими станом на 05.12.2016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</si>
  <si>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12  грудня  2016 року</t>
    </r>
  </si>
  <si>
    <t>ІІІ. Інформація за дорученнями, виданими у попередніх бюджетних періодах (включаючи ті, за якими станом на 12.12.2016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</si>
  <si>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19  грудня  2016 року</t>
    </r>
  </si>
  <si>
    <t>ІІІ. Інформація за дорученнями, виданими у попередніх бюджетних періодах (включаючи ті, за якими станом на 19.12.2016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</si>
  <si>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26  грудня  2016 року</t>
    </r>
  </si>
  <si>
    <t>ІІІ. Інформація за дорученнями, виданими у попередніх бюджетних періодах (включаючи ті, за якими станом на 26.12.2016 зареєстровано кредиторську заборгованість)</t>
  </si>
  <si>
    <r>
  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</t>
    </r>
    <r>
      <rPr>
        <b/>
        <u/>
        <sz val="12"/>
        <color indexed="8"/>
        <rFont val="Times New Roman"/>
        <family val="1"/>
        <charset val="204"/>
      </rPr>
      <t>у 2016 році Регіональним центром  з надання безоплатної вторинної правової допомоги у Сумській області станом на  31  грудня  2016 року</t>
    </r>
  </si>
  <si>
    <t>ІІІ. Інформація за дорученнями, виданими у попередніх бюджетних періодах (включаючи ті, за якими станом на 31.12.2016 зареєстровано кредиторську заборгованість)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</si>
</sst>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charset val="204"/>
      <scheme val="minor"/>
    </font>
    <font>
      <sz val="10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9"/>
      <name val="Arial Cyr"/>
      <charset val="204"/>
    </font>
    <font>
      <sz val="10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u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2"/>
      <name val="Arial Cyr"/>
      <charset val="204"/>
    </font>
    <font>
      <sz val="11"/>
      <color indexed="8"/>
      <name val="Times New Roman"/>
      <family val="1"/>
      <charset val="204"/>
    </font>
    <font>
      <sz val="11"/>
      <color indexed="22"/>
      <name val="Calibri"/>
      <family val="2"/>
      <charset val="204"/>
    </font>
    <font>
      <sz val="12"/>
      <color indexed="8"/>
      <name val="Calibri"/>
      <family val="2"/>
      <charset val="204"/>
    </font>
    <font>
      <sz val="11"/>
      <color indexed="31"/>
      <name val="Calibri"/>
      <family val="2"/>
      <charset val="204"/>
    </font>
    <font>
      <sz val="11"/>
      <color indexed="11"/>
      <name val="Calibri"/>
      <family val="2"/>
      <charset val="204"/>
    </font>
    <font>
      <sz val="11"/>
      <color indexed="46"/>
      <name val="Calibri"/>
      <family val="2"/>
      <charset val="204"/>
    </font>
    <font>
      <sz val="11"/>
      <color indexed="23"/>
      <name val="Calibri"/>
      <family val="2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color indexed="10"/>
      <name val="Calibri"/>
      <family val="2"/>
      <charset val="204"/>
    </font>
    <font>
      <sz val="11"/>
      <color indexed="44"/>
      <name val="Calibri"/>
      <family val="2"/>
      <charset val="204"/>
    </font>
    <font>
      <sz val="11"/>
      <color indexed="46"/>
      <name val="Times New Roman"/>
      <family val="1"/>
      <charset val="204"/>
    </font>
    <font>
      <sz val="11"/>
      <color indexed="49"/>
      <name val="Times New Roman"/>
      <family val="1"/>
      <charset val="204"/>
    </font>
    <font>
      <sz val="11"/>
      <color indexed="49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18">
    <xf numFmtId="0" fontId="0" fillId="0" borderId="0" xfId="0"/>
    <xf numFmtId="0" fontId="5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6" fillId="2" borderId="1" xfId="0" applyFont="1" applyFill="1" applyBorder="1"/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/>
    <xf numFmtId="0" fontId="6" fillId="2" borderId="7" xfId="0" applyFont="1" applyFill="1" applyBorder="1"/>
    <xf numFmtId="0" fontId="6" fillId="0" borderId="1" xfId="0" applyFont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/>
    </xf>
    <xf numFmtId="0" fontId="6" fillId="0" borderId="7" xfId="0" applyFont="1" applyBorder="1" applyAlignment="1">
      <alignment horizontal="left" vertical="center" wrapText="1"/>
    </xf>
    <xf numFmtId="0" fontId="6" fillId="0" borderId="7" xfId="0" applyFont="1" applyBorder="1"/>
    <xf numFmtId="0" fontId="6" fillId="2" borderId="7" xfId="0" applyFont="1" applyFill="1" applyBorder="1" applyAlignment="1">
      <alignment horizontal="left" vertical="center" wrapText="1"/>
    </xf>
    <xf numFmtId="0" fontId="6" fillId="2" borderId="0" xfId="0" applyFont="1" applyFill="1" applyBorder="1"/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6" fillId="2" borderId="9" xfId="0" applyFont="1" applyFill="1" applyBorder="1"/>
    <xf numFmtId="0" fontId="6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left" vertical="top" wrapText="1"/>
    </xf>
    <xf numFmtId="0" fontId="6" fillId="2" borderId="10" xfId="0" applyFont="1" applyFill="1" applyBorder="1" applyAlignment="1">
      <alignment horizontal="left" vertical="center"/>
    </xf>
    <xf numFmtId="0" fontId="1" fillId="0" borderId="11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4" fontId="7" fillId="0" borderId="12" xfId="0" applyNumberFormat="1" applyFont="1" applyBorder="1"/>
    <xf numFmtId="0" fontId="1" fillId="3" borderId="5" xfId="0" applyFont="1" applyFill="1" applyBorder="1" applyAlignment="1">
      <alignment horizontal="center" vertical="top" wrapText="1"/>
    </xf>
    <xf numFmtId="0" fontId="1" fillId="3" borderId="6" xfId="0" applyFont="1" applyFill="1" applyBorder="1" applyAlignment="1">
      <alignment horizontal="center" vertical="top" wrapText="1"/>
    </xf>
    <xf numFmtId="0" fontId="1" fillId="3" borderId="4" xfId="0" applyFont="1" applyFill="1" applyBorder="1" applyAlignment="1">
      <alignment horizontal="center" vertical="top" wrapText="1"/>
    </xf>
    <xf numFmtId="0" fontId="5" fillId="3" borderId="1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4" fontId="7" fillId="3" borderId="12" xfId="0" applyNumberFormat="1" applyFont="1" applyFill="1" applyBorder="1"/>
    <xf numFmtId="0" fontId="1" fillId="3" borderId="9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right" vertical="top" wrapText="1"/>
    </xf>
    <xf numFmtId="0" fontId="1" fillId="3" borderId="0" xfId="0" applyFont="1" applyFill="1" applyBorder="1" applyAlignment="1">
      <alignment horizontal="center" vertical="top" wrapText="1"/>
    </xf>
    <xf numFmtId="0" fontId="0" fillId="3" borderId="0" xfId="0" applyFill="1"/>
    <xf numFmtId="0" fontId="1" fillId="3" borderId="3" xfId="0" applyFont="1" applyFill="1" applyBorder="1" applyAlignment="1">
      <alignment horizontal="left" vertical="top" wrapText="1"/>
    </xf>
    <xf numFmtId="0" fontId="8" fillId="0" borderId="0" xfId="0" applyFont="1"/>
    <xf numFmtId="0" fontId="0" fillId="0" borderId="0" xfId="0" applyFont="1"/>
    <xf numFmtId="2" fontId="0" fillId="0" borderId="0" xfId="0" applyNumberFormat="1"/>
    <xf numFmtId="0" fontId="12" fillId="0" borderId="5" xfId="0" applyFont="1" applyBorder="1" applyAlignment="1">
      <alignment horizontal="center" vertical="top" wrapText="1"/>
    </xf>
    <xf numFmtId="0" fontId="12" fillId="3" borderId="6" xfId="0" applyFont="1" applyFill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3" borderId="5" xfId="0" applyFont="1" applyFill="1" applyBorder="1" applyAlignment="1">
      <alignment horizontal="center" vertical="top" wrapText="1"/>
    </xf>
    <xf numFmtId="0" fontId="12" fillId="3" borderId="4" xfId="0" applyFont="1" applyFill="1" applyBorder="1" applyAlignment="1">
      <alignment horizontal="center" vertical="top" wrapText="1"/>
    </xf>
    <xf numFmtId="0" fontId="13" fillId="0" borderId="2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13" fillId="3" borderId="3" xfId="0" applyFont="1" applyFill="1" applyBorder="1" applyAlignment="1">
      <alignment horizontal="center" vertical="top" wrapText="1"/>
    </xf>
    <xf numFmtId="0" fontId="13" fillId="3" borderId="1" xfId="0" applyFont="1" applyFill="1" applyBorder="1" applyAlignment="1">
      <alignment horizontal="center" vertical="top" wrapText="1"/>
    </xf>
    <xf numFmtId="0" fontId="13" fillId="3" borderId="2" xfId="0" applyFont="1" applyFill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12" fillId="3" borderId="3" xfId="0" applyFont="1" applyFill="1" applyBorder="1" applyAlignment="1">
      <alignment horizontal="left" vertical="top" wrapText="1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4" fontId="14" fillId="3" borderId="12" xfId="0" applyNumberFormat="1" applyFont="1" applyFill="1" applyBorder="1"/>
    <xf numFmtId="0" fontId="12" fillId="0" borderId="1" xfId="0" applyFont="1" applyBorder="1" applyAlignment="1">
      <alignment horizontal="center" vertical="top" wrapText="1"/>
    </xf>
    <xf numFmtId="0" fontId="12" fillId="0" borderId="9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right" vertical="top" wrapText="1"/>
    </xf>
    <xf numFmtId="0" fontId="12" fillId="3" borderId="0" xfId="0" applyFont="1" applyFill="1" applyBorder="1" applyAlignment="1">
      <alignment horizontal="right" vertical="top" wrapText="1"/>
    </xf>
    <xf numFmtId="0" fontId="12" fillId="3" borderId="0" xfId="0" applyFont="1" applyFill="1" applyBorder="1" applyAlignment="1">
      <alignment horizontal="center" vertical="top" wrapText="1"/>
    </xf>
    <xf numFmtId="0" fontId="0" fillId="4" borderId="0" xfId="0" applyFill="1"/>
    <xf numFmtId="2" fontId="0" fillId="4" borderId="0" xfId="0" applyNumberFormat="1" applyFill="1"/>
    <xf numFmtId="0" fontId="0" fillId="5" borderId="0" xfId="0" applyFill="1"/>
    <xf numFmtId="2" fontId="12" fillId="3" borderId="0" xfId="0" applyNumberFormat="1" applyFont="1" applyFill="1" applyBorder="1" applyAlignment="1">
      <alignment horizontal="right" vertical="top" wrapText="1"/>
    </xf>
    <xf numFmtId="2" fontId="12" fillId="3" borderId="0" xfId="0" applyNumberFormat="1" applyFont="1" applyFill="1" applyBorder="1" applyAlignment="1">
      <alignment horizontal="center" vertical="top" wrapText="1"/>
    </xf>
    <xf numFmtId="2" fontId="12" fillId="3" borderId="3" xfId="0" applyNumberFormat="1" applyFont="1" applyFill="1" applyBorder="1" applyAlignment="1">
      <alignment horizontal="center" vertical="center" wrapText="1"/>
    </xf>
    <xf numFmtId="2" fontId="12" fillId="3" borderId="5" xfId="0" applyNumberFormat="1" applyFont="1" applyFill="1" applyBorder="1" applyAlignment="1">
      <alignment horizontal="center" vertical="top" wrapText="1"/>
    </xf>
    <xf numFmtId="2" fontId="12" fillId="3" borderId="6" xfId="0" applyNumberFormat="1" applyFont="1" applyFill="1" applyBorder="1" applyAlignment="1">
      <alignment horizontal="center" vertical="top" wrapText="1"/>
    </xf>
    <xf numFmtId="2" fontId="12" fillId="3" borderId="4" xfId="0" applyNumberFormat="1" applyFont="1" applyFill="1" applyBorder="1" applyAlignment="1">
      <alignment horizontal="center" vertical="top" wrapText="1"/>
    </xf>
    <xf numFmtId="2" fontId="12" fillId="3" borderId="1" xfId="0" applyNumberFormat="1" applyFont="1" applyFill="1" applyBorder="1" applyAlignment="1">
      <alignment horizontal="center" vertical="center" wrapText="1"/>
    </xf>
    <xf numFmtId="2" fontId="12" fillId="3" borderId="9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left" vertical="top" wrapText="1"/>
    </xf>
    <xf numFmtId="0" fontId="6" fillId="3" borderId="0" xfId="0" applyFont="1" applyFill="1" applyBorder="1"/>
    <xf numFmtId="0" fontId="6" fillId="3" borderId="1" xfId="0" applyFont="1" applyFill="1" applyBorder="1" applyAlignment="1">
      <alignment horizontal="left" vertical="center" wrapText="1"/>
    </xf>
    <xf numFmtId="0" fontId="6" fillId="3" borderId="7" xfId="0" applyFont="1" applyFill="1" applyBorder="1" applyAlignment="1">
      <alignment horizontal="left" vertical="center" wrapText="1"/>
    </xf>
    <xf numFmtId="0" fontId="6" fillId="3" borderId="7" xfId="0" applyFont="1" applyFill="1" applyBorder="1"/>
    <xf numFmtId="0" fontId="12" fillId="3" borderId="1" xfId="0" applyFont="1" applyFill="1" applyBorder="1" applyAlignment="1">
      <alignment horizontal="center" vertical="top" wrapText="1"/>
    </xf>
    <xf numFmtId="0" fontId="6" fillId="3" borderId="9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left" vertical="top" wrapText="1"/>
    </xf>
    <xf numFmtId="2" fontId="0" fillId="3" borderId="0" xfId="0" applyNumberFormat="1" applyFill="1"/>
    <xf numFmtId="0" fontId="0" fillId="6" borderId="0" xfId="0" applyFill="1"/>
    <xf numFmtId="0" fontId="6" fillId="3" borderId="13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left" vertical="top" wrapText="1"/>
    </xf>
    <xf numFmtId="0" fontId="12" fillId="3" borderId="14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top" wrapText="1"/>
    </xf>
    <xf numFmtId="0" fontId="6" fillId="2" borderId="13" xfId="0" applyFont="1" applyFill="1" applyBorder="1"/>
    <xf numFmtId="0" fontId="6" fillId="2" borderId="15" xfId="0" applyFont="1" applyFill="1" applyBorder="1" applyAlignment="1">
      <alignment horizontal="left" vertical="center"/>
    </xf>
    <xf numFmtId="0" fontId="12" fillId="3" borderId="16" xfId="0" applyFont="1" applyFill="1" applyBorder="1" applyAlignment="1">
      <alignment horizontal="left" vertical="top" wrapText="1"/>
    </xf>
    <xf numFmtId="0" fontId="12" fillId="3" borderId="1" xfId="0" applyFont="1" applyFill="1" applyBorder="1" applyAlignment="1">
      <alignment horizontal="right" vertical="top" wrapText="1"/>
    </xf>
    <xf numFmtId="2" fontId="12" fillId="3" borderId="1" xfId="0" applyNumberFormat="1" applyFont="1" applyFill="1" applyBorder="1" applyAlignment="1">
      <alignment horizontal="center" vertical="top" wrapText="1"/>
    </xf>
    <xf numFmtId="0" fontId="13" fillId="3" borderId="2" xfId="0" applyNumberFormat="1" applyFont="1" applyFill="1" applyBorder="1" applyAlignment="1">
      <alignment horizontal="center" vertical="top" wrapText="1"/>
    </xf>
    <xf numFmtId="0" fontId="13" fillId="3" borderId="1" xfId="0" applyNumberFormat="1" applyFont="1" applyFill="1" applyBorder="1" applyAlignment="1">
      <alignment horizontal="center" vertical="top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8" xfId="0" applyNumberFormat="1" applyFont="1" applyFill="1" applyBorder="1" applyAlignment="1">
      <alignment horizontal="center" vertical="center" wrapText="1"/>
    </xf>
    <xf numFmtId="0" fontId="12" fillId="3" borderId="9" xfId="0" applyNumberFormat="1" applyFont="1" applyFill="1" applyBorder="1" applyAlignment="1">
      <alignment horizontal="center" vertical="center" wrapText="1"/>
    </xf>
    <xf numFmtId="0" fontId="12" fillId="3" borderId="0" xfId="0" applyNumberFormat="1" applyFont="1" applyFill="1" applyBorder="1" applyAlignment="1">
      <alignment horizontal="right" vertical="top" wrapText="1"/>
    </xf>
    <xf numFmtId="0" fontId="13" fillId="3" borderId="3" xfId="0" applyNumberFormat="1" applyFont="1" applyFill="1" applyBorder="1" applyAlignment="1">
      <alignment horizontal="center" vertical="top" wrapText="1"/>
    </xf>
    <xf numFmtId="0" fontId="15" fillId="3" borderId="3" xfId="0" applyFont="1" applyFill="1" applyBorder="1" applyAlignment="1">
      <alignment horizontal="left" vertical="top" wrapText="1"/>
    </xf>
    <xf numFmtId="0" fontId="13" fillId="3" borderId="17" xfId="0" applyNumberFormat="1" applyFont="1" applyFill="1" applyBorder="1" applyAlignment="1">
      <alignment horizontal="center" vertical="top" wrapText="1"/>
    </xf>
    <xf numFmtId="2" fontId="12" fillId="3" borderId="17" xfId="0" applyNumberFormat="1" applyFont="1" applyFill="1" applyBorder="1" applyAlignment="1">
      <alignment horizontal="center" vertical="center" wrapText="1"/>
    </xf>
    <xf numFmtId="2" fontId="12" fillId="3" borderId="18" xfId="0" applyNumberFormat="1" applyFont="1" applyFill="1" applyBorder="1" applyAlignment="1">
      <alignment horizontal="center" vertical="center" wrapText="1"/>
    </xf>
    <xf numFmtId="2" fontId="0" fillId="3" borderId="0" xfId="0" applyNumberFormat="1" applyFill="1" applyBorder="1"/>
    <xf numFmtId="0" fontId="0" fillId="0" borderId="0" xfId="0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center" vertical="center" wrapText="1"/>
    </xf>
    <xf numFmtId="2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top" wrapText="1"/>
    </xf>
    <xf numFmtId="2" fontId="0" fillId="0" borderId="0" xfId="0" applyNumberFormat="1" applyFill="1" applyBorder="1"/>
    <xf numFmtId="2" fontId="12" fillId="3" borderId="17" xfId="0" applyNumberFormat="1" applyFont="1" applyFill="1" applyBorder="1" applyAlignment="1">
      <alignment horizontal="right" vertical="top" wrapText="1"/>
    </xf>
    <xf numFmtId="2" fontId="12" fillId="3" borderId="13" xfId="0" applyNumberFormat="1" applyFont="1" applyFill="1" applyBorder="1" applyAlignment="1">
      <alignment horizontal="center" vertical="center" wrapText="1"/>
    </xf>
    <xf numFmtId="2" fontId="12" fillId="3" borderId="16" xfId="0" applyNumberFormat="1" applyFont="1" applyFill="1" applyBorder="1" applyAlignment="1">
      <alignment horizontal="center" vertical="center" wrapText="1"/>
    </xf>
    <xf numFmtId="0" fontId="12" fillId="3" borderId="14" xfId="0" applyNumberFormat="1" applyFont="1" applyFill="1" applyBorder="1" applyAlignment="1">
      <alignment horizontal="center" vertical="center" wrapText="1"/>
    </xf>
    <xf numFmtId="0" fontId="12" fillId="3" borderId="13" xfId="0" applyNumberFormat="1" applyFont="1" applyFill="1" applyBorder="1" applyAlignment="1">
      <alignment horizontal="center" vertical="center" wrapText="1"/>
    </xf>
    <xf numFmtId="2" fontId="12" fillId="3" borderId="1" xfId="0" applyNumberFormat="1" applyFont="1" applyFill="1" applyBorder="1" applyAlignment="1">
      <alignment horizontal="right" vertical="top" wrapText="1"/>
    </xf>
    <xf numFmtId="0" fontId="12" fillId="3" borderId="1" xfId="0" applyNumberFormat="1" applyFont="1" applyFill="1" applyBorder="1" applyAlignment="1">
      <alignment horizontal="right" vertical="top" wrapText="1"/>
    </xf>
    <xf numFmtId="2" fontId="16" fillId="0" borderId="0" xfId="0" applyNumberFormat="1" applyFont="1" applyFill="1" applyBorder="1"/>
    <xf numFmtId="0" fontId="16" fillId="0" borderId="0" xfId="0" applyFont="1" applyFill="1" applyBorder="1"/>
    <xf numFmtId="0" fontId="17" fillId="6" borderId="0" xfId="0" applyFont="1" applyFill="1"/>
    <xf numFmtId="2" fontId="18" fillId="0" borderId="0" xfId="0" applyNumberFormat="1" applyFont="1" applyFill="1" applyBorder="1"/>
    <xf numFmtId="0" fontId="18" fillId="0" borderId="0" xfId="0" applyFont="1" applyFill="1" applyBorder="1"/>
    <xf numFmtId="0" fontId="12" fillId="3" borderId="7" xfId="0" applyFont="1" applyFill="1" applyBorder="1" applyAlignment="1">
      <alignment horizontal="center" vertical="center" wrapText="1"/>
    </xf>
    <xf numFmtId="2" fontId="19" fillId="0" borderId="0" xfId="0" applyNumberFormat="1" applyFont="1" applyFill="1" applyBorder="1"/>
    <xf numFmtId="0" fontId="19" fillId="0" borderId="0" xfId="0" applyFont="1" applyFill="1" applyBorder="1"/>
    <xf numFmtId="2" fontId="6" fillId="0" borderId="0" xfId="0" applyNumberFormat="1" applyFont="1" applyFill="1" applyBorder="1"/>
    <xf numFmtId="2" fontId="20" fillId="0" borderId="0" xfId="0" applyNumberFormat="1" applyFont="1" applyFill="1" applyBorder="1"/>
    <xf numFmtId="0" fontId="20" fillId="0" borderId="0" xfId="0" applyFont="1" applyFill="1" applyBorder="1"/>
    <xf numFmtId="2" fontId="21" fillId="0" borderId="0" xfId="0" applyNumberFormat="1" applyFont="1" applyFill="1" applyBorder="1"/>
    <xf numFmtId="0" fontId="21" fillId="0" borderId="0" xfId="0" applyFont="1" applyFill="1" applyBorder="1"/>
    <xf numFmtId="2" fontId="6" fillId="3" borderId="0" xfId="0" applyNumberFormat="1" applyFont="1" applyFill="1" applyBorder="1"/>
    <xf numFmtId="0" fontId="12" fillId="2" borderId="1" xfId="0" applyFont="1" applyFill="1" applyBorder="1"/>
    <xf numFmtId="0" fontId="12" fillId="3" borderId="1" xfId="0" applyFont="1" applyFill="1" applyBorder="1" applyAlignment="1">
      <alignment horizontal="center" vertical="center"/>
    </xf>
    <xf numFmtId="0" fontId="12" fillId="3" borderId="0" xfId="0" applyFont="1" applyFill="1" applyBorder="1"/>
    <xf numFmtId="0" fontId="12" fillId="2" borderId="7" xfId="0" applyFont="1" applyFill="1" applyBorder="1"/>
    <xf numFmtId="0" fontId="12" fillId="2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/>
    </xf>
    <xf numFmtId="0" fontId="12" fillId="2" borderId="7" xfId="0" applyFont="1" applyFill="1" applyBorder="1" applyAlignment="1">
      <alignment horizontal="left" vertical="center"/>
    </xf>
    <xf numFmtId="0" fontId="12" fillId="3" borderId="7" xfId="0" applyFont="1" applyFill="1" applyBorder="1" applyAlignment="1">
      <alignment horizontal="left" vertical="center" wrapText="1"/>
    </xf>
    <xf numFmtId="0" fontId="12" fillId="3" borderId="7" xfId="0" applyFont="1" applyFill="1" applyBorder="1"/>
    <xf numFmtId="0" fontId="12" fillId="2" borderId="1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0" xfId="0" applyFont="1" applyFill="1" applyBorder="1"/>
    <xf numFmtId="0" fontId="12" fillId="2" borderId="1" xfId="0" applyFont="1" applyFill="1" applyBorder="1" applyAlignment="1">
      <alignment vertical="center" wrapText="1"/>
    </xf>
    <xf numFmtId="0" fontId="12" fillId="2" borderId="13" xfId="0" applyFont="1" applyFill="1" applyBorder="1"/>
    <xf numFmtId="0" fontId="12" fillId="3" borderId="13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left" vertical="center"/>
    </xf>
    <xf numFmtId="0" fontId="0" fillId="3" borderId="0" xfId="0" applyFont="1" applyFill="1"/>
    <xf numFmtId="2" fontId="0" fillId="3" borderId="0" xfId="0" applyNumberFormat="1" applyFont="1" applyFill="1"/>
    <xf numFmtId="2" fontId="0" fillId="3" borderId="0" xfId="0" applyNumberFormat="1" applyFont="1" applyFill="1" applyBorder="1"/>
    <xf numFmtId="0" fontId="22" fillId="3" borderId="5" xfId="0" applyFont="1" applyFill="1" applyBorder="1" applyAlignment="1">
      <alignment horizontal="center" vertical="top" wrapText="1"/>
    </xf>
    <xf numFmtId="0" fontId="23" fillId="3" borderId="1" xfId="0" applyFont="1" applyFill="1" applyBorder="1" applyAlignment="1">
      <alignment horizontal="center" vertical="top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right" vertical="top" wrapText="1"/>
    </xf>
    <xf numFmtId="2" fontId="22" fillId="3" borderId="5" xfId="0" applyNumberFormat="1" applyFont="1" applyFill="1" applyBorder="1" applyAlignment="1">
      <alignment horizontal="center" vertical="top" wrapText="1"/>
    </xf>
    <xf numFmtId="0" fontId="23" fillId="3" borderId="1" xfId="0" applyNumberFormat="1" applyFont="1" applyFill="1" applyBorder="1" applyAlignment="1">
      <alignment horizontal="center" vertical="top" wrapText="1"/>
    </xf>
    <xf numFmtId="0" fontId="22" fillId="3" borderId="1" xfId="0" applyNumberFormat="1" applyFont="1" applyFill="1" applyBorder="1" applyAlignment="1">
      <alignment horizontal="center" vertical="center" wrapText="1"/>
    </xf>
    <xf numFmtId="0" fontId="22" fillId="3" borderId="13" xfId="0" applyNumberFormat="1" applyFont="1" applyFill="1" applyBorder="1" applyAlignment="1">
      <alignment horizontal="center" vertical="center" wrapText="1"/>
    </xf>
    <xf numFmtId="0" fontId="22" fillId="3" borderId="1" xfId="0" applyNumberFormat="1" applyFont="1" applyFill="1" applyBorder="1" applyAlignment="1">
      <alignment horizontal="right" vertical="top" wrapText="1"/>
    </xf>
    <xf numFmtId="0" fontId="22" fillId="0" borderId="5" xfId="0" applyFont="1" applyFill="1" applyBorder="1" applyAlignment="1">
      <alignment horizontal="center" vertical="top" wrapText="1"/>
    </xf>
    <xf numFmtId="0" fontId="12" fillId="0" borderId="5" xfId="0" applyFont="1" applyFill="1" applyBorder="1" applyAlignment="1">
      <alignment horizontal="center" vertical="top" wrapText="1"/>
    </xf>
    <xf numFmtId="2" fontId="12" fillId="0" borderId="5" xfId="0" applyNumberFormat="1" applyFont="1" applyFill="1" applyBorder="1" applyAlignment="1">
      <alignment horizontal="center" vertical="top" wrapText="1"/>
    </xf>
    <xf numFmtId="2" fontId="12" fillId="0" borderId="6" xfId="0" applyNumberFormat="1" applyFont="1" applyFill="1" applyBorder="1" applyAlignment="1">
      <alignment horizontal="center" vertical="top" wrapText="1"/>
    </xf>
    <xf numFmtId="2" fontId="12" fillId="0" borderId="4" xfId="0" applyNumberFormat="1" applyFont="1" applyFill="1" applyBorder="1" applyAlignment="1">
      <alignment horizontal="center" vertical="top" wrapText="1"/>
    </xf>
    <xf numFmtId="2" fontId="22" fillId="0" borderId="5" xfId="0" applyNumberFormat="1" applyFont="1" applyFill="1" applyBorder="1" applyAlignment="1">
      <alignment horizontal="center" vertical="top" wrapText="1"/>
    </xf>
    <xf numFmtId="0" fontId="23" fillId="0" borderId="1" xfId="0" applyFont="1" applyFill="1" applyBorder="1" applyAlignment="1">
      <alignment horizontal="center" vertical="top" wrapText="1"/>
    </xf>
    <xf numFmtId="0" fontId="13" fillId="0" borderId="1" xfId="0" applyFont="1" applyFill="1" applyBorder="1" applyAlignment="1">
      <alignment horizontal="center" vertical="top" wrapText="1"/>
    </xf>
    <xf numFmtId="0" fontId="13" fillId="0" borderId="1" xfId="0" applyNumberFormat="1" applyFont="1" applyFill="1" applyBorder="1" applyAlignment="1">
      <alignment horizontal="center" vertical="top" wrapText="1"/>
    </xf>
    <xf numFmtId="0" fontId="13" fillId="0" borderId="3" xfId="0" applyNumberFormat="1" applyFont="1" applyFill="1" applyBorder="1" applyAlignment="1">
      <alignment horizontal="center" vertical="top" wrapText="1"/>
    </xf>
    <xf numFmtId="0" fontId="13" fillId="0" borderId="2" xfId="0" applyNumberFormat="1" applyFont="1" applyFill="1" applyBorder="1" applyAlignment="1">
      <alignment horizontal="center" vertical="top" wrapText="1"/>
    </xf>
    <xf numFmtId="0" fontId="23" fillId="0" borderId="1" xfId="0" applyNumberFormat="1" applyFont="1" applyFill="1" applyBorder="1" applyAlignment="1">
      <alignment horizontal="center" vertical="top" wrapText="1"/>
    </xf>
    <xf numFmtId="0" fontId="2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2" fontId="12" fillId="0" borderId="3" xfId="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2" fontId="12" fillId="0" borderId="13" xfId="0" applyNumberFormat="1" applyFont="1" applyFill="1" applyBorder="1" applyAlignment="1">
      <alignment horizontal="center" vertical="center" wrapText="1"/>
    </xf>
    <xf numFmtId="0" fontId="12" fillId="0" borderId="14" xfId="0" applyNumberFormat="1" applyFont="1" applyFill="1" applyBorder="1" applyAlignment="1">
      <alignment horizontal="center" vertical="center" wrapText="1"/>
    </xf>
    <xf numFmtId="0" fontId="22" fillId="0" borderId="13" xfId="0" applyNumberFormat="1" applyFont="1" applyFill="1" applyBorder="1" applyAlignment="1">
      <alignment horizontal="center" vertical="center" wrapText="1"/>
    </xf>
    <xf numFmtId="0" fontId="12" fillId="0" borderId="13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right" vertical="top" wrapText="1"/>
    </xf>
    <xf numFmtId="0" fontId="12" fillId="0" borderId="1" xfId="0" applyFont="1" applyFill="1" applyBorder="1" applyAlignment="1">
      <alignment horizontal="right" vertical="top" wrapText="1"/>
    </xf>
    <xf numFmtId="2" fontId="12" fillId="0" borderId="1" xfId="0" applyNumberFormat="1" applyFont="1" applyFill="1" applyBorder="1" applyAlignment="1">
      <alignment horizontal="right" vertical="top" wrapText="1"/>
    </xf>
    <xf numFmtId="0" fontId="12" fillId="0" borderId="1" xfId="0" applyNumberFormat="1" applyFont="1" applyFill="1" applyBorder="1" applyAlignment="1">
      <alignment horizontal="right" vertical="top" wrapText="1"/>
    </xf>
    <xf numFmtId="0" fontId="22" fillId="0" borderId="1" xfId="0" applyNumberFormat="1" applyFont="1" applyFill="1" applyBorder="1" applyAlignment="1">
      <alignment horizontal="right" vertical="top" wrapText="1"/>
    </xf>
    <xf numFmtId="0" fontId="0" fillId="0" borderId="0" xfId="0" applyFont="1" applyFill="1"/>
    <xf numFmtId="2" fontId="0" fillId="0" borderId="0" xfId="0" applyNumberFormat="1" applyFont="1" applyFill="1"/>
    <xf numFmtId="2" fontId="12" fillId="0" borderId="0" xfId="0" applyNumberFormat="1" applyFont="1" applyFill="1" applyBorder="1"/>
    <xf numFmtId="0" fontId="0" fillId="0" borderId="0" xfId="0" applyFont="1" applyFill="1" applyBorder="1"/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 wrapText="1"/>
    </xf>
    <xf numFmtId="0" fontId="12" fillId="0" borderId="0" xfId="0" applyFont="1" applyFill="1" applyBorder="1"/>
    <xf numFmtId="2" fontId="24" fillId="0" borderId="0" xfId="0" applyNumberFormat="1" applyFont="1" applyFill="1" applyBorder="1"/>
    <xf numFmtId="0" fontId="24" fillId="0" borderId="0" xfId="0" applyFont="1" applyFill="1" applyBorder="1"/>
    <xf numFmtId="2" fontId="25" fillId="0" borderId="0" xfId="0" applyNumberFormat="1" applyFont="1" applyFill="1" applyBorder="1"/>
    <xf numFmtId="0" fontId="0" fillId="7" borderId="0" xfId="0" applyFont="1" applyFill="1"/>
    <xf numFmtId="0" fontId="15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vertical="center" wrapText="1"/>
    </xf>
    <xf numFmtId="2" fontId="26" fillId="3" borderId="0" xfId="0" applyNumberFormat="1" applyFont="1" applyFill="1" applyBorder="1"/>
    <xf numFmtId="2" fontId="20" fillId="3" borderId="0" xfId="0" applyNumberFormat="1" applyFont="1" applyFill="1" applyBorder="1"/>
    <xf numFmtId="0" fontId="20" fillId="3" borderId="0" xfId="0" applyFont="1" applyFill="1" applyBorder="1"/>
    <xf numFmtId="0" fontId="0" fillId="0" borderId="0" xfId="0" applyFill="1"/>
    <xf numFmtId="2" fontId="27" fillId="3" borderId="0" xfId="0" applyNumberFormat="1" applyFont="1" applyFill="1" applyBorder="1"/>
    <xf numFmtId="2" fontId="28" fillId="3" borderId="0" xfId="0" applyNumberFormat="1" applyFont="1" applyFill="1" applyBorder="1"/>
    <xf numFmtId="0" fontId="28" fillId="3" borderId="0" xfId="0" applyFont="1" applyFill="1" applyBorder="1"/>
    <xf numFmtId="0" fontId="17" fillId="8" borderId="0" xfId="0" applyFont="1" applyFill="1"/>
    <xf numFmtId="0" fontId="12" fillId="8" borderId="2" xfId="0" applyFont="1" applyFill="1" applyBorder="1" applyAlignment="1">
      <alignment horizontal="center" vertical="top" wrapText="1"/>
    </xf>
    <xf numFmtId="0" fontId="0" fillId="8" borderId="0" xfId="0" applyFill="1"/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top" wrapText="1"/>
    </xf>
    <xf numFmtId="0" fontId="12" fillId="0" borderId="7" xfId="0" applyFont="1" applyFill="1" applyBorder="1"/>
    <xf numFmtId="0" fontId="12" fillId="0" borderId="3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17" fillId="9" borderId="0" xfId="0" applyFont="1" applyFill="1"/>
    <xf numFmtId="0" fontId="0" fillId="9" borderId="0" xfId="0" applyFill="1"/>
    <xf numFmtId="2" fontId="12" fillId="10" borderId="5" xfId="0" applyNumberFormat="1" applyFont="1" applyFill="1" applyBorder="1" applyAlignment="1">
      <alignment horizontal="center" vertical="top" wrapText="1"/>
    </xf>
    <xf numFmtId="0" fontId="13" fillId="10" borderId="1" xfId="0" applyNumberFormat="1" applyFont="1" applyFill="1" applyBorder="1" applyAlignment="1">
      <alignment horizontal="center" vertical="top" wrapText="1"/>
    </xf>
    <xf numFmtId="2" fontId="12" fillId="10" borderId="1" xfId="0" applyNumberFormat="1" applyFont="1" applyFill="1" applyBorder="1" applyAlignment="1">
      <alignment horizontal="center" vertical="center" wrapText="1"/>
    </xf>
    <xf numFmtId="2" fontId="12" fillId="10" borderId="13" xfId="0" applyNumberFormat="1" applyFont="1" applyFill="1" applyBorder="1" applyAlignment="1">
      <alignment horizontal="center" vertical="center" wrapText="1"/>
    </xf>
    <xf numFmtId="2" fontId="12" fillId="10" borderId="1" xfId="0" applyNumberFormat="1" applyFont="1" applyFill="1" applyBorder="1" applyAlignment="1">
      <alignment horizontal="right" vertical="top" wrapText="1"/>
    </xf>
    <xf numFmtId="2" fontId="0" fillId="10" borderId="0" xfId="0" applyNumberFormat="1" applyFont="1" applyFill="1"/>
    <xf numFmtId="0" fontId="0" fillId="10" borderId="0" xfId="0" applyFill="1"/>
    <xf numFmtId="0" fontId="12" fillId="10" borderId="1" xfId="0" applyFont="1" applyFill="1" applyBorder="1" applyAlignment="1">
      <alignment horizontal="center" vertical="center" wrapText="1"/>
    </xf>
    <xf numFmtId="0" fontId="12" fillId="10" borderId="13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right" vertical="top" wrapText="1"/>
    </xf>
    <xf numFmtId="0" fontId="12" fillId="10" borderId="2" xfId="0" applyNumberFormat="1" applyFont="1" applyFill="1" applyBorder="1" applyAlignment="1">
      <alignment horizontal="center" vertical="center" wrapText="1"/>
    </xf>
    <xf numFmtId="0" fontId="12" fillId="10" borderId="14" xfId="0" applyNumberFormat="1" applyFont="1" applyFill="1" applyBorder="1" applyAlignment="1">
      <alignment horizontal="center" vertical="center" wrapText="1"/>
    </xf>
    <xf numFmtId="0" fontId="12" fillId="10" borderId="1" xfId="0" applyNumberFormat="1" applyFont="1" applyFill="1" applyBorder="1" applyAlignment="1">
      <alignment horizontal="center" vertical="center" wrapText="1"/>
    </xf>
    <xf numFmtId="0" fontId="12" fillId="10" borderId="1" xfId="0" applyNumberFormat="1" applyFont="1" applyFill="1" applyBorder="1" applyAlignment="1">
      <alignment horizontal="right" vertical="top" wrapText="1"/>
    </xf>
    <xf numFmtId="2" fontId="6" fillId="0" borderId="1" xfId="0" applyNumberFormat="1" applyFont="1" applyFill="1" applyBorder="1" applyAlignment="1">
      <alignment horizontal="center" vertical="center" wrapText="1"/>
    </xf>
    <xf numFmtId="2" fontId="12" fillId="10" borderId="6" xfId="0" applyNumberFormat="1" applyFont="1" applyFill="1" applyBorder="1" applyAlignment="1">
      <alignment horizontal="center" vertical="top" wrapText="1"/>
    </xf>
    <xf numFmtId="2" fontId="12" fillId="10" borderId="4" xfId="0" applyNumberFormat="1" applyFont="1" applyFill="1" applyBorder="1" applyAlignment="1">
      <alignment horizontal="center" vertical="top" wrapText="1"/>
    </xf>
    <xf numFmtId="2" fontId="22" fillId="10" borderId="5" xfId="0" applyNumberFormat="1" applyFont="1" applyFill="1" applyBorder="1" applyAlignment="1">
      <alignment horizontal="center" vertical="top" wrapText="1"/>
    </xf>
    <xf numFmtId="0" fontId="13" fillId="10" borderId="3" xfId="0" applyNumberFormat="1" applyFont="1" applyFill="1" applyBorder="1" applyAlignment="1">
      <alignment horizontal="center" vertical="top" wrapText="1"/>
    </xf>
    <xf numFmtId="0" fontId="13" fillId="10" borderId="2" xfId="0" applyNumberFormat="1" applyFont="1" applyFill="1" applyBorder="1" applyAlignment="1">
      <alignment horizontal="center" vertical="top" wrapText="1"/>
    </xf>
    <xf numFmtId="0" fontId="23" fillId="10" borderId="1" xfId="0" applyNumberFormat="1" applyFont="1" applyFill="1" applyBorder="1" applyAlignment="1">
      <alignment horizontal="center" vertical="top" wrapText="1"/>
    </xf>
    <xf numFmtId="0" fontId="13" fillId="10" borderId="17" xfId="0" applyNumberFormat="1" applyFont="1" applyFill="1" applyBorder="1" applyAlignment="1">
      <alignment horizontal="center" vertical="top" wrapText="1"/>
    </xf>
    <xf numFmtId="2" fontId="12" fillId="10" borderId="3" xfId="0" applyNumberFormat="1" applyFont="1" applyFill="1" applyBorder="1" applyAlignment="1">
      <alignment horizontal="center" vertical="center" wrapText="1"/>
    </xf>
    <xf numFmtId="0" fontId="22" fillId="10" borderId="1" xfId="0" applyNumberFormat="1" applyFont="1" applyFill="1" applyBorder="1" applyAlignment="1">
      <alignment horizontal="center" vertical="center" wrapText="1"/>
    </xf>
    <xf numFmtId="0" fontId="22" fillId="10" borderId="13" xfId="0" applyNumberFormat="1" applyFont="1" applyFill="1" applyBorder="1" applyAlignment="1">
      <alignment horizontal="center" vertical="center" wrapText="1"/>
    </xf>
    <xf numFmtId="0" fontId="12" fillId="10" borderId="13" xfId="0" applyNumberFormat="1" applyFont="1" applyFill="1" applyBorder="1" applyAlignment="1">
      <alignment horizontal="center" vertical="center" wrapText="1"/>
    </xf>
    <xf numFmtId="0" fontId="22" fillId="10" borderId="1" xfId="0" applyNumberFormat="1" applyFont="1" applyFill="1" applyBorder="1" applyAlignment="1">
      <alignment horizontal="right" vertical="top" wrapText="1"/>
    </xf>
    <xf numFmtId="2" fontId="0" fillId="10" borderId="0" xfId="0" applyNumberFormat="1" applyFont="1" applyFill="1" applyBorder="1"/>
    <xf numFmtId="2" fontId="0" fillId="10" borderId="0" xfId="0" applyNumberFormat="1" applyFill="1"/>
    <xf numFmtId="2" fontId="6" fillId="10" borderId="1" xfId="0" applyNumberFormat="1" applyFont="1" applyFill="1" applyBorder="1" applyAlignment="1">
      <alignment horizontal="center" vertical="center" wrapText="1"/>
    </xf>
    <xf numFmtId="2" fontId="6" fillId="10" borderId="3" xfId="0" applyNumberFormat="1" applyFont="1" applyFill="1" applyBorder="1" applyAlignment="1">
      <alignment horizontal="center" vertical="center" wrapText="1"/>
    </xf>
    <xf numFmtId="2" fontId="6" fillId="10" borderId="13" xfId="0" applyNumberFormat="1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top" wrapText="1"/>
    </xf>
    <xf numFmtId="2" fontId="6" fillId="0" borderId="3" xfId="0" applyNumberFormat="1" applyFont="1" applyFill="1" applyBorder="1" applyAlignment="1">
      <alignment horizontal="center" vertical="center" wrapText="1"/>
    </xf>
    <xf numFmtId="2" fontId="6" fillId="0" borderId="13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top" wrapText="1"/>
    </xf>
    <xf numFmtId="0" fontId="2" fillId="0" borderId="19" xfId="0" applyFont="1" applyBorder="1" applyAlignment="1">
      <alignment horizontal="center" vertical="top" wrapText="1"/>
    </xf>
    <xf numFmtId="0" fontId="2" fillId="0" borderId="20" xfId="0" applyFont="1" applyBorder="1" applyAlignment="1">
      <alignment horizontal="center" vertical="top" wrapText="1"/>
    </xf>
    <xf numFmtId="0" fontId="2" fillId="0" borderId="21" xfId="0" applyFont="1" applyBorder="1" applyAlignment="1">
      <alignment horizontal="center" vertical="top" wrapText="1"/>
    </xf>
    <xf numFmtId="0" fontId="2" fillId="0" borderId="22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2" fillId="0" borderId="23" xfId="0" applyFont="1" applyBorder="1" applyAlignment="1">
      <alignment horizontal="center" vertical="top" wrapText="1"/>
    </xf>
    <xf numFmtId="0" fontId="2" fillId="0" borderId="24" xfId="0" applyFont="1" applyBorder="1" applyAlignment="1">
      <alignment horizontal="center" vertical="top" wrapText="1"/>
    </xf>
    <xf numFmtId="0" fontId="2" fillId="0" borderId="25" xfId="0" applyFont="1" applyBorder="1" applyAlignment="1">
      <alignment horizontal="center" vertical="top" wrapText="1"/>
    </xf>
    <xf numFmtId="0" fontId="2" fillId="0" borderId="26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4" fillId="0" borderId="27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28" xfId="0" applyFont="1" applyBorder="1" applyAlignment="1">
      <alignment horizontal="center" vertical="top" wrapText="1"/>
    </xf>
    <xf numFmtId="0" fontId="2" fillId="0" borderId="29" xfId="0" applyFont="1" applyBorder="1" applyAlignment="1">
      <alignment horizontal="center" vertical="top" wrapText="1"/>
    </xf>
    <xf numFmtId="0" fontId="2" fillId="0" borderId="30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31" xfId="0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0" fontId="1" fillId="3" borderId="13" xfId="0" applyFont="1" applyFill="1" applyBorder="1" applyAlignment="1">
      <alignment horizontal="center" vertical="top" wrapText="1"/>
    </xf>
    <xf numFmtId="0" fontId="2" fillId="3" borderId="28" xfId="0" applyFont="1" applyFill="1" applyBorder="1" applyAlignment="1">
      <alignment horizontal="center" vertical="top" wrapText="1"/>
    </xf>
    <xf numFmtId="0" fontId="2" fillId="3" borderId="29" xfId="0" applyFont="1" applyFill="1" applyBorder="1" applyAlignment="1">
      <alignment horizontal="center" vertical="top" wrapText="1"/>
    </xf>
    <xf numFmtId="0" fontId="2" fillId="3" borderId="30" xfId="0" applyFont="1" applyFill="1" applyBorder="1" applyAlignment="1">
      <alignment horizontal="center" vertical="top" wrapText="1"/>
    </xf>
    <xf numFmtId="0" fontId="9" fillId="0" borderId="27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0" fontId="9" fillId="0" borderId="29" xfId="0" applyFont="1" applyBorder="1" applyAlignment="1">
      <alignment horizontal="center" vertical="top" wrapText="1"/>
    </xf>
    <xf numFmtId="0" fontId="9" fillId="0" borderId="30" xfId="0" applyFont="1" applyBorder="1" applyAlignment="1">
      <alignment horizontal="center" vertical="top" wrapText="1"/>
    </xf>
    <xf numFmtId="0" fontId="9" fillId="3" borderId="28" xfId="0" applyFont="1" applyFill="1" applyBorder="1" applyAlignment="1">
      <alignment horizontal="center" vertical="top" wrapText="1"/>
    </xf>
    <xf numFmtId="0" fontId="9" fillId="3" borderId="29" xfId="0" applyFont="1" applyFill="1" applyBorder="1" applyAlignment="1">
      <alignment horizontal="center" vertical="top" wrapText="1"/>
    </xf>
    <xf numFmtId="0" fontId="9" fillId="3" borderId="30" xfId="0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19" xfId="0" applyFont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1" xfId="0" applyFont="1" applyBorder="1" applyAlignment="1">
      <alignment horizontal="center" vertical="top" wrapText="1"/>
    </xf>
    <xf numFmtId="0" fontId="10" fillId="0" borderId="22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top" wrapText="1"/>
    </xf>
    <xf numFmtId="0" fontId="10" fillId="0" borderId="23" xfId="0" applyFont="1" applyBorder="1" applyAlignment="1">
      <alignment horizontal="center" vertical="top" wrapText="1"/>
    </xf>
    <xf numFmtId="0" fontId="10" fillId="0" borderId="24" xfId="0" applyFont="1" applyBorder="1" applyAlignment="1">
      <alignment horizontal="center" vertical="top" wrapText="1"/>
    </xf>
    <xf numFmtId="0" fontId="10" fillId="0" borderId="25" xfId="0" applyFont="1" applyBorder="1" applyAlignment="1">
      <alignment horizontal="center" vertical="top" wrapText="1"/>
    </xf>
    <xf numFmtId="0" fontId="10" fillId="0" borderId="26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" vertical="top" wrapText="1"/>
    </xf>
    <xf numFmtId="0" fontId="10" fillId="0" borderId="29" xfId="0" applyFont="1" applyBorder="1" applyAlignment="1">
      <alignment horizontal="center" vertical="top" wrapText="1"/>
    </xf>
    <xf numFmtId="0" fontId="10" fillId="0" borderId="30" xfId="0" applyFont="1" applyBorder="1" applyAlignment="1">
      <alignment horizontal="center" vertical="top" wrapText="1"/>
    </xf>
    <xf numFmtId="0" fontId="10" fillId="3" borderId="28" xfId="0" applyFont="1" applyFill="1" applyBorder="1" applyAlignment="1">
      <alignment horizontal="center" vertical="top" wrapText="1"/>
    </xf>
    <xf numFmtId="0" fontId="10" fillId="3" borderId="29" xfId="0" applyFont="1" applyFill="1" applyBorder="1" applyAlignment="1">
      <alignment horizontal="center" vertical="top" wrapText="1"/>
    </xf>
    <xf numFmtId="0" fontId="10" fillId="3" borderId="30" xfId="0" applyFont="1" applyFill="1" applyBorder="1" applyAlignment="1">
      <alignment horizontal="center" vertical="top" wrapText="1"/>
    </xf>
    <xf numFmtId="0" fontId="10" fillId="3" borderId="0" xfId="0" applyFont="1" applyFill="1" applyBorder="1" applyAlignment="1">
      <alignment horizontal="right" vertical="top" wrapText="1"/>
    </xf>
    <xf numFmtId="0" fontId="1" fillId="3" borderId="18" xfId="0" applyFont="1" applyFill="1" applyBorder="1" applyAlignment="1">
      <alignment horizontal="center" vertical="top" wrapText="1"/>
    </xf>
    <xf numFmtId="0" fontId="1" fillId="3" borderId="31" xfId="0" applyFont="1" applyFill="1" applyBorder="1" applyAlignment="1">
      <alignment horizontal="center" vertical="top" wrapText="1"/>
    </xf>
    <xf numFmtId="0" fontId="1" fillId="3" borderId="15" xfId="0" applyFont="1" applyFill="1" applyBorder="1" applyAlignment="1">
      <alignment horizontal="center" vertical="top" wrapText="1"/>
    </xf>
    <xf numFmtId="2" fontId="1" fillId="3" borderId="13" xfId="0" applyNumberFormat="1" applyFont="1" applyFill="1" applyBorder="1" applyAlignment="1">
      <alignment horizontal="center" vertical="top" wrapText="1"/>
    </xf>
    <xf numFmtId="0" fontId="10" fillId="3" borderId="19" xfId="0" applyFont="1" applyFill="1" applyBorder="1" applyAlignment="1">
      <alignment horizontal="center" vertical="top" wrapText="1"/>
    </xf>
    <xf numFmtId="0" fontId="10" fillId="3" borderId="20" xfId="0" applyFont="1" applyFill="1" applyBorder="1" applyAlignment="1">
      <alignment horizontal="center" vertical="top" wrapText="1"/>
    </xf>
    <xf numFmtId="0" fontId="10" fillId="3" borderId="21" xfId="0" applyFont="1" applyFill="1" applyBorder="1" applyAlignment="1">
      <alignment horizontal="center" vertical="top" wrapText="1"/>
    </xf>
    <xf numFmtId="0" fontId="10" fillId="3" borderId="22" xfId="0" applyFont="1" applyFill="1" applyBorder="1" applyAlignment="1">
      <alignment horizontal="center" vertical="top" wrapText="1"/>
    </xf>
    <xf numFmtId="0" fontId="10" fillId="3" borderId="0" xfId="0" applyFont="1" applyFill="1" applyBorder="1" applyAlignment="1">
      <alignment horizontal="center" vertical="top" wrapText="1"/>
    </xf>
    <xf numFmtId="0" fontId="10" fillId="3" borderId="23" xfId="0" applyFont="1" applyFill="1" applyBorder="1" applyAlignment="1">
      <alignment horizontal="center" vertical="top" wrapText="1"/>
    </xf>
    <xf numFmtId="0" fontId="10" fillId="3" borderId="24" xfId="0" applyFont="1" applyFill="1" applyBorder="1" applyAlignment="1">
      <alignment horizontal="center" vertical="top" wrapText="1"/>
    </xf>
    <xf numFmtId="0" fontId="10" fillId="3" borderId="25" xfId="0" applyFont="1" applyFill="1" applyBorder="1" applyAlignment="1">
      <alignment horizontal="center" vertical="top" wrapText="1"/>
    </xf>
    <xf numFmtId="0" fontId="10" fillId="3" borderId="26" xfId="0" applyFont="1" applyFill="1" applyBorder="1" applyAlignment="1">
      <alignment horizontal="center" vertical="top" wrapText="1"/>
    </xf>
    <xf numFmtId="0" fontId="10" fillId="3" borderId="27" xfId="0" applyFont="1" applyFill="1" applyBorder="1" applyAlignment="1">
      <alignment horizontal="center" vertical="top" wrapText="1"/>
    </xf>
    <xf numFmtId="0" fontId="10" fillId="3" borderId="2" xfId="0" applyFont="1" applyFill="1" applyBorder="1" applyAlignment="1">
      <alignment horizontal="center" vertical="top" wrapText="1"/>
    </xf>
    <xf numFmtId="2" fontId="10" fillId="3" borderId="28" xfId="0" applyNumberFormat="1" applyFont="1" applyFill="1" applyBorder="1" applyAlignment="1">
      <alignment horizontal="center" vertical="top" wrapText="1"/>
    </xf>
    <xf numFmtId="2" fontId="10" fillId="3" borderId="29" xfId="0" applyNumberFormat="1" applyFont="1" applyFill="1" applyBorder="1" applyAlignment="1">
      <alignment horizontal="center" vertical="top" wrapText="1"/>
    </xf>
    <xf numFmtId="2" fontId="10" fillId="3" borderId="30" xfId="0" applyNumberFormat="1" applyFont="1" applyFill="1" applyBorder="1" applyAlignment="1">
      <alignment horizontal="center" vertical="top" wrapText="1"/>
    </xf>
    <xf numFmtId="0" fontId="10" fillId="3" borderId="1" xfId="0" applyFont="1" applyFill="1" applyBorder="1" applyAlignment="1">
      <alignment horizontal="right" vertical="top" wrapText="1"/>
    </xf>
    <xf numFmtId="2" fontId="1" fillId="10" borderId="13" xfId="0" applyNumberFormat="1" applyFont="1" applyFill="1" applyBorder="1" applyAlignment="1">
      <alignment horizontal="center" vertical="top" wrapText="1"/>
    </xf>
    <xf numFmtId="2" fontId="10" fillId="10" borderId="28" xfId="0" applyNumberFormat="1" applyFont="1" applyFill="1" applyBorder="1" applyAlignment="1">
      <alignment horizontal="center" vertical="top" wrapText="1"/>
    </xf>
    <xf numFmtId="2" fontId="10" fillId="10" borderId="29" xfId="0" applyNumberFormat="1" applyFont="1" applyFill="1" applyBorder="1" applyAlignment="1">
      <alignment horizontal="center" vertical="top" wrapText="1"/>
    </xf>
    <xf numFmtId="2" fontId="10" fillId="10" borderId="30" xfId="0" applyNumberFormat="1" applyFont="1" applyFill="1" applyBorder="1" applyAlignment="1">
      <alignment horizontal="center" vertical="top" wrapText="1"/>
    </xf>
    <xf numFmtId="0" fontId="17" fillId="0" borderId="0" xfId="0" applyFont="1" applyFill="1"/>
    <xf numFmtId="0" fontId="1" fillId="0" borderId="18" xfId="0" applyFont="1" applyFill="1" applyBorder="1" applyAlignment="1">
      <alignment horizontal="center" vertical="top" wrapText="1"/>
    </xf>
    <xf numFmtId="0" fontId="1" fillId="0" borderId="31" xfId="0" applyFont="1" applyFill="1" applyBorder="1" applyAlignment="1">
      <alignment horizontal="center" vertical="top" wrapText="1"/>
    </xf>
    <xf numFmtId="0" fontId="1" fillId="0" borderId="15" xfId="0" applyFont="1" applyFill="1" applyBorder="1" applyAlignment="1">
      <alignment horizontal="center" vertical="top" wrapText="1"/>
    </xf>
    <xf numFmtId="2" fontId="1" fillId="0" borderId="13" xfId="0" applyNumberFormat="1" applyFont="1" applyFill="1" applyBorder="1" applyAlignment="1">
      <alignment horizontal="center" vertical="top" wrapText="1"/>
    </xf>
    <xf numFmtId="0" fontId="10" fillId="0" borderId="19" xfId="0" applyFont="1" applyFill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10" fillId="0" borderId="21" xfId="0" applyFont="1" applyFill="1" applyBorder="1" applyAlignment="1">
      <alignment horizontal="center" vertical="top" wrapText="1"/>
    </xf>
    <xf numFmtId="0" fontId="10" fillId="0" borderId="22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top" wrapText="1"/>
    </xf>
    <xf numFmtId="0" fontId="10" fillId="0" borderId="23" xfId="0" applyFont="1" applyFill="1" applyBorder="1" applyAlignment="1">
      <alignment horizontal="center" vertical="top" wrapText="1"/>
    </xf>
    <xf numFmtId="0" fontId="10" fillId="0" borderId="24" xfId="0" applyFont="1" applyFill="1" applyBorder="1" applyAlignment="1">
      <alignment horizontal="center" vertical="top" wrapText="1"/>
    </xf>
    <xf numFmtId="0" fontId="10" fillId="0" borderId="25" xfId="0" applyFont="1" applyFill="1" applyBorder="1" applyAlignment="1">
      <alignment horizontal="center" vertical="top" wrapText="1"/>
    </xf>
    <xf numFmtId="0" fontId="10" fillId="0" borderId="26" xfId="0" applyFont="1" applyFill="1" applyBorder="1" applyAlignment="1">
      <alignment horizontal="center" vertical="top" wrapText="1"/>
    </xf>
    <xf numFmtId="0" fontId="10" fillId="0" borderId="27" xfId="0" applyFont="1" applyFill="1" applyBorder="1" applyAlignment="1">
      <alignment horizontal="center" vertical="top" wrapText="1"/>
    </xf>
    <xf numFmtId="0" fontId="10" fillId="0" borderId="28" xfId="0" applyFont="1" applyFill="1" applyBorder="1" applyAlignment="1">
      <alignment horizontal="center" vertical="top" wrapText="1"/>
    </xf>
    <xf numFmtId="0" fontId="10" fillId="0" borderId="29" xfId="0" applyFont="1" applyFill="1" applyBorder="1" applyAlignment="1">
      <alignment horizontal="center" vertical="top" wrapText="1"/>
    </xf>
    <xf numFmtId="0" fontId="10" fillId="0" borderId="30" xfId="0" applyFont="1" applyFill="1" applyBorder="1" applyAlignment="1">
      <alignment horizontal="center" vertical="top" wrapText="1"/>
    </xf>
    <xf numFmtId="2" fontId="10" fillId="0" borderId="28" xfId="0" applyNumberFormat="1" applyFont="1" applyFill="1" applyBorder="1" applyAlignment="1">
      <alignment horizontal="center" vertical="top" wrapText="1"/>
    </xf>
    <xf numFmtId="2" fontId="10" fillId="0" borderId="29" xfId="0" applyNumberFormat="1" applyFont="1" applyFill="1" applyBorder="1" applyAlignment="1">
      <alignment horizontal="center" vertical="top" wrapText="1"/>
    </xf>
    <xf numFmtId="2" fontId="10" fillId="0" borderId="30" xfId="0" applyNumberFormat="1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0" fontId="12" fillId="0" borderId="6" xfId="0" applyFont="1" applyFill="1" applyBorder="1" applyAlignment="1">
      <alignment horizontal="center" vertical="top" wrapText="1"/>
    </xf>
    <xf numFmtId="0" fontId="12" fillId="0" borderId="4" xfId="0" applyFont="1" applyFill="1" applyBorder="1" applyAlignment="1">
      <alignment horizontal="center" vertical="top" wrapText="1"/>
    </xf>
    <xf numFmtId="0" fontId="13" fillId="0" borderId="2" xfId="0" applyFont="1" applyFill="1" applyBorder="1" applyAlignment="1">
      <alignment horizontal="center" vertical="top" wrapText="1"/>
    </xf>
    <xf numFmtId="0" fontId="13" fillId="0" borderId="3" xfId="0" applyFont="1" applyFill="1" applyBorder="1" applyAlignment="1">
      <alignment horizontal="center" vertical="top" wrapText="1"/>
    </xf>
    <xf numFmtId="0" fontId="13" fillId="0" borderId="17" xfId="0" applyNumberFormat="1" applyFont="1" applyFill="1" applyBorder="1" applyAlignment="1">
      <alignment horizontal="center" vertical="top" wrapText="1"/>
    </xf>
    <xf numFmtId="0" fontId="12" fillId="0" borderId="2" xfId="0" applyFont="1" applyFill="1" applyBorder="1" applyAlignment="1">
      <alignment horizontal="center" vertical="top" wrapText="1"/>
    </xf>
    <xf numFmtId="0" fontId="12" fillId="0" borderId="1" xfId="0" applyFont="1" applyFill="1" applyBorder="1"/>
    <xf numFmtId="0" fontId="15" fillId="0" borderId="3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/>
    </xf>
    <xf numFmtId="0" fontId="12" fillId="0" borderId="7" xfId="0" applyFont="1" applyFill="1" applyBorder="1" applyAlignment="1">
      <alignment horizontal="left" vertical="center"/>
    </xf>
    <xf numFmtId="0" fontId="12" fillId="0" borderId="7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top" wrapText="1"/>
    </xf>
    <xf numFmtId="0" fontId="15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12" fillId="0" borderId="14" xfId="0" applyFont="1" applyFill="1" applyBorder="1" applyAlignment="1">
      <alignment horizontal="center" vertical="top" wrapText="1"/>
    </xf>
    <xf numFmtId="0" fontId="12" fillId="0" borderId="13" xfId="0" applyFont="1" applyFill="1" applyBorder="1"/>
    <xf numFmtId="0" fontId="12" fillId="0" borderId="13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left" vertical="top" wrapText="1"/>
    </xf>
    <xf numFmtId="0" fontId="12" fillId="0" borderId="15" xfId="0" applyFont="1" applyFill="1" applyBorder="1" applyAlignment="1">
      <alignment horizontal="left" vertical="center"/>
    </xf>
    <xf numFmtId="0" fontId="12" fillId="0" borderId="16" xfId="0" applyFont="1" applyFill="1" applyBorder="1" applyAlignment="1">
      <alignment horizontal="left" vertical="top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right" vertical="top" wrapText="1"/>
    </xf>
    <xf numFmtId="2" fontId="27" fillId="0" borderId="0" xfId="0" applyNumberFormat="1" applyFont="1" applyFill="1" applyBorder="1"/>
    <xf numFmtId="2" fontId="28" fillId="0" borderId="0" xfId="0" applyNumberFormat="1" applyFont="1" applyFill="1" applyBorder="1"/>
    <xf numFmtId="0" fontId="28" fillId="0" borderId="0" xfId="0" applyFont="1" applyFill="1" applyBorder="1"/>
    <xf numFmtId="2" fontId="0" fillId="0" borderId="0" xfId="0" applyNumberFormat="1" applyFont="1" applyFill="1" applyBorder="1"/>
  </cellXfs>
  <cellStyles count="1">
    <cellStyle name="Обычный" xfId="0" builtinId="0"/>
  </cellStyles>
  <dxfs count="449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7"/>
  <sheetViews>
    <sheetView topLeftCell="D1" zoomScale="80" zoomScaleNormal="80" workbookViewId="0">
      <selection activeCell="O7" sqref="O7:T7"/>
    </sheetView>
  </sheetViews>
  <sheetFormatPr defaultRowHeight="15" x14ac:dyDescent="0.25"/>
  <cols>
    <col min="2" max="2" width="40.5703125" customWidth="1"/>
    <col min="3" max="3" width="20.140625" customWidth="1"/>
    <col min="4" max="4" width="19.7109375" customWidth="1"/>
    <col min="5" max="5" width="28" customWidth="1"/>
    <col min="6" max="6" width="20.85546875" customWidth="1"/>
    <col min="7" max="7" width="20.28515625" customWidth="1"/>
    <col min="8" max="8" width="18.7109375" customWidth="1"/>
    <col min="9" max="9" width="17.5703125" customWidth="1"/>
    <col min="10" max="10" width="18" customWidth="1"/>
    <col min="11" max="11" width="15.5703125" customWidth="1"/>
    <col min="12" max="12" width="16.28515625" customWidth="1"/>
    <col min="13" max="13" width="16.140625" customWidth="1"/>
    <col min="14" max="14" width="17.5703125" customWidth="1"/>
    <col min="15" max="15" width="18.7109375" customWidth="1"/>
    <col min="16" max="16" width="18.5703125" customWidth="1"/>
    <col min="17" max="18" width="19.140625" customWidth="1"/>
    <col min="19" max="19" width="16.7109375" customWidth="1"/>
    <col min="20" max="20" width="17.85546875" customWidth="1"/>
  </cols>
  <sheetData>
    <row r="1" spans="1:20" ht="73.5" customHeight="1" thickBot="1" x14ac:dyDescent="0.3">
      <c r="A1" s="310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2"/>
      <c r="R1" s="304" t="s">
        <v>17</v>
      </c>
      <c r="S1" s="304"/>
      <c r="T1" s="304"/>
    </row>
    <row r="2" spans="1:20" x14ac:dyDescent="0.25">
      <c r="A2" s="295" t="s">
        <v>127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7"/>
    </row>
    <row r="3" spans="1:20" ht="47.25" customHeight="1" thickBot="1" x14ac:dyDescent="0.3">
      <c r="A3" s="298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300"/>
    </row>
    <row r="4" spans="1:20" ht="14.25" hidden="1" customHeight="1" x14ac:dyDescent="0.25">
      <c r="A4" s="298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300"/>
    </row>
    <row r="5" spans="1:20" ht="14.25" hidden="1" customHeight="1" x14ac:dyDescent="0.25">
      <c r="A5" s="298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300"/>
    </row>
    <row r="6" spans="1:20" ht="15.75" hidden="1" thickBot="1" x14ac:dyDescent="0.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3"/>
    </row>
    <row r="7" spans="1:20" ht="66" customHeight="1" thickBot="1" x14ac:dyDescent="0.3">
      <c r="A7" s="305" t="s">
        <v>0</v>
      </c>
      <c r="B7" s="307" t="s">
        <v>1</v>
      </c>
      <c r="C7" s="308"/>
      <c r="D7" s="308"/>
      <c r="E7" s="308"/>
      <c r="F7" s="309"/>
      <c r="G7" s="307" t="s">
        <v>2</v>
      </c>
      <c r="H7" s="308"/>
      <c r="I7" s="308"/>
      <c r="J7" s="308"/>
      <c r="K7" s="308"/>
      <c r="L7" s="308"/>
      <c r="M7" s="308"/>
      <c r="N7" s="309"/>
      <c r="O7" s="307" t="s">
        <v>3</v>
      </c>
      <c r="P7" s="308"/>
      <c r="Q7" s="308"/>
      <c r="R7" s="308"/>
      <c r="S7" s="308"/>
      <c r="T7" s="309"/>
    </row>
    <row r="8" spans="1:20" ht="114" customHeight="1" x14ac:dyDescent="0.25">
      <c r="A8" s="306"/>
      <c r="B8" s="8" t="s">
        <v>4</v>
      </c>
      <c r="C8" s="8" t="s">
        <v>5</v>
      </c>
      <c r="D8" s="8" t="s">
        <v>6</v>
      </c>
      <c r="E8" s="8" t="s">
        <v>7</v>
      </c>
      <c r="F8" s="9" t="s">
        <v>8</v>
      </c>
      <c r="G8" s="7" t="s">
        <v>9</v>
      </c>
      <c r="H8" s="8" t="s">
        <v>10</v>
      </c>
      <c r="I8" s="8" t="s">
        <v>11</v>
      </c>
      <c r="J8" s="8" t="s">
        <v>12</v>
      </c>
      <c r="K8" s="8" t="s">
        <v>13</v>
      </c>
      <c r="L8" s="8" t="s">
        <v>14</v>
      </c>
      <c r="M8" s="8" t="s">
        <v>15</v>
      </c>
      <c r="N8" s="9" t="s">
        <v>16</v>
      </c>
      <c r="O8" s="7" t="s">
        <v>11</v>
      </c>
      <c r="P8" s="8" t="s">
        <v>12</v>
      </c>
      <c r="Q8" s="8" t="s">
        <v>13</v>
      </c>
      <c r="R8" s="8" t="s">
        <v>14</v>
      </c>
      <c r="S8" s="8" t="s">
        <v>15</v>
      </c>
      <c r="T8" s="9" t="s">
        <v>16</v>
      </c>
    </row>
    <row r="9" spans="1:20" x14ac:dyDescent="0.25">
      <c r="A9" s="4">
        <v>1</v>
      </c>
      <c r="B9" s="1">
        <v>2</v>
      </c>
      <c r="C9" s="1">
        <v>3</v>
      </c>
      <c r="D9" s="1">
        <v>4</v>
      </c>
      <c r="E9" s="1">
        <v>5</v>
      </c>
      <c r="F9" s="5">
        <v>6</v>
      </c>
      <c r="G9" s="4">
        <f>F9+1</f>
        <v>7</v>
      </c>
      <c r="H9" s="1">
        <f t="shared" ref="H9:T9" si="0">G9+1</f>
        <v>8</v>
      </c>
      <c r="I9" s="1">
        <f t="shared" si="0"/>
        <v>9</v>
      </c>
      <c r="J9" s="1">
        <f t="shared" si="0"/>
        <v>10</v>
      </c>
      <c r="K9" s="1">
        <f t="shared" si="0"/>
        <v>11</v>
      </c>
      <c r="L9" s="1">
        <f t="shared" si="0"/>
        <v>12</v>
      </c>
      <c r="M9" s="1">
        <f t="shared" si="0"/>
        <v>13</v>
      </c>
      <c r="N9" s="5">
        <f t="shared" si="0"/>
        <v>14</v>
      </c>
      <c r="O9" s="4">
        <f t="shared" si="0"/>
        <v>15</v>
      </c>
      <c r="P9" s="1">
        <f t="shared" si="0"/>
        <v>16</v>
      </c>
      <c r="Q9" s="1">
        <f t="shared" si="0"/>
        <v>17</v>
      </c>
      <c r="R9" s="1">
        <f t="shared" si="0"/>
        <v>18</v>
      </c>
      <c r="S9" s="1">
        <f t="shared" si="0"/>
        <v>19</v>
      </c>
      <c r="T9" s="5">
        <f t="shared" si="0"/>
        <v>20</v>
      </c>
    </row>
    <row r="10" spans="1:20" ht="15.75" x14ac:dyDescent="0.25">
      <c r="A10" s="3">
        <v>1</v>
      </c>
      <c r="B10" s="10" t="s">
        <v>18</v>
      </c>
      <c r="C10" s="15" t="s">
        <v>124</v>
      </c>
      <c r="D10" s="2"/>
      <c r="E10" s="16" t="s">
        <v>105</v>
      </c>
      <c r="F10" s="6"/>
      <c r="G10" s="26">
        <v>1</v>
      </c>
      <c r="H10" s="24"/>
      <c r="I10" s="24"/>
      <c r="J10" s="24"/>
      <c r="K10" s="24"/>
      <c r="L10" s="24"/>
      <c r="M10" s="24"/>
      <c r="N10" s="25">
        <f xml:space="preserve"> (L10-M10)</f>
        <v>0</v>
      </c>
      <c r="O10" s="26"/>
      <c r="P10" s="24"/>
      <c r="Q10" s="24"/>
      <c r="R10" s="24"/>
      <c r="S10" s="24"/>
      <c r="T10" s="25">
        <f xml:space="preserve"> (R10-S10)</f>
        <v>0</v>
      </c>
    </row>
    <row r="11" spans="1:20" ht="15.75" x14ac:dyDescent="0.25">
      <c r="A11" s="3">
        <f>A10+1</f>
        <v>2</v>
      </c>
      <c r="B11" s="10" t="s">
        <v>19</v>
      </c>
      <c r="C11" s="15" t="s">
        <v>124</v>
      </c>
      <c r="D11" s="2"/>
      <c r="E11" s="17" t="s">
        <v>106</v>
      </c>
      <c r="F11" s="6"/>
      <c r="G11" s="26"/>
      <c r="H11" s="24"/>
      <c r="I11" s="24"/>
      <c r="J11" s="24"/>
      <c r="K11" s="24"/>
      <c r="L11" s="24"/>
      <c r="M11" s="24"/>
      <c r="N11" s="25">
        <f t="shared" ref="N11:N74" si="1" xml:space="preserve"> (L11-M11)</f>
        <v>0</v>
      </c>
      <c r="O11" s="26"/>
      <c r="P11" s="24"/>
      <c r="Q11" s="24"/>
      <c r="R11" s="24"/>
      <c r="S11" s="24"/>
      <c r="T11" s="25">
        <f t="shared" ref="T11:T74" si="2" xml:space="preserve"> (R11-S11)</f>
        <v>0</v>
      </c>
    </row>
    <row r="12" spans="1:20" ht="15.75" x14ac:dyDescent="0.25">
      <c r="A12" s="3">
        <f t="shared" ref="A12:A75" si="3">A11+1</f>
        <v>3</v>
      </c>
      <c r="B12" s="11" t="s">
        <v>20</v>
      </c>
      <c r="C12" s="15" t="s">
        <v>124</v>
      </c>
      <c r="D12" s="2"/>
      <c r="E12" s="17" t="s">
        <v>107</v>
      </c>
      <c r="F12" s="6"/>
      <c r="G12" s="26"/>
      <c r="H12" s="24"/>
      <c r="I12" s="24"/>
      <c r="J12" s="24"/>
      <c r="K12" s="24"/>
      <c r="L12" s="24"/>
      <c r="M12" s="24"/>
      <c r="N12" s="25">
        <f t="shared" si="1"/>
        <v>0</v>
      </c>
      <c r="O12" s="26"/>
      <c r="P12" s="24"/>
      <c r="Q12" s="24"/>
      <c r="R12" s="24"/>
      <c r="S12" s="24"/>
      <c r="T12" s="25">
        <f t="shared" si="2"/>
        <v>0</v>
      </c>
    </row>
    <row r="13" spans="1:20" ht="15.75" x14ac:dyDescent="0.25">
      <c r="A13" s="3">
        <f t="shared" si="3"/>
        <v>4</v>
      </c>
      <c r="B13" s="11" t="s">
        <v>21</v>
      </c>
      <c r="C13" s="15" t="s">
        <v>124</v>
      </c>
      <c r="D13" s="2"/>
      <c r="E13" s="17" t="s">
        <v>108</v>
      </c>
      <c r="F13" s="6"/>
      <c r="G13" s="26"/>
      <c r="H13" s="24"/>
      <c r="I13" s="24"/>
      <c r="J13" s="24"/>
      <c r="K13" s="24"/>
      <c r="L13" s="24"/>
      <c r="M13" s="24"/>
      <c r="N13" s="25">
        <f t="shared" si="1"/>
        <v>0</v>
      </c>
      <c r="O13" s="26"/>
      <c r="P13" s="24"/>
      <c r="Q13" s="24"/>
      <c r="R13" s="24"/>
      <c r="S13" s="24"/>
      <c r="T13" s="25">
        <f t="shared" si="2"/>
        <v>0</v>
      </c>
    </row>
    <row r="14" spans="1:20" ht="15.75" x14ac:dyDescent="0.25">
      <c r="A14" s="3">
        <f t="shared" si="3"/>
        <v>5</v>
      </c>
      <c r="B14" s="10" t="s">
        <v>22</v>
      </c>
      <c r="C14" s="15" t="s">
        <v>124</v>
      </c>
      <c r="D14" s="2"/>
      <c r="E14" s="17" t="s">
        <v>106</v>
      </c>
      <c r="F14" s="6"/>
      <c r="G14" s="26">
        <v>1</v>
      </c>
      <c r="H14" s="24"/>
      <c r="I14" s="24"/>
      <c r="J14" s="24"/>
      <c r="K14" s="24"/>
      <c r="L14" s="24"/>
      <c r="M14" s="24"/>
      <c r="N14" s="25">
        <f t="shared" si="1"/>
        <v>0</v>
      </c>
      <c r="O14" s="26"/>
      <c r="P14" s="24"/>
      <c r="Q14" s="24"/>
      <c r="R14" s="24"/>
      <c r="S14" s="24"/>
      <c r="T14" s="25">
        <f t="shared" si="2"/>
        <v>0</v>
      </c>
    </row>
    <row r="15" spans="1:20" ht="15.75" x14ac:dyDescent="0.25">
      <c r="A15" s="3">
        <f t="shared" si="3"/>
        <v>6</v>
      </c>
      <c r="B15" s="10" t="s">
        <v>23</v>
      </c>
      <c r="C15" s="15" t="s">
        <v>124</v>
      </c>
      <c r="D15" s="2"/>
      <c r="E15" s="17" t="s">
        <v>106</v>
      </c>
      <c r="F15" s="6"/>
      <c r="G15" s="26"/>
      <c r="H15" s="24"/>
      <c r="I15" s="24"/>
      <c r="J15" s="24"/>
      <c r="K15" s="24"/>
      <c r="L15" s="24"/>
      <c r="M15" s="24"/>
      <c r="N15" s="25">
        <f t="shared" si="1"/>
        <v>0</v>
      </c>
      <c r="O15" s="26"/>
      <c r="P15" s="24"/>
      <c r="Q15" s="24"/>
      <c r="R15" s="24"/>
      <c r="S15" s="24"/>
      <c r="T15" s="25">
        <f t="shared" si="2"/>
        <v>0</v>
      </c>
    </row>
    <row r="16" spans="1:20" ht="15.75" x14ac:dyDescent="0.25">
      <c r="A16" s="3">
        <f t="shared" si="3"/>
        <v>7</v>
      </c>
      <c r="B16" s="10" t="s">
        <v>24</v>
      </c>
      <c r="C16" s="15" t="s">
        <v>124</v>
      </c>
      <c r="D16" s="2"/>
      <c r="E16" s="17" t="s">
        <v>109</v>
      </c>
      <c r="F16" s="6"/>
      <c r="G16" s="26">
        <v>1</v>
      </c>
      <c r="H16" s="24"/>
      <c r="I16" s="24"/>
      <c r="J16" s="24"/>
      <c r="K16" s="24"/>
      <c r="L16" s="24"/>
      <c r="M16" s="24"/>
      <c r="N16" s="25">
        <f t="shared" si="1"/>
        <v>0</v>
      </c>
      <c r="O16" s="26"/>
      <c r="P16" s="24"/>
      <c r="Q16" s="24"/>
      <c r="R16" s="24"/>
      <c r="S16" s="24"/>
      <c r="T16" s="25">
        <f t="shared" si="2"/>
        <v>0</v>
      </c>
    </row>
    <row r="17" spans="1:20" ht="15" customHeight="1" x14ac:dyDescent="0.25">
      <c r="A17" s="3">
        <f t="shared" si="3"/>
        <v>8</v>
      </c>
      <c r="B17" s="10" t="s">
        <v>25</v>
      </c>
      <c r="C17" s="15" t="s">
        <v>124</v>
      </c>
      <c r="D17" s="2"/>
      <c r="E17" s="18" t="s">
        <v>110</v>
      </c>
      <c r="F17" s="6"/>
      <c r="G17" s="26"/>
      <c r="H17" s="24"/>
      <c r="I17" s="24"/>
      <c r="J17" s="24"/>
      <c r="K17" s="24"/>
      <c r="L17" s="24"/>
      <c r="M17" s="24"/>
      <c r="N17" s="25">
        <f t="shared" si="1"/>
        <v>0</v>
      </c>
      <c r="O17" s="26"/>
      <c r="P17" s="24"/>
      <c r="Q17" s="24"/>
      <c r="R17" s="24"/>
      <c r="S17" s="24"/>
      <c r="T17" s="25">
        <f t="shared" si="2"/>
        <v>0</v>
      </c>
    </row>
    <row r="18" spans="1:20" ht="15.75" x14ac:dyDescent="0.25">
      <c r="A18" s="3">
        <f t="shared" si="3"/>
        <v>9</v>
      </c>
      <c r="B18" s="12" t="s">
        <v>26</v>
      </c>
      <c r="C18" s="15" t="s">
        <v>124</v>
      </c>
      <c r="D18" s="2"/>
      <c r="E18" s="19" t="s">
        <v>107</v>
      </c>
      <c r="F18" s="6"/>
      <c r="G18" s="26">
        <v>1</v>
      </c>
      <c r="H18" s="24"/>
      <c r="I18" s="24"/>
      <c r="J18" s="24"/>
      <c r="K18" s="24"/>
      <c r="L18" s="24"/>
      <c r="M18" s="24"/>
      <c r="N18" s="25">
        <f t="shared" si="1"/>
        <v>0</v>
      </c>
      <c r="O18" s="26"/>
      <c r="P18" s="24"/>
      <c r="Q18" s="24"/>
      <c r="R18" s="24"/>
      <c r="S18" s="24"/>
      <c r="T18" s="25">
        <f t="shared" si="2"/>
        <v>0</v>
      </c>
    </row>
    <row r="19" spans="1:20" ht="15.75" x14ac:dyDescent="0.25">
      <c r="A19" s="3">
        <f t="shared" si="3"/>
        <v>10</v>
      </c>
      <c r="B19" s="11" t="s">
        <v>27</v>
      </c>
      <c r="C19" s="15" t="s">
        <v>124</v>
      </c>
      <c r="D19" s="2"/>
      <c r="E19" s="17" t="s">
        <v>111</v>
      </c>
      <c r="F19" s="6"/>
      <c r="G19" s="26">
        <v>2</v>
      </c>
      <c r="H19" s="24"/>
      <c r="I19" s="24"/>
      <c r="J19" s="24"/>
      <c r="K19" s="24"/>
      <c r="L19" s="24"/>
      <c r="M19" s="24"/>
      <c r="N19" s="25">
        <f t="shared" si="1"/>
        <v>0</v>
      </c>
      <c r="O19" s="26"/>
      <c r="P19" s="24"/>
      <c r="Q19" s="24"/>
      <c r="R19" s="24"/>
      <c r="S19" s="24"/>
      <c r="T19" s="25">
        <f t="shared" si="2"/>
        <v>0</v>
      </c>
    </row>
    <row r="20" spans="1:20" ht="15.75" x14ac:dyDescent="0.25">
      <c r="A20" s="3">
        <f t="shared" si="3"/>
        <v>11</v>
      </c>
      <c r="B20" s="10" t="s">
        <v>28</v>
      </c>
      <c r="C20" s="15" t="s">
        <v>124</v>
      </c>
      <c r="D20" s="2"/>
      <c r="E20" s="17" t="s">
        <v>106</v>
      </c>
      <c r="F20" s="6"/>
      <c r="G20" s="26"/>
      <c r="H20" s="24"/>
      <c r="I20" s="24"/>
      <c r="J20" s="24"/>
      <c r="K20" s="24"/>
      <c r="L20" s="24"/>
      <c r="M20" s="24"/>
      <c r="N20" s="25">
        <f t="shared" si="1"/>
        <v>0</v>
      </c>
      <c r="O20" s="26"/>
      <c r="P20" s="24"/>
      <c r="Q20" s="24"/>
      <c r="R20" s="24"/>
      <c r="S20" s="24"/>
      <c r="T20" s="25">
        <f t="shared" si="2"/>
        <v>0</v>
      </c>
    </row>
    <row r="21" spans="1:20" ht="15.75" x14ac:dyDescent="0.25">
      <c r="A21" s="3">
        <f t="shared" si="3"/>
        <v>12</v>
      </c>
      <c r="B21" s="10" t="s">
        <v>29</v>
      </c>
      <c r="C21" s="15" t="s">
        <v>124</v>
      </c>
      <c r="D21" s="2"/>
      <c r="E21" s="20" t="s">
        <v>112</v>
      </c>
      <c r="F21" s="6"/>
      <c r="G21" s="26"/>
      <c r="H21" s="24"/>
      <c r="I21" s="24"/>
      <c r="J21" s="24"/>
      <c r="K21" s="24"/>
      <c r="L21" s="24"/>
      <c r="M21" s="24"/>
      <c r="N21" s="25">
        <f t="shared" si="1"/>
        <v>0</v>
      </c>
      <c r="O21" s="26"/>
      <c r="P21" s="24"/>
      <c r="Q21" s="24"/>
      <c r="R21" s="24"/>
      <c r="S21" s="24"/>
      <c r="T21" s="25">
        <f t="shared" si="2"/>
        <v>0</v>
      </c>
    </row>
    <row r="22" spans="1:20" ht="15.75" x14ac:dyDescent="0.25">
      <c r="A22" s="3">
        <f t="shared" si="3"/>
        <v>13</v>
      </c>
      <c r="B22" s="12" t="s">
        <v>30</v>
      </c>
      <c r="C22" s="15" t="s">
        <v>124</v>
      </c>
      <c r="D22" s="2"/>
      <c r="E22" s="19" t="s">
        <v>111</v>
      </c>
      <c r="F22" s="6"/>
      <c r="G22" s="26"/>
      <c r="H22" s="24"/>
      <c r="I22" s="24"/>
      <c r="J22" s="24"/>
      <c r="K22" s="24"/>
      <c r="L22" s="24"/>
      <c r="M22" s="24"/>
      <c r="N22" s="25">
        <f t="shared" si="1"/>
        <v>0</v>
      </c>
      <c r="O22" s="26"/>
      <c r="P22" s="24"/>
      <c r="Q22" s="24"/>
      <c r="R22" s="24"/>
      <c r="S22" s="24"/>
      <c r="T22" s="25">
        <f t="shared" si="2"/>
        <v>0</v>
      </c>
    </row>
    <row r="23" spans="1:20" ht="15.75" x14ac:dyDescent="0.25">
      <c r="A23" s="3">
        <f t="shared" si="3"/>
        <v>14</v>
      </c>
      <c r="B23" s="10" t="s">
        <v>31</v>
      </c>
      <c r="C23" s="15" t="s">
        <v>124</v>
      </c>
      <c r="D23" s="2"/>
      <c r="E23" s="21" t="s">
        <v>107</v>
      </c>
      <c r="F23" s="6"/>
      <c r="G23" s="26"/>
      <c r="H23" s="24"/>
      <c r="I23" s="24"/>
      <c r="J23" s="24"/>
      <c r="K23" s="24"/>
      <c r="L23" s="24"/>
      <c r="M23" s="24"/>
      <c r="N23" s="25">
        <f t="shared" si="1"/>
        <v>0</v>
      </c>
      <c r="O23" s="26"/>
      <c r="P23" s="24"/>
      <c r="Q23" s="24"/>
      <c r="R23" s="24"/>
      <c r="S23" s="24"/>
      <c r="T23" s="25">
        <f t="shared" si="2"/>
        <v>0</v>
      </c>
    </row>
    <row r="24" spans="1:20" ht="15.75" x14ac:dyDescent="0.25">
      <c r="A24" s="3">
        <f t="shared" si="3"/>
        <v>15</v>
      </c>
      <c r="B24" s="13" t="s">
        <v>32</v>
      </c>
      <c r="C24" s="15" t="s">
        <v>124</v>
      </c>
      <c r="D24" s="2"/>
      <c r="E24" s="17" t="s">
        <v>106</v>
      </c>
      <c r="F24" s="6"/>
      <c r="G24" s="26">
        <v>2</v>
      </c>
      <c r="H24" s="24"/>
      <c r="I24" s="24"/>
      <c r="J24" s="24"/>
      <c r="K24" s="24"/>
      <c r="L24" s="24"/>
      <c r="M24" s="24"/>
      <c r="N24" s="25">
        <f t="shared" si="1"/>
        <v>0</v>
      </c>
      <c r="O24" s="26"/>
      <c r="P24" s="24"/>
      <c r="Q24" s="24"/>
      <c r="R24" s="24"/>
      <c r="S24" s="24"/>
      <c r="T24" s="25">
        <f t="shared" si="2"/>
        <v>0</v>
      </c>
    </row>
    <row r="25" spans="1:20" ht="15.75" x14ac:dyDescent="0.25">
      <c r="A25" s="3">
        <f t="shared" si="3"/>
        <v>16</v>
      </c>
      <c r="B25" s="10" t="s">
        <v>33</v>
      </c>
      <c r="C25" s="15" t="s">
        <v>124</v>
      </c>
      <c r="D25" s="2"/>
      <c r="E25" s="17" t="s">
        <v>106</v>
      </c>
      <c r="F25" s="6"/>
      <c r="G25" s="26"/>
      <c r="H25" s="24"/>
      <c r="I25" s="24"/>
      <c r="J25" s="24"/>
      <c r="K25" s="24"/>
      <c r="L25" s="24"/>
      <c r="M25" s="24"/>
      <c r="N25" s="25">
        <f t="shared" si="1"/>
        <v>0</v>
      </c>
      <c r="O25" s="26"/>
      <c r="P25" s="24"/>
      <c r="Q25" s="24"/>
      <c r="R25" s="24"/>
      <c r="S25" s="24"/>
      <c r="T25" s="25">
        <f t="shared" si="2"/>
        <v>0</v>
      </c>
    </row>
    <row r="26" spans="1:20" ht="15.75" x14ac:dyDescent="0.25">
      <c r="A26" s="3">
        <f t="shared" si="3"/>
        <v>17</v>
      </c>
      <c r="B26" s="10" t="s">
        <v>34</v>
      </c>
      <c r="C26" s="15" t="s">
        <v>124</v>
      </c>
      <c r="D26" s="2"/>
      <c r="E26" s="17" t="s">
        <v>113</v>
      </c>
      <c r="F26" s="6"/>
      <c r="G26" s="26"/>
      <c r="H26" s="24"/>
      <c r="I26" s="24"/>
      <c r="J26" s="24"/>
      <c r="K26" s="24"/>
      <c r="L26" s="24"/>
      <c r="M26" s="24"/>
      <c r="N26" s="25">
        <f t="shared" si="1"/>
        <v>0</v>
      </c>
      <c r="O26" s="26"/>
      <c r="P26" s="24"/>
      <c r="Q26" s="24"/>
      <c r="R26" s="24"/>
      <c r="S26" s="24"/>
      <c r="T26" s="25">
        <f t="shared" si="2"/>
        <v>0</v>
      </c>
    </row>
    <row r="27" spans="1:20" ht="15.75" x14ac:dyDescent="0.25">
      <c r="A27" s="3">
        <f t="shared" si="3"/>
        <v>18</v>
      </c>
      <c r="B27" s="10" t="s">
        <v>35</v>
      </c>
      <c r="C27" s="15" t="s">
        <v>124</v>
      </c>
      <c r="D27" s="2"/>
      <c r="E27" s="17" t="s">
        <v>105</v>
      </c>
      <c r="F27" s="6"/>
      <c r="G27" s="26"/>
      <c r="H27" s="24"/>
      <c r="I27" s="24"/>
      <c r="J27" s="24"/>
      <c r="K27" s="24"/>
      <c r="L27" s="24"/>
      <c r="M27" s="24"/>
      <c r="N27" s="25">
        <f t="shared" si="1"/>
        <v>0</v>
      </c>
      <c r="O27" s="26"/>
      <c r="P27" s="24"/>
      <c r="Q27" s="24"/>
      <c r="R27" s="24"/>
      <c r="S27" s="24"/>
      <c r="T27" s="25">
        <f t="shared" si="2"/>
        <v>0</v>
      </c>
    </row>
    <row r="28" spans="1:20" ht="15.75" x14ac:dyDescent="0.25">
      <c r="A28" s="3">
        <f t="shared" si="3"/>
        <v>19</v>
      </c>
      <c r="B28" s="12" t="s">
        <v>36</v>
      </c>
      <c r="C28" s="15" t="s">
        <v>124</v>
      </c>
      <c r="D28" s="2"/>
      <c r="E28" s="19" t="s">
        <v>114</v>
      </c>
      <c r="F28" s="6"/>
      <c r="G28" s="26">
        <v>2</v>
      </c>
      <c r="H28" s="24"/>
      <c r="I28" s="24"/>
      <c r="J28" s="24"/>
      <c r="K28" s="24"/>
      <c r="L28" s="24"/>
      <c r="M28" s="24"/>
      <c r="N28" s="25">
        <f t="shared" si="1"/>
        <v>0</v>
      </c>
      <c r="O28" s="26"/>
      <c r="P28" s="24"/>
      <c r="Q28" s="24"/>
      <c r="R28" s="24"/>
      <c r="S28" s="24"/>
      <c r="T28" s="25">
        <f t="shared" si="2"/>
        <v>0</v>
      </c>
    </row>
    <row r="29" spans="1:20" ht="15.75" x14ac:dyDescent="0.25">
      <c r="A29" s="3">
        <f t="shared" si="3"/>
        <v>20</v>
      </c>
      <c r="B29" s="11" t="s">
        <v>37</v>
      </c>
      <c r="C29" s="15" t="s">
        <v>124</v>
      </c>
      <c r="D29" s="2"/>
      <c r="E29" s="17" t="s">
        <v>108</v>
      </c>
      <c r="F29" s="6"/>
      <c r="G29" s="26">
        <v>1</v>
      </c>
      <c r="H29" s="24"/>
      <c r="I29" s="24"/>
      <c r="J29" s="24"/>
      <c r="K29" s="24"/>
      <c r="L29" s="24"/>
      <c r="M29" s="24"/>
      <c r="N29" s="25">
        <f t="shared" si="1"/>
        <v>0</v>
      </c>
      <c r="O29" s="26"/>
      <c r="P29" s="24"/>
      <c r="Q29" s="24"/>
      <c r="R29" s="24"/>
      <c r="S29" s="24"/>
      <c r="T29" s="25">
        <f t="shared" si="2"/>
        <v>0</v>
      </c>
    </row>
    <row r="30" spans="1:20" ht="15.75" x14ac:dyDescent="0.25">
      <c r="A30" s="3">
        <f t="shared" si="3"/>
        <v>21</v>
      </c>
      <c r="B30" s="11" t="s">
        <v>38</v>
      </c>
      <c r="C30" s="15" t="s">
        <v>124</v>
      </c>
      <c r="D30" s="2"/>
      <c r="E30" s="17" t="s">
        <v>106</v>
      </c>
      <c r="F30" s="6"/>
      <c r="G30" s="26"/>
      <c r="H30" s="24"/>
      <c r="I30" s="24"/>
      <c r="J30" s="24"/>
      <c r="K30" s="24"/>
      <c r="L30" s="24"/>
      <c r="M30" s="24"/>
      <c r="N30" s="25">
        <f t="shared" si="1"/>
        <v>0</v>
      </c>
      <c r="O30" s="26"/>
      <c r="P30" s="24"/>
      <c r="Q30" s="24"/>
      <c r="R30" s="24"/>
      <c r="S30" s="24"/>
      <c r="T30" s="25">
        <f t="shared" si="2"/>
        <v>0</v>
      </c>
    </row>
    <row r="31" spans="1:20" ht="15.75" x14ac:dyDescent="0.25">
      <c r="A31" s="3">
        <f t="shared" si="3"/>
        <v>22</v>
      </c>
      <c r="B31" s="10" t="s">
        <v>39</v>
      </c>
      <c r="C31" s="15" t="s">
        <v>124</v>
      </c>
      <c r="D31" s="2"/>
      <c r="E31" s="10" t="s">
        <v>105</v>
      </c>
      <c r="F31" s="6"/>
      <c r="G31" s="26"/>
      <c r="H31" s="24"/>
      <c r="I31" s="24"/>
      <c r="J31" s="24"/>
      <c r="K31" s="24"/>
      <c r="L31" s="24"/>
      <c r="M31" s="24"/>
      <c r="N31" s="25">
        <f t="shared" si="1"/>
        <v>0</v>
      </c>
      <c r="O31" s="26"/>
      <c r="P31" s="24"/>
      <c r="Q31" s="24"/>
      <c r="R31" s="24"/>
      <c r="S31" s="24"/>
      <c r="T31" s="25">
        <f t="shared" si="2"/>
        <v>0</v>
      </c>
    </row>
    <row r="32" spans="1:20" ht="15.75" x14ac:dyDescent="0.25">
      <c r="A32" s="3">
        <f t="shared" si="3"/>
        <v>23</v>
      </c>
      <c r="B32" s="12" t="s">
        <v>40</v>
      </c>
      <c r="C32" s="15" t="s">
        <v>124</v>
      </c>
      <c r="D32" s="2"/>
      <c r="E32" s="19" t="s">
        <v>115</v>
      </c>
      <c r="F32" s="6"/>
      <c r="G32" s="26"/>
      <c r="H32" s="24"/>
      <c r="I32" s="24"/>
      <c r="J32" s="24"/>
      <c r="K32" s="24"/>
      <c r="L32" s="24"/>
      <c r="M32" s="24"/>
      <c r="N32" s="25">
        <f t="shared" si="1"/>
        <v>0</v>
      </c>
      <c r="O32" s="26"/>
      <c r="P32" s="24"/>
      <c r="Q32" s="24"/>
      <c r="R32" s="24"/>
      <c r="S32" s="24"/>
      <c r="T32" s="25">
        <f t="shared" si="2"/>
        <v>0</v>
      </c>
    </row>
    <row r="33" spans="1:20" ht="15.75" x14ac:dyDescent="0.25">
      <c r="A33" s="3">
        <f t="shared" si="3"/>
        <v>24</v>
      </c>
      <c r="B33" s="11" t="s">
        <v>41</v>
      </c>
      <c r="C33" s="15" t="s">
        <v>124</v>
      </c>
      <c r="D33" s="2"/>
      <c r="E33" s="17" t="s">
        <v>106</v>
      </c>
      <c r="F33" s="6"/>
      <c r="G33" s="26"/>
      <c r="H33" s="24"/>
      <c r="I33" s="24"/>
      <c r="J33" s="24"/>
      <c r="K33" s="24"/>
      <c r="L33" s="24"/>
      <c r="M33" s="24"/>
      <c r="N33" s="25">
        <f t="shared" si="1"/>
        <v>0</v>
      </c>
      <c r="O33" s="26"/>
      <c r="P33" s="24"/>
      <c r="Q33" s="24"/>
      <c r="R33" s="24"/>
      <c r="S33" s="24"/>
      <c r="T33" s="25">
        <f t="shared" si="2"/>
        <v>0</v>
      </c>
    </row>
    <row r="34" spans="1:20" ht="15.75" x14ac:dyDescent="0.25">
      <c r="A34" s="3">
        <f t="shared" si="3"/>
        <v>25</v>
      </c>
      <c r="B34" s="13" t="s">
        <v>42</v>
      </c>
      <c r="C34" s="15" t="s">
        <v>124</v>
      </c>
      <c r="D34" s="2"/>
      <c r="E34" s="17" t="s">
        <v>106</v>
      </c>
      <c r="F34" s="6"/>
      <c r="G34" s="26"/>
      <c r="H34" s="24"/>
      <c r="I34" s="24"/>
      <c r="J34" s="24"/>
      <c r="K34" s="24"/>
      <c r="L34" s="24"/>
      <c r="M34" s="24"/>
      <c r="N34" s="25">
        <f t="shared" si="1"/>
        <v>0</v>
      </c>
      <c r="O34" s="26"/>
      <c r="P34" s="24"/>
      <c r="Q34" s="24"/>
      <c r="R34" s="24"/>
      <c r="S34" s="24"/>
      <c r="T34" s="25">
        <f t="shared" si="2"/>
        <v>0</v>
      </c>
    </row>
    <row r="35" spans="1:20" ht="15.75" x14ac:dyDescent="0.25">
      <c r="A35" s="3">
        <f t="shared" si="3"/>
        <v>26</v>
      </c>
      <c r="B35" s="13" t="s">
        <v>43</v>
      </c>
      <c r="C35" s="15" t="s">
        <v>124</v>
      </c>
      <c r="D35" s="2"/>
      <c r="E35" s="17" t="s">
        <v>106</v>
      </c>
      <c r="F35" s="6"/>
      <c r="G35" s="26"/>
      <c r="H35" s="24"/>
      <c r="I35" s="24"/>
      <c r="J35" s="24"/>
      <c r="K35" s="24"/>
      <c r="L35" s="24"/>
      <c r="M35" s="24"/>
      <c r="N35" s="25">
        <f t="shared" si="1"/>
        <v>0</v>
      </c>
      <c r="O35" s="26"/>
      <c r="P35" s="24"/>
      <c r="Q35" s="24"/>
      <c r="R35" s="24"/>
      <c r="S35" s="24"/>
      <c r="T35" s="25">
        <f t="shared" si="2"/>
        <v>0</v>
      </c>
    </row>
    <row r="36" spans="1:20" ht="15.75" x14ac:dyDescent="0.25">
      <c r="A36" s="3">
        <f t="shared" si="3"/>
        <v>27</v>
      </c>
      <c r="B36" s="11" t="s">
        <v>44</v>
      </c>
      <c r="C36" s="15" t="s">
        <v>124</v>
      </c>
      <c r="D36" s="2"/>
      <c r="E36" s="17" t="s">
        <v>105</v>
      </c>
      <c r="F36" s="6"/>
      <c r="G36" s="26">
        <v>1</v>
      </c>
      <c r="H36" s="24"/>
      <c r="I36" s="24"/>
      <c r="J36" s="24"/>
      <c r="K36" s="24"/>
      <c r="L36" s="24"/>
      <c r="M36" s="24"/>
      <c r="N36" s="25">
        <f t="shared" si="1"/>
        <v>0</v>
      </c>
      <c r="O36" s="26"/>
      <c r="P36" s="24"/>
      <c r="Q36" s="24"/>
      <c r="R36" s="24"/>
      <c r="S36" s="24"/>
      <c r="T36" s="25">
        <f t="shared" si="2"/>
        <v>0</v>
      </c>
    </row>
    <row r="37" spans="1:20" ht="15.75" x14ac:dyDescent="0.25">
      <c r="A37" s="3">
        <f t="shared" si="3"/>
        <v>28</v>
      </c>
      <c r="B37" s="11" t="s">
        <v>45</v>
      </c>
      <c r="C37" s="15" t="s">
        <v>124</v>
      </c>
      <c r="D37" s="2"/>
      <c r="E37" s="17" t="s">
        <v>111</v>
      </c>
      <c r="F37" s="6"/>
      <c r="G37" s="26"/>
      <c r="H37" s="24"/>
      <c r="I37" s="24"/>
      <c r="J37" s="24"/>
      <c r="K37" s="24"/>
      <c r="L37" s="24"/>
      <c r="M37" s="24"/>
      <c r="N37" s="25">
        <f t="shared" si="1"/>
        <v>0</v>
      </c>
      <c r="O37" s="26"/>
      <c r="P37" s="24"/>
      <c r="Q37" s="24"/>
      <c r="R37" s="24"/>
      <c r="S37" s="24"/>
      <c r="T37" s="25">
        <f t="shared" si="2"/>
        <v>0</v>
      </c>
    </row>
    <row r="38" spans="1:20" ht="15.75" x14ac:dyDescent="0.25">
      <c r="A38" s="3">
        <f t="shared" si="3"/>
        <v>29</v>
      </c>
      <c r="B38" s="10" t="s">
        <v>46</v>
      </c>
      <c r="C38" s="15" t="s">
        <v>124</v>
      </c>
      <c r="D38" s="2"/>
      <c r="E38" s="17" t="s">
        <v>106</v>
      </c>
      <c r="F38" s="6"/>
      <c r="G38" s="26"/>
      <c r="H38" s="24"/>
      <c r="I38" s="24"/>
      <c r="J38" s="24"/>
      <c r="K38" s="24"/>
      <c r="L38" s="24"/>
      <c r="M38" s="24"/>
      <c r="N38" s="25">
        <f t="shared" si="1"/>
        <v>0</v>
      </c>
      <c r="O38" s="26"/>
      <c r="P38" s="24"/>
      <c r="Q38" s="24"/>
      <c r="R38" s="24"/>
      <c r="S38" s="24"/>
      <c r="T38" s="25">
        <f t="shared" si="2"/>
        <v>0</v>
      </c>
    </row>
    <row r="39" spans="1:20" ht="15.75" x14ac:dyDescent="0.25">
      <c r="A39" s="3">
        <f t="shared" si="3"/>
        <v>30</v>
      </c>
      <c r="B39" s="10" t="s">
        <v>47</v>
      </c>
      <c r="C39" s="15" t="s">
        <v>124</v>
      </c>
      <c r="D39" s="2"/>
      <c r="E39" s="17" t="s">
        <v>116</v>
      </c>
      <c r="F39" s="6"/>
      <c r="G39" s="26"/>
      <c r="H39" s="24"/>
      <c r="I39" s="24"/>
      <c r="J39" s="24"/>
      <c r="K39" s="24"/>
      <c r="L39" s="24"/>
      <c r="M39" s="24"/>
      <c r="N39" s="25">
        <f t="shared" si="1"/>
        <v>0</v>
      </c>
      <c r="O39" s="26"/>
      <c r="P39" s="24"/>
      <c r="Q39" s="24"/>
      <c r="R39" s="24"/>
      <c r="S39" s="24"/>
      <c r="T39" s="25">
        <f t="shared" si="2"/>
        <v>0</v>
      </c>
    </row>
    <row r="40" spans="1:20" ht="15.75" x14ac:dyDescent="0.25">
      <c r="A40" s="3">
        <f t="shared" si="3"/>
        <v>31</v>
      </c>
      <c r="B40" s="13" t="s">
        <v>48</v>
      </c>
      <c r="C40" s="15" t="s">
        <v>124</v>
      </c>
      <c r="D40" s="2"/>
      <c r="E40" s="17" t="s">
        <v>106</v>
      </c>
      <c r="F40" s="6"/>
      <c r="G40" s="26"/>
      <c r="H40" s="24"/>
      <c r="I40" s="24"/>
      <c r="J40" s="24"/>
      <c r="K40" s="24"/>
      <c r="L40" s="24"/>
      <c r="M40" s="24"/>
      <c r="N40" s="25">
        <f t="shared" si="1"/>
        <v>0</v>
      </c>
      <c r="O40" s="26"/>
      <c r="P40" s="24"/>
      <c r="Q40" s="24"/>
      <c r="R40" s="24"/>
      <c r="S40" s="24"/>
      <c r="T40" s="25">
        <f t="shared" si="2"/>
        <v>0</v>
      </c>
    </row>
    <row r="41" spans="1:20" ht="15.75" x14ac:dyDescent="0.25">
      <c r="A41" s="3">
        <f t="shared" si="3"/>
        <v>32</v>
      </c>
      <c r="B41" s="10" t="s">
        <v>49</v>
      </c>
      <c r="C41" s="15" t="s">
        <v>124</v>
      </c>
      <c r="D41" s="2"/>
      <c r="E41" s="17" t="s">
        <v>106</v>
      </c>
      <c r="F41" s="6"/>
      <c r="G41" s="26"/>
      <c r="H41" s="24"/>
      <c r="I41" s="24"/>
      <c r="J41" s="24"/>
      <c r="K41" s="24"/>
      <c r="L41" s="24"/>
      <c r="M41" s="24"/>
      <c r="N41" s="25">
        <f t="shared" si="1"/>
        <v>0</v>
      </c>
      <c r="O41" s="26"/>
      <c r="P41" s="24"/>
      <c r="Q41" s="24"/>
      <c r="R41" s="24"/>
      <c r="S41" s="24"/>
      <c r="T41" s="25">
        <f t="shared" si="2"/>
        <v>0</v>
      </c>
    </row>
    <row r="42" spans="1:20" ht="15.75" x14ac:dyDescent="0.25">
      <c r="A42" s="3">
        <f t="shared" si="3"/>
        <v>33</v>
      </c>
      <c r="B42" s="13" t="s">
        <v>50</v>
      </c>
      <c r="C42" s="15" t="s">
        <v>124</v>
      </c>
      <c r="D42" s="2"/>
      <c r="E42" s="17" t="s">
        <v>106</v>
      </c>
      <c r="F42" s="6"/>
      <c r="G42" s="26"/>
      <c r="H42" s="24"/>
      <c r="I42" s="24"/>
      <c r="J42" s="24"/>
      <c r="K42" s="24"/>
      <c r="L42" s="24"/>
      <c r="M42" s="24"/>
      <c r="N42" s="25">
        <f t="shared" si="1"/>
        <v>0</v>
      </c>
      <c r="O42" s="26"/>
      <c r="P42" s="24"/>
      <c r="Q42" s="24"/>
      <c r="R42" s="24"/>
      <c r="S42" s="24"/>
      <c r="T42" s="25">
        <f t="shared" si="2"/>
        <v>0</v>
      </c>
    </row>
    <row r="43" spans="1:20" ht="15.75" x14ac:dyDescent="0.25">
      <c r="A43" s="3">
        <f t="shared" si="3"/>
        <v>34</v>
      </c>
      <c r="B43" s="11" t="s">
        <v>51</v>
      </c>
      <c r="C43" s="15" t="s">
        <v>124</v>
      </c>
      <c r="D43" s="2"/>
      <c r="E43" s="22" t="s">
        <v>112</v>
      </c>
      <c r="F43" s="6"/>
      <c r="G43" s="26"/>
      <c r="H43" s="24"/>
      <c r="I43" s="24"/>
      <c r="J43" s="24"/>
      <c r="K43" s="24"/>
      <c r="L43" s="24"/>
      <c r="M43" s="24"/>
      <c r="N43" s="25">
        <f t="shared" si="1"/>
        <v>0</v>
      </c>
      <c r="O43" s="26"/>
      <c r="P43" s="24"/>
      <c r="Q43" s="24"/>
      <c r="R43" s="24"/>
      <c r="S43" s="24"/>
      <c r="T43" s="25">
        <f t="shared" si="2"/>
        <v>0</v>
      </c>
    </row>
    <row r="44" spans="1:20" ht="15.75" x14ac:dyDescent="0.25">
      <c r="A44" s="3">
        <f t="shared" si="3"/>
        <v>35</v>
      </c>
      <c r="B44" s="13" t="s">
        <v>52</v>
      </c>
      <c r="C44" s="15" t="s">
        <v>124</v>
      </c>
      <c r="D44" s="2"/>
      <c r="E44" s="17" t="s">
        <v>106</v>
      </c>
      <c r="F44" s="6"/>
      <c r="G44" s="26">
        <v>1</v>
      </c>
      <c r="H44" s="24"/>
      <c r="I44" s="24"/>
      <c r="J44" s="24"/>
      <c r="K44" s="24"/>
      <c r="L44" s="24"/>
      <c r="M44" s="24"/>
      <c r="N44" s="25">
        <f t="shared" si="1"/>
        <v>0</v>
      </c>
      <c r="O44" s="26"/>
      <c r="P44" s="24"/>
      <c r="Q44" s="24"/>
      <c r="R44" s="24"/>
      <c r="S44" s="24"/>
      <c r="T44" s="25">
        <f t="shared" si="2"/>
        <v>0</v>
      </c>
    </row>
    <row r="45" spans="1:20" ht="15.75" x14ac:dyDescent="0.25">
      <c r="A45" s="3">
        <f t="shared" si="3"/>
        <v>36</v>
      </c>
      <c r="B45" s="10" t="s">
        <v>53</v>
      </c>
      <c r="C45" s="15" t="s">
        <v>124</v>
      </c>
      <c r="D45" s="2"/>
      <c r="E45" s="17" t="s">
        <v>105</v>
      </c>
      <c r="F45" s="6"/>
      <c r="G45" s="26">
        <v>1</v>
      </c>
      <c r="H45" s="24"/>
      <c r="I45" s="24"/>
      <c r="J45" s="24"/>
      <c r="K45" s="24"/>
      <c r="L45" s="24"/>
      <c r="M45" s="24"/>
      <c r="N45" s="25">
        <f t="shared" si="1"/>
        <v>0</v>
      </c>
      <c r="O45" s="26"/>
      <c r="P45" s="24"/>
      <c r="Q45" s="24"/>
      <c r="R45" s="24"/>
      <c r="S45" s="24"/>
      <c r="T45" s="25">
        <f t="shared" si="2"/>
        <v>0</v>
      </c>
    </row>
    <row r="46" spans="1:20" ht="15.75" x14ac:dyDescent="0.25">
      <c r="A46" s="3">
        <f t="shared" si="3"/>
        <v>37</v>
      </c>
      <c r="B46" s="10" t="s">
        <v>54</v>
      </c>
      <c r="C46" s="15" t="s">
        <v>124</v>
      </c>
      <c r="D46" s="2"/>
      <c r="E46" s="17" t="s">
        <v>106</v>
      </c>
      <c r="F46" s="6"/>
      <c r="G46" s="26"/>
      <c r="H46" s="24"/>
      <c r="I46" s="24"/>
      <c r="J46" s="24"/>
      <c r="K46" s="24"/>
      <c r="L46" s="24"/>
      <c r="M46" s="24"/>
      <c r="N46" s="25">
        <f t="shared" si="1"/>
        <v>0</v>
      </c>
      <c r="O46" s="26"/>
      <c r="P46" s="24"/>
      <c r="Q46" s="24"/>
      <c r="R46" s="24"/>
      <c r="S46" s="24"/>
      <c r="T46" s="25">
        <f t="shared" si="2"/>
        <v>0</v>
      </c>
    </row>
    <row r="47" spans="1:20" ht="15.75" x14ac:dyDescent="0.25">
      <c r="A47" s="3">
        <f t="shared" si="3"/>
        <v>38</v>
      </c>
      <c r="B47" s="10" t="s">
        <v>55</v>
      </c>
      <c r="C47" s="15" t="s">
        <v>124</v>
      </c>
      <c r="D47" s="2"/>
      <c r="E47" s="17" t="s">
        <v>106</v>
      </c>
      <c r="F47" s="6"/>
      <c r="G47" s="26">
        <v>1</v>
      </c>
      <c r="H47" s="24"/>
      <c r="I47" s="24"/>
      <c r="J47" s="24"/>
      <c r="K47" s="24"/>
      <c r="L47" s="24"/>
      <c r="M47" s="24"/>
      <c r="N47" s="25">
        <f t="shared" si="1"/>
        <v>0</v>
      </c>
      <c r="O47" s="26"/>
      <c r="P47" s="24"/>
      <c r="Q47" s="24"/>
      <c r="R47" s="24"/>
      <c r="S47" s="24"/>
      <c r="T47" s="25">
        <f t="shared" si="2"/>
        <v>0</v>
      </c>
    </row>
    <row r="48" spans="1:20" ht="15.75" x14ac:dyDescent="0.25">
      <c r="A48" s="3">
        <f t="shared" si="3"/>
        <v>39</v>
      </c>
      <c r="B48" s="10" t="s">
        <v>56</v>
      </c>
      <c r="C48" s="15" t="s">
        <v>124</v>
      </c>
      <c r="D48" s="2"/>
      <c r="E48" s="17" t="s">
        <v>106</v>
      </c>
      <c r="F48" s="6"/>
      <c r="G48" s="26">
        <v>1</v>
      </c>
      <c r="H48" s="24"/>
      <c r="I48" s="24"/>
      <c r="J48" s="24"/>
      <c r="K48" s="24"/>
      <c r="L48" s="24"/>
      <c r="M48" s="24"/>
      <c r="N48" s="25">
        <f t="shared" si="1"/>
        <v>0</v>
      </c>
      <c r="O48" s="26"/>
      <c r="P48" s="24"/>
      <c r="Q48" s="24"/>
      <c r="R48" s="24"/>
      <c r="S48" s="24"/>
      <c r="T48" s="25">
        <f t="shared" si="2"/>
        <v>0</v>
      </c>
    </row>
    <row r="49" spans="1:20" ht="15.75" x14ac:dyDescent="0.25">
      <c r="A49" s="3">
        <f t="shared" si="3"/>
        <v>40</v>
      </c>
      <c r="B49" s="13" t="s">
        <v>57</v>
      </c>
      <c r="C49" s="15" t="s">
        <v>124</v>
      </c>
      <c r="D49" s="2"/>
      <c r="E49" s="17" t="s">
        <v>106</v>
      </c>
      <c r="F49" s="6"/>
      <c r="G49" s="26"/>
      <c r="H49" s="24"/>
      <c r="I49" s="24"/>
      <c r="J49" s="24"/>
      <c r="K49" s="24"/>
      <c r="L49" s="24"/>
      <c r="M49" s="24"/>
      <c r="N49" s="25">
        <f t="shared" si="1"/>
        <v>0</v>
      </c>
      <c r="O49" s="26"/>
      <c r="P49" s="24"/>
      <c r="Q49" s="24"/>
      <c r="R49" s="24"/>
      <c r="S49" s="24"/>
      <c r="T49" s="25">
        <f t="shared" si="2"/>
        <v>0</v>
      </c>
    </row>
    <row r="50" spans="1:20" ht="15.75" x14ac:dyDescent="0.25">
      <c r="A50" s="3">
        <f t="shared" si="3"/>
        <v>41</v>
      </c>
      <c r="B50" s="13" t="s">
        <v>58</v>
      </c>
      <c r="C50" s="15" t="s">
        <v>124</v>
      </c>
      <c r="D50" s="2"/>
      <c r="E50" s="17" t="s">
        <v>106</v>
      </c>
      <c r="F50" s="6"/>
      <c r="G50" s="26"/>
      <c r="H50" s="24"/>
      <c r="I50" s="24"/>
      <c r="J50" s="24"/>
      <c r="K50" s="24"/>
      <c r="L50" s="24"/>
      <c r="M50" s="24"/>
      <c r="N50" s="25">
        <f t="shared" si="1"/>
        <v>0</v>
      </c>
      <c r="O50" s="26"/>
      <c r="P50" s="24"/>
      <c r="Q50" s="24"/>
      <c r="R50" s="24"/>
      <c r="S50" s="24"/>
      <c r="T50" s="25">
        <f t="shared" si="2"/>
        <v>0</v>
      </c>
    </row>
    <row r="51" spans="1:20" ht="15.75" x14ac:dyDescent="0.25">
      <c r="A51" s="3">
        <f t="shared" si="3"/>
        <v>42</v>
      </c>
      <c r="B51" s="13" t="s">
        <v>59</v>
      </c>
      <c r="C51" s="15" t="s">
        <v>124</v>
      </c>
      <c r="D51" s="2"/>
      <c r="E51" s="17" t="s">
        <v>112</v>
      </c>
      <c r="F51" s="6"/>
      <c r="G51" s="26"/>
      <c r="H51" s="24"/>
      <c r="I51" s="24"/>
      <c r="J51" s="24"/>
      <c r="K51" s="24"/>
      <c r="L51" s="24"/>
      <c r="M51" s="24"/>
      <c r="N51" s="25">
        <f t="shared" si="1"/>
        <v>0</v>
      </c>
      <c r="O51" s="26"/>
      <c r="P51" s="24"/>
      <c r="Q51" s="24"/>
      <c r="R51" s="24"/>
      <c r="S51" s="24"/>
      <c r="T51" s="25">
        <f t="shared" si="2"/>
        <v>0</v>
      </c>
    </row>
    <row r="52" spans="1:20" ht="15.75" x14ac:dyDescent="0.25">
      <c r="A52" s="3">
        <f t="shared" si="3"/>
        <v>43</v>
      </c>
      <c r="B52" s="13" t="s">
        <v>60</v>
      </c>
      <c r="C52" s="15" t="s">
        <v>125</v>
      </c>
      <c r="D52" s="38" t="s">
        <v>126</v>
      </c>
      <c r="E52" s="17" t="s">
        <v>106</v>
      </c>
      <c r="F52" s="6"/>
      <c r="G52" s="26"/>
      <c r="H52" s="24"/>
      <c r="I52" s="24"/>
      <c r="J52" s="24"/>
      <c r="K52" s="24"/>
      <c r="L52" s="24"/>
      <c r="M52" s="24"/>
      <c r="N52" s="25">
        <f t="shared" si="1"/>
        <v>0</v>
      </c>
      <c r="O52" s="26"/>
      <c r="P52" s="24"/>
      <c r="Q52" s="24"/>
      <c r="R52" s="24"/>
      <c r="S52" s="24"/>
      <c r="T52" s="25">
        <f t="shared" si="2"/>
        <v>0</v>
      </c>
    </row>
    <row r="53" spans="1:20" ht="15.75" x14ac:dyDescent="0.25">
      <c r="A53" s="3">
        <f t="shared" si="3"/>
        <v>44</v>
      </c>
      <c r="B53" s="11" t="s">
        <v>61</v>
      </c>
      <c r="C53" s="15" t="s">
        <v>124</v>
      </c>
      <c r="D53" s="2"/>
      <c r="E53" s="17" t="s">
        <v>107</v>
      </c>
      <c r="F53" s="6"/>
      <c r="G53" s="26"/>
      <c r="H53" s="24"/>
      <c r="I53" s="24"/>
      <c r="J53" s="24"/>
      <c r="K53" s="24"/>
      <c r="L53" s="24"/>
      <c r="M53" s="24"/>
      <c r="N53" s="25">
        <f t="shared" si="1"/>
        <v>0</v>
      </c>
      <c r="O53" s="26"/>
      <c r="P53" s="24"/>
      <c r="Q53" s="24"/>
      <c r="R53" s="24"/>
      <c r="S53" s="24"/>
      <c r="T53" s="25">
        <f t="shared" si="2"/>
        <v>0</v>
      </c>
    </row>
    <row r="54" spans="1:20" ht="15.75" x14ac:dyDescent="0.25">
      <c r="A54" s="3">
        <f t="shared" si="3"/>
        <v>45</v>
      </c>
      <c r="B54" s="11" t="s">
        <v>62</v>
      </c>
      <c r="C54" s="15" t="s">
        <v>124</v>
      </c>
      <c r="D54" s="2"/>
      <c r="E54" s="17" t="s">
        <v>106</v>
      </c>
      <c r="F54" s="6"/>
      <c r="G54" s="26"/>
      <c r="H54" s="24"/>
      <c r="I54" s="24"/>
      <c r="J54" s="24"/>
      <c r="K54" s="24"/>
      <c r="L54" s="24"/>
      <c r="M54" s="24"/>
      <c r="N54" s="25">
        <f t="shared" si="1"/>
        <v>0</v>
      </c>
      <c r="O54" s="26"/>
      <c r="P54" s="24"/>
      <c r="Q54" s="24"/>
      <c r="R54" s="24"/>
      <c r="S54" s="24"/>
      <c r="T54" s="25">
        <f t="shared" si="2"/>
        <v>0</v>
      </c>
    </row>
    <row r="55" spans="1:20" ht="15.75" x14ac:dyDescent="0.25">
      <c r="A55" s="3">
        <f t="shared" si="3"/>
        <v>46</v>
      </c>
      <c r="B55" s="11" t="s">
        <v>63</v>
      </c>
      <c r="C55" s="15" t="s">
        <v>124</v>
      </c>
      <c r="D55" s="2"/>
      <c r="E55" s="22" t="s">
        <v>112</v>
      </c>
      <c r="F55" s="6"/>
      <c r="G55" s="26"/>
      <c r="H55" s="24"/>
      <c r="I55" s="24"/>
      <c r="J55" s="24"/>
      <c r="K55" s="24"/>
      <c r="L55" s="24"/>
      <c r="M55" s="24"/>
      <c r="N55" s="25">
        <f t="shared" si="1"/>
        <v>0</v>
      </c>
      <c r="O55" s="26"/>
      <c r="P55" s="24"/>
      <c r="Q55" s="24"/>
      <c r="R55" s="24"/>
      <c r="S55" s="24"/>
      <c r="T55" s="25">
        <f t="shared" si="2"/>
        <v>0</v>
      </c>
    </row>
    <row r="56" spans="1:20" ht="15.75" x14ac:dyDescent="0.25">
      <c r="A56" s="3">
        <f t="shared" si="3"/>
        <v>47</v>
      </c>
      <c r="B56" s="11" t="s">
        <v>64</v>
      </c>
      <c r="C56" s="15" t="s">
        <v>124</v>
      </c>
      <c r="D56" s="2"/>
      <c r="E56" s="22" t="s">
        <v>107</v>
      </c>
      <c r="F56" s="6"/>
      <c r="G56" s="26"/>
      <c r="H56" s="24"/>
      <c r="I56" s="24"/>
      <c r="J56" s="24"/>
      <c r="K56" s="24"/>
      <c r="L56" s="24"/>
      <c r="M56" s="24"/>
      <c r="N56" s="25">
        <f t="shared" si="1"/>
        <v>0</v>
      </c>
      <c r="O56" s="26">
        <v>1</v>
      </c>
      <c r="P56" s="24"/>
      <c r="Q56" s="24"/>
      <c r="R56" s="24"/>
      <c r="S56" s="24"/>
      <c r="T56" s="25">
        <f t="shared" si="2"/>
        <v>0</v>
      </c>
    </row>
    <row r="57" spans="1:20" ht="15.75" x14ac:dyDescent="0.25">
      <c r="A57" s="3">
        <f t="shared" si="3"/>
        <v>48</v>
      </c>
      <c r="B57" s="13" t="s">
        <v>65</v>
      </c>
      <c r="C57" s="15" t="s">
        <v>124</v>
      </c>
      <c r="D57" s="2"/>
      <c r="E57" s="17" t="s">
        <v>106</v>
      </c>
      <c r="F57" s="6"/>
      <c r="G57" s="26"/>
      <c r="H57" s="24"/>
      <c r="I57" s="24"/>
      <c r="J57" s="24"/>
      <c r="K57" s="24"/>
      <c r="L57" s="24"/>
      <c r="M57" s="24"/>
      <c r="N57" s="25">
        <f t="shared" si="1"/>
        <v>0</v>
      </c>
      <c r="O57" s="26"/>
      <c r="P57" s="24"/>
      <c r="Q57" s="24"/>
      <c r="R57" s="24"/>
      <c r="S57" s="24"/>
      <c r="T57" s="25">
        <f t="shared" si="2"/>
        <v>0</v>
      </c>
    </row>
    <row r="58" spans="1:20" ht="15.75" x14ac:dyDescent="0.25">
      <c r="A58" s="3">
        <f t="shared" si="3"/>
        <v>49</v>
      </c>
      <c r="B58" s="13" t="s">
        <v>66</v>
      </c>
      <c r="C58" s="15" t="s">
        <v>124</v>
      </c>
      <c r="D58" s="2"/>
      <c r="E58" s="17" t="s">
        <v>112</v>
      </c>
      <c r="F58" s="6"/>
      <c r="G58" s="26"/>
      <c r="H58" s="24"/>
      <c r="I58" s="24"/>
      <c r="J58" s="24"/>
      <c r="K58" s="24"/>
      <c r="L58" s="24"/>
      <c r="M58" s="24"/>
      <c r="N58" s="25">
        <f t="shared" si="1"/>
        <v>0</v>
      </c>
      <c r="O58" s="26"/>
      <c r="P58" s="24"/>
      <c r="Q58" s="24"/>
      <c r="R58" s="24"/>
      <c r="S58" s="24"/>
      <c r="T58" s="25">
        <f t="shared" si="2"/>
        <v>0</v>
      </c>
    </row>
    <row r="59" spans="1:20" ht="15.75" x14ac:dyDescent="0.25">
      <c r="A59" s="3">
        <f t="shared" si="3"/>
        <v>50</v>
      </c>
      <c r="B59" s="10" t="s">
        <v>67</v>
      </c>
      <c r="C59" s="15" t="s">
        <v>124</v>
      </c>
      <c r="D59" s="2"/>
      <c r="E59" s="17" t="s">
        <v>106</v>
      </c>
      <c r="F59" s="6"/>
      <c r="G59" s="26"/>
      <c r="H59" s="24"/>
      <c r="I59" s="24"/>
      <c r="J59" s="24"/>
      <c r="K59" s="24"/>
      <c r="L59" s="24"/>
      <c r="M59" s="24"/>
      <c r="N59" s="25">
        <f t="shared" si="1"/>
        <v>0</v>
      </c>
      <c r="O59" s="26"/>
      <c r="P59" s="24"/>
      <c r="Q59" s="24"/>
      <c r="R59" s="24"/>
      <c r="S59" s="24"/>
      <c r="T59" s="25">
        <f t="shared" si="2"/>
        <v>0</v>
      </c>
    </row>
    <row r="60" spans="1:20" ht="15.75" x14ac:dyDescent="0.25">
      <c r="A60" s="3">
        <f t="shared" si="3"/>
        <v>51</v>
      </c>
      <c r="B60" s="10" t="s">
        <v>68</v>
      </c>
      <c r="C60" s="15" t="s">
        <v>124</v>
      </c>
      <c r="D60" s="2"/>
      <c r="E60" s="17" t="s">
        <v>111</v>
      </c>
      <c r="F60" s="6"/>
      <c r="G60" s="26"/>
      <c r="H60" s="24"/>
      <c r="I60" s="24"/>
      <c r="J60" s="24"/>
      <c r="K60" s="24"/>
      <c r="L60" s="24"/>
      <c r="M60" s="24"/>
      <c r="N60" s="25">
        <f t="shared" si="1"/>
        <v>0</v>
      </c>
      <c r="O60" s="26"/>
      <c r="P60" s="24"/>
      <c r="Q60" s="24"/>
      <c r="R60" s="24"/>
      <c r="S60" s="24"/>
      <c r="T60" s="25">
        <f t="shared" si="2"/>
        <v>0</v>
      </c>
    </row>
    <row r="61" spans="1:20" ht="15.75" x14ac:dyDescent="0.25">
      <c r="A61" s="3">
        <f t="shared" si="3"/>
        <v>52</v>
      </c>
      <c r="B61" s="13" t="s">
        <v>69</v>
      </c>
      <c r="C61" s="15" t="s">
        <v>124</v>
      </c>
      <c r="D61" s="2"/>
      <c r="E61" s="17" t="s">
        <v>106</v>
      </c>
      <c r="F61" s="6"/>
      <c r="G61" s="26"/>
      <c r="H61" s="24"/>
      <c r="I61" s="24"/>
      <c r="J61" s="24"/>
      <c r="K61" s="24"/>
      <c r="L61" s="24"/>
      <c r="M61" s="24"/>
      <c r="N61" s="25">
        <f t="shared" si="1"/>
        <v>0</v>
      </c>
      <c r="O61" s="26"/>
      <c r="P61" s="24"/>
      <c r="Q61" s="24"/>
      <c r="R61" s="24"/>
      <c r="S61" s="24"/>
      <c r="T61" s="25">
        <f t="shared" si="2"/>
        <v>0</v>
      </c>
    </row>
    <row r="62" spans="1:20" ht="15.75" x14ac:dyDescent="0.25">
      <c r="A62" s="3">
        <f t="shared" si="3"/>
        <v>53</v>
      </c>
      <c r="B62" s="11" t="s">
        <v>70</v>
      </c>
      <c r="C62" s="15" t="s">
        <v>124</v>
      </c>
      <c r="D62" s="2"/>
      <c r="E62" s="17" t="s">
        <v>107</v>
      </c>
      <c r="F62" s="6"/>
      <c r="G62" s="26">
        <v>2</v>
      </c>
      <c r="H62" s="24"/>
      <c r="I62" s="24"/>
      <c r="J62" s="24"/>
      <c r="K62" s="24"/>
      <c r="L62" s="24"/>
      <c r="M62" s="24"/>
      <c r="N62" s="25">
        <f t="shared" si="1"/>
        <v>0</v>
      </c>
      <c r="O62" s="26"/>
      <c r="P62" s="24"/>
      <c r="Q62" s="24"/>
      <c r="R62" s="24"/>
      <c r="S62" s="24"/>
      <c r="T62" s="25">
        <f t="shared" si="2"/>
        <v>0</v>
      </c>
    </row>
    <row r="63" spans="1:20" ht="15.75" x14ac:dyDescent="0.25">
      <c r="A63" s="3">
        <f t="shared" si="3"/>
        <v>54</v>
      </c>
      <c r="B63" s="11" t="s">
        <v>71</v>
      </c>
      <c r="C63" s="15" t="s">
        <v>124</v>
      </c>
      <c r="D63" s="2"/>
      <c r="E63" s="17" t="s">
        <v>117</v>
      </c>
      <c r="F63" s="6"/>
      <c r="G63" s="26"/>
      <c r="H63" s="24"/>
      <c r="I63" s="24"/>
      <c r="J63" s="24"/>
      <c r="K63" s="24"/>
      <c r="L63" s="24"/>
      <c r="M63" s="24"/>
      <c r="N63" s="25">
        <f t="shared" si="1"/>
        <v>0</v>
      </c>
      <c r="O63" s="26"/>
      <c r="P63" s="24"/>
      <c r="Q63" s="24"/>
      <c r="R63" s="24"/>
      <c r="S63" s="24"/>
      <c r="T63" s="25">
        <f t="shared" si="2"/>
        <v>0</v>
      </c>
    </row>
    <row r="64" spans="1:20" ht="15.75" x14ac:dyDescent="0.25">
      <c r="A64" s="3">
        <f t="shared" si="3"/>
        <v>55</v>
      </c>
      <c r="B64" s="11" t="s">
        <v>72</v>
      </c>
      <c r="C64" s="15" t="s">
        <v>125</v>
      </c>
      <c r="D64" s="38" t="s">
        <v>126</v>
      </c>
      <c r="E64" s="17" t="s">
        <v>106</v>
      </c>
      <c r="F64" s="6"/>
      <c r="G64" s="26"/>
      <c r="H64" s="24"/>
      <c r="I64" s="24"/>
      <c r="J64" s="24"/>
      <c r="K64" s="24"/>
      <c r="L64" s="24"/>
      <c r="M64" s="24"/>
      <c r="N64" s="25">
        <f t="shared" si="1"/>
        <v>0</v>
      </c>
      <c r="O64" s="26"/>
      <c r="P64" s="24"/>
      <c r="Q64" s="24"/>
      <c r="R64" s="24"/>
      <c r="S64" s="24"/>
      <c r="T64" s="25">
        <f t="shared" si="2"/>
        <v>0</v>
      </c>
    </row>
    <row r="65" spans="1:20" ht="15.75" x14ac:dyDescent="0.25">
      <c r="A65" s="3">
        <f t="shared" si="3"/>
        <v>56</v>
      </c>
      <c r="B65" s="10" t="s">
        <v>73</v>
      </c>
      <c r="C65" s="15" t="s">
        <v>124</v>
      </c>
      <c r="D65" s="2"/>
      <c r="E65" s="17" t="s">
        <v>106</v>
      </c>
      <c r="F65" s="6"/>
      <c r="G65" s="26"/>
      <c r="H65" s="24"/>
      <c r="I65" s="24"/>
      <c r="J65" s="24"/>
      <c r="K65" s="24"/>
      <c r="L65" s="24"/>
      <c r="M65" s="24"/>
      <c r="N65" s="25">
        <f t="shared" si="1"/>
        <v>0</v>
      </c>
      <c r="O65" s="26"/>
      <c r="P65" s="24"/>
      <c r="Q65" s="24"/>
      <c r="R65" s="24"/>
      <c r="S65" s="24"/>
      <c r="T65" s="25">
        <f t="shared" si="2"/>
        <v>0</v>
      </c>
    </row>
    <row r="66" spans="1:20" ht="15.75" x14ac:dyDescent="0.25">
      <c r="A66" s="3">
        <f t="shared" si="3"/>
        <v>57</v>
      </c>
      <c r="B66" s="11" t="s">
        <v>74</v>
      </c>
      <c r="C66" s="15" t="s">
        <v>124</v>
      </c>
      <c r="D66" s="2"/>
      <c r="E66" s="17" t="s">
        <v>111</v>
      </c>
      <c r="F66" s="6"/>
      <c r="G66" s="26"/>
      <c r="H66" s="24"/>
      <c r="I66" s="24"/>
      <c r="J66" s="24"/>
      <c r="K66" s="24"/>
      <c r="L66" s="24"/>
      <c r="M66" s="24"/>
      <c r="N66" s="25">
        <f t="shared" si="1"/>
        <v>0</v>
      </c>
      <c r="O66" s="26"/>
      <c r="P66" s="24"/>
      <c r="Q66" s="24"/>
      <c r="R66" s="24"/>
      <c r="S66" s="24"/>
      <c r="T66" s="25">
        <f t="shared" si="2"/>
        <v>0</v>
      </c>
    </row>
    <row r="67" spans="1:20" ht="15.75" x14ac:dyDescent="0.25">
      <c r="A67" s="3">
        <f t="shared" si="3"/>
        <v>58</v>
      </c>
      <c r="B67" s="11" t="s">
        <v>75</v>
      </c>
      <c r="C67" s="15" t="s">
        <v>124</v>
      </c>
      <c r="D67" s="2"/>
      <c r="E67" s="17" t="s">
        <v>118</v>
      </c>
      <c r="F67" s="6"/>
      <c r="G67" s="26"/>
      <c r="H67" s="24"/>
      <c r="I67" s="24"/>
      <c r="J67" s="24"/>
      <c r="K67" s="24"/>
      <c r="L67" s="24"/>
      <c r="M67" s="24"/>
      <c r="N67" s="25">
        <f t="shared" si="1"/>
        <v>0</v>
      </c>
      <c r="O67" s="26">
        <v>1</v>
      </c>
      <c r="P67" s="24"/>
      <c r="Q67" s="24"/>
      <c r="R67" s="24"/>
      <c r="S67" s="24"/>
      <c r="T67" s="25">
        <f t="shared" si="2"/>
        <v>0</v>
      </c>
    </row>
    <row r="68" spans="1:20" ht="15.75" x14ac:dyDescent="0.25">
      <c r="A68" s="3">
        <f t="shared" si="3"/>
        <v>59</v>
      </c>
      <c r="B68" s="10" t="s">
        <v>76</v>
      </c>
      <c r="C68" s="15" t="s">
        <v>124</v>
      </c>
      <c r="D68" s="2"/>
      <c r="E68" s="10" t="s">
        <v>105</v>
      </c>
      <c r="F68" s="6"/>
      <c r="G68" s="26"/>
      <c r="H68" s="24"/>
      <c r="I68" s="24"/>
      <c r="J68" s="24"/>
      <c r="K68" s="24"/>
      <c r="L68" s="24"/>
      <c r="M68" s="24"/>
      <c r="N68" s="25">
        <f t="shared" si="1"/>
        <v>0</v>
      </c>
      <c r="O68" s="26"/>
      <c r="P68" s="24"/>
      <c r="Q68" s="24"/>
      <c r="R68" s="24"/>
      <c r="S68" s="24"/>
      <c r="T68" s="25">
        <f t="shared" si="2"/>
        <v>0</v>
      </c>
    </row>
    <row r="69" spans="1:20" ht="15.75" x14ac:dyDescent="0.25">
      <c r="A69" s="3">
        <f t="shared" si="3"/>
        <v>60</v>
      </c>
      <c r="B69" s="11" t="s">
        <v>77</v>
      </c>
      <c r="C69" s="15" t="s">
        <v>124</v>
      </c>
      <c r="D69" s="2"/>
      <c r="E69" s="10" t="s">
        <v>111</v>
      </c>
      <c r="F69" s="6"/>
      <c r="G69" s="26"/>
      <c r="H69" s="24"/>
      <c r="I69" s="24"/>
      <c r="J69" s="24"/>
      <c r="K69" s="24"/>
      <c r="L69" s="24"/>
      <c r="M69" s="24"/>
      <c r="N69" s="25">
        <f t="shared" si="1"/>
        <v>0</v>
      </c>
      <c r="O69" s="26"/>
      <c r="P69" s="24"/>
      <c r="Q69" s="24"/>
      <c r="R69" s="24"/>
      <c r="S69" s="24"/>
      <c r="T69" s="25">
        <f t="shared" si="2"/>
        <v>0</v>
      </c>
    </row>
    <row r="70" spans="1:20" ht="15.75" x14ac:dyDescent="0.25">
      <c r="A70" s="3">
        <f t="shared" si="3"/>
        <v>61</v>
      </c>
      <c r="B70" s="10" t="s">
        <v>78</v>
      </c>
      <c r="C70" s="15" t="s">
        <v>124</v>
      </c>
      <c r="D70" s="2"/>
      <c r="E70" s="23" t="s">
        <v>119</v>
      </c>
      <c r="F70" s="6"/>
      <c r="G70" s="26"/>
      <c r="H70" s="24"/>
      <c r="I70" s="24"/>
      <c r="J70" s="24"/>
      <c r="K70" s="24"/>
      <c r="L70" s="24"/>
      <c r="M70" s="24"/>
      <c r="N70" s="25">
        <f t="shared" si="1"/>
        <v>0</v>
      </c>
      <c r="O70" s="26"/>
      <c r="P70" s="24"/>
      <c r="Q70" s="24"/>
      <c r="R70" s="24"/>
      <c r="S70" s="24"/>
      <c r="T70" s="25">
        <f t="shared" si="2"/>
        <v>0</v>
      </c>
    </row>
    <row r="71" spans="1:20" ht="15.75" x14ac:dyDescent="0.25">
      <c r="A71" s="3">
        <f t="shared" si="3"/>
        <v>62</v>
      </c>
      <c r="B71" s="11" t="s">
        <v>79</v>
      </c>
      <c r="C71" s="15" t="s">
        <v>124</v>
      </c>
      <c r="D71" s="2"/>
      <c r="E71" s="17" t="s">
        <v>106</v>
      </c>
      <c r="F71" s="6"/>
      <c r="G71" s="26"/>
      <c r="H71" s="24"/>
      <c r="I71" s="24"/>
      <c r="J71" s="24"/>
      <c r="K71" s="24"/>
      <c r="L71" s="24"/>
      <c r="M71" s="24"/>
      <c r="N71" s="25">
        <f t="shared" si="1"/>
        <v>0</v>
      </c>
      <c r="O71" s="26"/>
      <c r="P71" s="24"/>
      <c r="Q71" s="24"/>
      <c r="R71" s="24"/>
      <c r="S71" s="24"/>
      <c r="T71" s="25">
        <f t="shared" si="2"/>
        <v>0</v>
      </c>
    </row>
    <row r="72" spans="1:20" ht="15.75" x14ac:dyDescent="0.25">
      <c r="A72" s="3">
        <f t="shared" si="3"/>
        <v>63</v>
      </c>
      <c r="B72" s="11" t="s">
        <v>80</v>
      </c>
      <c r="C72" s="15" t="s">
        <v>124</v>
      </c>
      <c r="D72" s="2"/>
      <c r="E72" s="17" t="s">
        <v>106</v>
      </c>
      <c r="F72" s="6"/>
      <c r="G72" s="26"/>
      <c r="H72" s="24"/>
      <c r="I72" s="24"/>
      <c r="J72" s="24"/>
      <c r="K72" s="24"/>
      <c r="L72" s="24"/>
      <c r="M72" s="24"/>
      <c r="N72" s="25">
        <f t="shared" si="1"/>
        <v>0</v>
      </c>
      <c r="O72" s="26"/>
      <c r="P72" s="24"/>
      <c r="Q72" s="24"/>
      <c r="R72" s="24"/>
      <c r="S72" s="24"/>
      <c r="T72" s="25">
        <f t="shared" si="2"/>
        <v>0</v>
      </c>
    </row>
    <row r="73" spans="1:20" ht="15.75" customHeight="1" x14ac:dyDescent="0.25">
      <c r="A73" s="3">
        <f t="shared" si="3"/>
        <v>64</v>
      </c>
      <c r="B73" s="14" t="s">
        <v>81</v>
      </c>
      <c r="C73" s="15" t="s">
        <v>124</v>
      </c>
      <c r="D73" s="2"/>
      <c r="E73" s="10" t="s">
        <v>106</v>
      </c>
      <c r="F73" s="6"/>
      <c r="G73" s="26"/>
      <c r="H73" s="24"/>
      <c r="I73" s="24"/>
      <c r="J73" s="24"/>
      <c r="K73" s="24"/>
      <c r="L73" s="24"/>
      <c r="M73" s="24"/>
      <c r="N73" s="25">
        <f t="shared" si="1"/>
        <v>0</v>
      </c>
      <c r="O73" s="26"/>
      <c r="P73" s="24"/>
      <c r="Q73" s="24"/>
      <c r="R73" s="24"/>
      <c r="S73" s="24"/>
      <c r="T73" s="25">
        <f t="shared" si="2"/>
        <v>0</v>
      </c>
    </row>
    <row r="74" spans="1:20" ht="15.75" x14ac:dyDescent="0.25">
      <c r="A74" s="3">
        <f t="shared" si="3"/>
        <v>65</v>
      </c>
      <c r="B74" s="14" t="s">
        <v>82</v>
      </c>
      <c r="C74" s="15" t="s">
        <v>124</v>
      </c>
      <c r="D74" s="2"/>
      <c r="E74" s="10" t="s">
        <v>106</v>
      </c>
      <c r="F74" s="6"/>
      <c r="G74" s="26">
        <v>1</v>
      </c>
      <c r="H74" s="24"/>
      <c r="I74" s="24"/>
      <c r="J74" s="24"/>
      <c r="K74" s="24"/>
      <c r="L74" s="24"/>
      <c r="M74" s="24"/>
      <c r="N74" s="25">
        <f t="shared" si="1"/>
        <v>0</v>
      </c>
      <c r="O74" s="26"/>
      <c r="P74" s="24"/>
      <c r="Q74" s="24"/>
      <c r="R74" s="24"/>
      <c r="S74" s="24"/>
      <c r="T74" s="25">
        <f t="shared" si="2"/>
        <v>0</v>
      </c>
    </row>
    <row r="75" spans="1:20" ht="15.75" x14ac:dyDescent="0.25">
      <c r="A75" s="3">
        <f t="shared" si="3"/>
        <v>66</v>
      </c>
      <c r="B75" s="14" t="s">
        <v>83</v>
      </c>
      <c r="C75" s="15" t="s">
        <v>124</v>
      </c>
      <c r="D75" s="2"/>
      <c r="E75" s="10" t="s">
        <v>106</v>
      </c>
      <c r="F75" s="6"/>
      <c r="G75" s="26">
        <v>2</v>
      </c>
      <c r="H75" s="24"/>
      <c r="I75" s="24"/>
      <c r="J75" s="24"/>
      <c r="K75" s="24"/>
      <c r="L75" s="24"/>
      <c r="M75" s="24"/>
      <c r="N75" s="25">
        <f t="shared" ref="N75:N96" si="4" xml:space="preserve"> (L75-M75)</f>
        <v>0</v>
      </c>
      <c r="O75" s="26"/>
      <c r="P75" s="24"/>
      <c r="Q75" s="24"/>
      <c r="R75" s="24"/>
      <c r="S75" s="24"/>
      <c r="T75" s="25">
        <f t="shared" ref="T75:T96" si="5" xml:space="preserve"> (R75-S75)</f>
        <v>0</v>
      </c>
    </row>
    <row r="76" spans="1:20" ht="15.75" x14ac:dyDescent="0.25">
      <c r="A76" s="3">
        <f t="shared" ref="A76:A96" si="6">A75+1</f>
        <v>67</v>
      </c>
      <c r="B76" s="11" t="s">
        <v>84</v>
      </c>
      <c r="C76" s="15" t="s">
        <v>124</v>
      </c>
      <c r="D76" s="2"/>
      <c r="E76" s="10" t="s">
        <v>120</v>
      </c>
      <c r="F76" s="6"/>
      <c r="G76" s="26"/>
      <c r="H76" s="24"/>
      <c r="I76" s="24"/>
      <c r="J76" s="24"/>
      <c r="K76" s="24"/>
      <c r="L76" s="24"/>
      <c r="M76" s="24"/>
      <c r="N76" s="25">
        <f t="shared" si="4"/>
        <v>0</v>
      </c>
      <c r="O76" s="26"/>
      <c r="P76" s="24"/>
      <c r="Q76" s="24"/>
      <c r="R76" s="24"/>
      <c r="S76" s="24"/>
      <c r="T76" s="25">
        <f t="shared" si="5"/>
        <v>0</v>
      </c>
    </row>
    <row r="77" spans="1:20" ht="15.75" x14ac:dyDescent="0.25">
      <c r="A77" s="3">
        <f t="shared" si="6"/>
        <v>68</v>
      </c>
      <c r="B77" s="13" t="s">
        <v>85</v>
      </c>
      <c r="C77" s="15" t="s">
        <v>124</v>
      </c>
      <c r="D77" s="2"/>
      <c r="E77" s="19" t="s">
        <v>106</v>
      </c>
      <c r="F77" s="6"/>
      <c r="G77" s="26"/>
      <c r="H77" s="24"/>
      <c r="I77" s="24"/>
      <c r="J77" s="24"/>
      <c r="K77" s="24"/>
      <c r="L77" s="24"/>
      <c r="M77" s="24"/>
      <c r="N77" s="25">
        <f t="shared" si="4"/>
        <v>0</v>
      </c>
      <c r="O77" s="26"/>
      <c r="P77" s="24"/>
      <c r="Q77" s="24"/>
      <c r="R77" s="24"/>
      <c r="S77" s="24"/>
      <c r="T77" s="25">
        <f t="shared" si="5"/>
        <v>0</v>
      </c>
    </row>
    <row r="78" spans="1:20" ht="15.75" x14ac:dyDescent="0.25">
      <c r="A78" s="3">
        <f t="shared" si="6"/>
        <v>69</v>
      </c>
      <c r="B78" s="10" t="s">
        <v>86</v>
      </c>
      <c r="C78" s="15" t="s">
        <v>124</v>
      </c>
      <c r="D78" s="2"/>
      <c r="E78" s="22" t="s">
        <v>118</v>
      </c>
      <c r="F78" s="6"/>
      <c r="G78" s="26"/>
      <c r="H78" s="24"/>
      <c r="I78" s="24"/>
      <c r="J78" s="24"/>
      <c r="K78" s="24"/>
      <c r="L78" s="24"/>
      <c r="M78" s="24"/>
      <c r="N78" s="25">
        <f t="shared" si="4"/>
        <v>0</v>
      </c>
      <c r="O78" s="26"/>
      <c r="P78" s="24"/>
      <c r="Q78" s="24"/>
      <c r="R78" s="24"/>
      <c r="S78" s="24"/>
      <c r="T78" s="25">
        <f t="shared" si="5"/>
        <v>0</v>
      </c>
    </row>
    <row r="79" spans="1:20" ht="15.75" x14ac:dyDescent="0.25">
      <c r="A79" s="3">
        <f t="shared" si="6"/>
        <v>70</v>
      </c>
      <c r="B79" s="10" t="s">
        <v>87</v>
      </c>
      <c r="C79" s="15" t="s">
        <v>124</v>
      </c>
      <c r="D79" s="2"/>
      <c r="E79" s="22" t="s">
        <v>115</v>
      </c>
      <c r="F79" s="6"/>
      <c r="G79" s="26"/>
      <c r="H79" s="24"/>
      <c r="I79" s="24"/>
      <c r="J79" s="24"/>
      <c r="K79" s="24"/>
      <c r="L79" s="24"/>
      <c r="M79" s="24"/>
      <c r="N79" s="25">
        <f t="shared" si="4"/>
        <v>0</v>
      </c>
      <c r="O79" s="26"/>
      <c r="P79" s="24"/>
      <c r="Q79" s="24"/>
      <c r="R79" s="24"/>
      <c r="S79" s="24"/>
      <c r="T79" s="25">
        <f t="shared" si="5"/>
        <v>0</v>
      </c>
    </row>
    <row r="80" spans="1:20" ht="15.75" x14ac:dyDescent="0.25">
      <c r="A80" s="3">
        <f t="shared" si="6"/>
        <v>71</v>
      </c>
      <c r="B80" s="11" t="s">
        <v>88</v>
      </c>
      <c r="C80" s="15" t="s">
        <v>124</v>
      </c>
      <c r="D80" s="2"/>
      <c r="E80" s="17" t="s">
        <v>121</v>
      </c>
      <c r="F80" s="6"/>
      <c r="G80" s="26"/>
      <c r="H80" s="24"/>
      <c r="I80" s="24"/>
      <c r="J80" s="24"/>
      <c r="K80" s="24"/>
      <c r="L80" s="24"/>
      <c r="M80" s="24"/>
      <c r="N80" s="25">
        <f t="shared" si="4"/>
        <v>0</v>
      </c>
      <c r="O80" s="26"/>
      <c r="P80" s="24"/>
      <c r="Q80" s="24"/>
      <c r="R80" s="24"/>
      <c r="S80" s="24"/>
      <c r="T80" s="25">
        <f t="shared" si="5"/>
        <v>0</v>
      </c>
    </row>
    <row r="81" spans="1:20" ht="15.75" x14ac:dyDescent="0.25">
      <c r="A81" s="3">
        <f t="shared" si="6"/>
        <v>72</v>
      </c>
      <c r="B81" s="14" t="s">
        <v>89</v>
      </c>
      <c r="C81" s="15" t="s">
        <v>124</v>
      </c>
      <c r="D81" s="2"/>
      <c r="E81" s="19" t="s">
        <v>106</v>
      </c>
      <c r="F81" s="6"/>
      <c r="G81" s="26"/>
      <c r="H81" s="24"/>
      <c r="I81" s="24"/>
      <c r="J81" s="24"/>
      <c r="K81" s="24"/>
      <c r="L81" s="24"/>
      <c r="M81" s="24"/>
      <c r="N81" s="25">
        <f t="shared" si="4"/>
        <v>0</v>
      </c>
      <c r="O81" s="26"/>
      <c r="P81" s="24"/>
      <c r="Q81" s="24"/>
      <c r="R81" s="24"/>
      <c r="S81" s="24"/>
      <c r="T81" s="25">
        <f t="shared" si="5"/>
        <v>0</v>
      </c>
    </row>
    <row r="82" spans="1:20" ht="15.75" x14ac:dyDescent="0.25">
      <c r="A82" s="3">
        <f t="shared" si="6"/>
        <v>73</v>
      </c>
      <c r="B82" s="14" t="s">
        <v>90</v>
      </c>
      <c r="C82" s="15" t="s">
        <v>124</v>
      </c>
      <c r="D82" s="2"/>
      <c r="E82" s="19" t="s">
        <v>106</v>
      </c>
      <c r="F82" s="6"/>
      <c r="G82" s="26"/>
      <c r="H82" s="24"/>
      <c r="I82" s="24"/>
      <c r="J82" s="24"/>
      <c r="K82" s="24"/>
      <c r="L82" s="24"/>
      <c r="M82" s="24"/>
      <c r="N82" s="25">
        <f t="shared" si="4"/>
        <v>0</v>
      </c>
      <c r="O82" s="26"/>
      <c r="P82" s="24"/>
      <c r="Q82" s="24"/>
      <c r="R82" s="24"/>
      <c r="S82" s="24"/>
      <c r="T82" s="25">
        <f t="shared" si="5"/>
        <v>0</v>
      </c>
    </row>
    <row r="83" spans="1:20" ht="15.75" x14ac:dyDescent="0.25">
      <c r="A83" s="3">
        <f t="shared" si="6"/>
        <v>74</v>
      </c>
      <c r="B83" s="10" t="s">
        <v>91</v>
      </c>
      <c r="C83" s="15" t="s">
        <v>124</v>
      </c>
      <c r="D83" s="2"/>
      <c r="E83" s="17" t="s">
        <v>111</v>
      </c>
      <c r="F83" s="6"/>
      <c r="G83" s="26"/>
      <c r="H83" s="24"/>
      <c r="I83" s="24"/>
      <c r="J83" s="24"/>
      <c r="K83" s="24"/>
      <c r="L83" s="24"/>
      <c r="M83" s="24"/>
      <c r="N83" s="25">
        <f t="shared" si="4"/>
        <v>0</v>
      </c>
      <c r="O83" s="26"/>
      <c r="P83" s="24"/>
      <c r="Q83" s="24"/>
      <c r="R83" s="24"/>
      <c r="S83" s="24"/>
      <c r="T83" s="25">
        <f t="shared" si="5"/>
        <v>0</v>
      </c>
    </row>
    <row r="84" spans="1:20" ht="15.75" x14ac:dyDescent="0.25">
      <c r="A84" s="3">
        <f t="shared" si="6"/>
        <v>75</v>
      </c>
      <c r="B84" s="10" t="s">
        <v>92</v>
      </c>
      <c r="C84" s="15" t="s">
        <v>124</v>
      </c>
      <c r="D84" s="2"/>
      <c r="E84" s="19" t="s">
        <v>106</v>
      </c>
      <c r="F84" s="6"/>
      <c r="G84" s="26"/>
      <c r="H84" s="24"/>
      <c r="I84" s="24"/>
      <c r="J84" s="24"/>
      <c r="K84" s="24"/>
      <c r="L84" s="24"/>
      <c r="M84" s="24"/>
      <c r="N84" s="25">
        <f t="shared" si="4"/>
        <v>0</v>
      </c>
      <c r="O84" s="26"/>
      <c r="P84" s="24"/>
      <c r="Q84" s="24"/>
      <c r="R84" s="24"/>
      <c r="S84" s="24"/>
      <c r="T84" s="25">
        <f t="shared" si="5"/>
        <v>0</v>
      </c>
    </row>
    <row r="85" spans="1:20" ht="15.75" x14ac:dyDescent="0.25">
      <c r="A85" s="3">
        <f t="shared" si="6"/>
        <v>76</v>
      </c>
      <c r="B85" s="11" t="s">
        <v>93</v>
      </c>
      <c r="C85" s="15" t="s">
        <v>124</v>
      </c>
      <c r="D85" s="2"/>
      <c r="E85" s="17" t="s">
        <v>122</v>
      </c>
      <c r="F85" s="6"/>
      <c r="G85" s="26"/>
      <c r="H85" s="24"/>
      <c r="I85" s="24"/>
      <c r="J85" s="24"/>
      <c r="K85" s="24"/>
      <c r="L85" s="24"/>
      <c r="M85" s="24"/>
      <c r="N85" s="25">
        <f t="shared" si="4"/>
        <v>0</v>
      </c>
      <c r="O85" s="26"/>
      <c r="P85" s="24"/>
      <c r="Q85" s="24"/>
      <c r="R85" s="24"/>
      <c r="S85" s="24"/>
      <c r="T85" s="25">
        <f t="shared" si="5"/>
        <v>0</v>
      </c>
    </row>
    <row r="86" spans="1:20" ht="15.75" x14ac:dyDescent="0.25">
      <c r="A86" s="3">
        <f t="shared" si="6"/>
        <v>77</v>
      </c>
      <c r="B86" s="11" t="s">
        <v>94</v>
      </c>
      <c r="C86" s="15" t="s">
        <v>124</v>
      </c>
      <c r="D86" s="2"/>
      <c r="E86" s="19" t="s">
        <v>106</v>
      </c>
      <c r="F86" s="6"/>
      <c r="G86" s="26"/>
      <c r="H86" s="24"/>
      <c r="I86" s="24"/>
      <c r="J86" s="24"/>
      <c r="K86" s="24"/>
      <c r="L86" s="24"/>
      <c r="M86" s="24"/>
      <c r="N86" s="25">
        <f t="shared" si="4"/>
        <v>0</v>
      </c>
      <c r="O86" s="26"/>
      <c r="P86" s="24"/>
      <c r="Q86" s="24"/>
      <c r="R86" s="24"/>
      <c r="S86" s="24"/>
      <c r="T86" s="25">
        <f t="shared" si="5"/>
        <v>0</v>
      </c>
    </row>
    <row r="87" spans="1:20" ht="15.75" x14ac:dyDescent="0.25">
      <c r="A87" s="3">
        <f t="shared" si="6"/>
        <v>78</v>
      </c>
      <c r="B87" s="11" t="s">
        <v>95</v>
      </c>
      <c r="C87" s="15" t="s">
        <v>124</v>
      </c>
      <c r="D87" s="2"/>
      <c r="E87" s="19" t="s">
        <v>123</v>
      </c>
      <c r="F87" s="6"/>
      <c r="G87" s="26"/>
      <c r="H87" s="24"/>
      <c r="I87" s="24"/>
      <c r="J87" s="24"/>
      <c r="K87" s="24"/>
      <c r="L87" s="24"/>
      <c r="M87" s="24"/>
      <c r="N87" s="25">
        <f t="shared" si="4"/>
        <v>0</v>
      </c>
      <c r="O87" s="26"/>
      <c r="P87" s="24"/>
      <c r="Q87" s="24"/>
      <c r="R87" s="24"/>
      <c r="S87" s="24"/>
      <c r="T87" s="25">
        <f t="shared" si="5"/>
        <v>0</v>
      </c>
    </row>
    <row r="88" spans="1:20" ht="15.75" x14ac:dyDescent="0.25">
      <c r="A88" s="3">
        <f t="shared" si="6"/>
        <v>79</v>
      </c>
      <c r="B88" s="11" t="s">
        <v>96</v>
      </c>
      <c r="C88" s="15" t="s">
        <v>124</v>
      </c>
      <c r="D88" s="2"/>
      <c r="E88" s="22" t="s">
        <v>112</v>
      </c>
      <c r="F88" s="6"/>
      <c r="G88" s="26">
        <v>1</v>
      </c>
      <c r="H88" s="24"/>
      <c r="I88" s="24"/>
      <c r="J88" s="24"/>
      <c r="K88" s="24"/>
      <c r="L88" s="24"/>
      <c r="M88" s="24"/>
      <c r="N88" s="25">
        <f t="shared" si="4"/>
        <v>0</v>
      </c>
      <c r="O88" s="26"/>
      <c r="P88" s="24"/>
      <c r="Q88" s="24"/>
      <c r="R88" s="24"/>
      <c r="S88" s="24"/>
      <c r="T88" s="25">
        <f t="shared" si="5"/>
        <v>0</v>
      </c>
    </row>
    <row r="89" spans="1:20" ht="15.75" x14ac:dyDescent="0.25">
      <c r="A89" s="3">
        <f t="shared" si="6"/>
        <v>80</v>
      </c>
      <c r="B89" s="11" t="s">
        <v>97</v>
      </c>
      <c r="C89" s="15" t="s">
        <v>124</v>
      </c>
      <c r="D89" s="2"/>
      <c r="E89" s="17" t="s">
        <v>111</v>
      </c>
      <c r="F89" s="6"/>
      <c r="G89" s="26"/>
      <c r="H89" s="24"/>
      <c r="I89" s="24"/>
      <c r="J89" s="24"/>
      <c r="K89" s="24"/>
      <c r="L89" s="24"/>
      <c r="M89" s="24"/>
      <c r="N89" s="25">
        <f t="shared" si="4"/>
        <v>0</v>
      </c>
      <c r="O89" s="26"/>
      <c r="P89" s="24"/>
      <c r="Q89" s="24"/>
      <c r="R89" s="24"/>
      <c r="S89" s="24"/>
      <c r="T89" s="25">
        <f t="shared" si="5"/>
        <v>0</v>
      </c>
    </row>
    <row r="90" spans="1:20" ht="15.75" x14ac:dyDescent="0.25">
      <c r="A90" s="3">
        <f t="shared" si="6"/>
        <v>81</v>
      </c>
      <c r="B90" s="10" t="s">
        <v>98</v>
      </c>
      <c r="C90" s="15" t="s">
        <v>124</v>
      </c>
      <c r="D90" s="2"/>
      <c r="E90" s="19" t="s">
        <v>106</v>
      </c>
      <c r="F90" s="6"/>
      <c r="G90" s="26">
        <v>1</v>
      </c>
      <c r="H90" s="24"/>
      <c r="I90" s="24"/>
      <c r="J90" s="24"/>
      <c r="K90" s="24"/>
      <c r="L90" s="24"/>
      <c r="M90" s="24"/>
      <c r="N90" s="25">
        <f t="shared" si="4"/>
        <v>0</v>
      </c>
      <c r="O90" s="26"/>
      <c r="P90" s="24"/>
      <c r="Q90" s="24"/>
      <c r="R90" s="24"/>
      <c r="S90" s="24"/>
      <c r="T90" s="25">
        <f t="shared" si="5"/>
        <v>0</v>
      </c>
    </row>
    <row r="91" spans="1:20" ht="15.75" x14ac:dyDescent="0.25">
      <c r="A91" s="3">
        <f t="shared" si="6"/>
        <v>82</v>
      </c>
      <c r="B91" s="10" t="s">
        <v>99</v>
      </c>
      <c r="C91" s="15" t="s">
        <v>124</v>
      </c>
      <c r="D91" s="2"/>
      <c r="E91" s="19" t="s">
        <v>106</v>
      </c>
      <c r="F91" s="6"/>
      <c r="G91" s="26"/>
      <c r="H91" s="24"/>
      <c r="I91" s="24"/>
      <c r="J91" s="24"/>
      <c r="K91" s="24"/>
      <c r="L91" s="24"/>
      <c r="M91" s="24"/>
      <c r="N91" s="25">
        <f t="shared" si="4"/>
        <v>0</v>
      </c>
      <c r="O91" s="26"/>
      <c r="P91" s="24"/>
      <c r="Q91" s="24"/>
      <c r="R91" s="24"/>
      <c r="S91" s="24"/>
      <c r="T91" s="25">
        <f t="shared" si="5"/>
        <v>0</v>
      </c>
    </row>
    <row r="92" spans="1:20" ht="15.75" x14ac:dyDescent="0.25">
      <c r="A92" s="3">
        <f t="shared" si="6"/>
        <v>83</v>
      </c>
      <c r="B92" s="13" t="s">
        <v>100</v>
      </c>
      <c r="C92" s="15" t="s">
        <v>124</v>
      </c>
      <c r="D92" s="2"/>
      <c r="E92" s="19" t="s">
        <v>106</v>
      </c>
      <c r="F92" s="6"/>
      <c r="G92" s="26"/>
      <c r="H92" s="24"/>
      <c r="I92" s="24"/>
      <c r="J92" s="24"/>
      <c r="K92" s="24"/>
      <c r="L92" s="24"/>
      <c r="M92" s="24"/>
      <c r="N92" s="25">
        <f t="shared" si="4"/>
        <v>0</v>
      </c>
      <c r="O92" s="26"/>
      <c r="P92" s="24"/>
      <c r="Q92" s="24"/>
      <c r="R92" s="24"/>
      <c r="S92" s="24"/>
      <c r="T92" s="25">
        <f t="shared" si="5"/>
        <v>0</v>
      </c>
    </row>
    <row r="93" spans="1:20" ht="15.75" x14ac:dyDescent="0.25">
      <c r="A93" s="3">
        <f t="shared" si="6"/>
        <v>84</v>
      </c>
      <c r="B93" s="13" t="s">
        <v>101</v>
      </c>
      <c r="C93" s="15" t="s">
        <v>124</v>
      </c>
      <c r="D93" s="2"/>
      <c r="E93" s="17" t="s">
        <v>106</v>
      </c>
      <c r="F93" s="6"/>
      <c r="G93" s="26"/>
      <c r="H93" s="24"/>
      <c r="I93" s="24"/>
      <c r="J93" s="24"/>
      <c r="K93" s="24"/>
      <c r="L93" s="24"/>
      <c r="M93" s="24"/>
      <c r="N93" s="25">
        <f t="shared" si="4"/>
        <v>0</v>
      </c>
      <c r="O93" s="26"/>
      <c r="P93" s="24"/>
      <c r="Q93" s="24"/>
      <c r="R93" s="24"/>
      <c r="S93" s="24"/>
      <c r="T93" s="25">
        <f t="shared" si="5"/>
        <v>0</v>
      </c>
    </row>
    <row r="94" spans="1:20" ht="15.75" x14ac:dyDescent="0.25">
      <c r="A94" s="3">
        <f t="shared" si="6"/>
        <v>85</v>
      </c>
      <c r="B94" s="13" t="s">
        <v>102</v>
      </c>
      <c r="C94" s="15" t="s">
        <v>124</v>
      </c>
      <c r="D94" s="2"/>
      <c r="E94" s="17" t="s">
        <v>106</v>
      </c>
      <c r="F94" s="6"/>
      <c r="G94" s="26">
        <v>2</v>
      </c>
      <c r="H94" s="24"/>
      <c r="I94" s="24"/>
      <c r="J94" s="24"/>
      <c r="K94" s="24"/>
      <c r="L94" s="24"/>
      <c r="M94" s="24"/>
      <c r="N94" s="25">
        <f t="shared" si="4"/>
        <v>0</v>
      </c>
      <c r="O94" s="26"/>
      <c r="P94" s="24"/>
      <c r="Q94" s="24"/>
      <c r="R94" s="24"/>
      <c r="S94" s="24"/>
      <c r="T94" s="25">
        <f t="shared" si="5"/>
        <v>0</v>
      </c>
    </row>
    <row r="95" spans="1:20" ht="15.75" x14ac:dyDescent="0.25">
      <c r="A95" s="3">
        <f t="shared" si="6"/>
        <v>86</v>
      </c>
      <c r="B95" s="11" t="s">
        <v>103</v>
      </c>
      <c r="C95" s="15" t="s">
        <v>124</v>
      </c>
      <c r="D95" s="2"/>
      <c r="E95" s="22" t="s">
        <v>112</v>
      </c>
      <c r="F95" s="6"/>
      <c r="G95" s="26"/>
      <c r="H95" s="24"/>
      <c r="I95" s="24"/>
      <c r="J95" s="24"/>
      <c r="K95" s="24"/>
      <c r="L95" s="24"/>
      <c r="M95" s="24"/>
      <c r="N95" s="25">
        <f t="shared" si="4"/>
        <v>0</v>
      </c>
      <c r="O95" s="26"/>
      <c r="P95" s="24"/>
      <c r="Q95" s="24"/>
      <c r="R95" s="24"/>
      <c r="S95" s="24"/>
      <c r="T95" s="25">
        <f t="shared" si="5"/>
        <v>0</v>
      </c>
    </row>
    <row r="96" spans="1:20" ht="16.5" thickBot="1" x14ac:dyDescent="0.3">
      <c r="A96" s="29">
        <f t="shared" si="6"/>
        <v>87</v>
      </c>
      <c r="B96" s="30" t="s">
        <v>104</v>
      </c>
      <c r="C96" s="31" t="s">
        <v>124</v>
      </c>
      <c r="D96" s="32"/>
      <c r="E96" s="33" t="s">
        <v>106</v>
      </c>
      <c r="F96" s="34"/>
      <c r="G96" s="35">
        <v>1</v>
      </c>
      <c r="H96" s="36"/>
      <c r="I96" s="36"/>
      <c r="J96" s="36"/>
      <c r="K96" s="36"/>
      <c r="L96" s="36"/>
      <c r="M96" s="36"/>
      <c r="N96" s="37">
        <f t="shared" si="4"/>
        <v>0</v>
      </c>
      <c r="O96" s="35"/>
      <c r="P96" s="36"/>
      <c r="Q96" s="36"/>
      <c r="R96" s="36"/>
      <c r="S96" s="36"/>
      <c r="T96" s="37">
        <f t="shared" si="5"/>
        <v>0</v>
      </c>
    </row>
    <row r="97" spans="1:20" x14ac:dyDescent="0.25">
      <c r="A97" s="294"/>
      <c r="B97" s="294"/>
      <c r="C97" s="294"/>
      <c r="D97" s="294"/>
      <c r="E97" s="294"/>
      <c r="F97" s="294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8"/>
      <c r="T97" s="28"/>
    </row>
  </sheetData>
  <mergeCells count="8">
    <mergeCell ref="A97:F97"/>
    <mergeCell ref="A2:T6"/>
    <mergeCell ref="R1:T1"/>
    <mergeCell ref="A7:A8"/>
    <mergeCell ref="B7:F7"/>
    <mergeCell ref="G7:N7"/>
    <mergeCell ref="O7:T7"/>
    <mergeCell ref="A1:Q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30" orientation="landscape" r:id="rId1"/>
  <webPublishItems count="1">
    <webPublishItem id="30525" divId="sumy_lawyers_workload_fees_2016_30525" sourceType="sheet" destinationFile="C:\Users\User\Desktop\sumy_lawyers_workload_fees_2016.htm"/>
  </webPublishItem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3"/>
  <sheetViews>
    <sheetView topLeftCell="H82" workbookViewId="0">
      <selection activeCell="D74" sqref="A74:IV74"/>
    </sheetView>
  </sheetViews>
  <sheetFormatPr defaultRowHeight="15" x14ac:dyDescent="0.25"/>
  <cols>
    <col min="2" max="2" width="39.5703125" customWidth="1"/>
    <col min="3" max="3" width="9.140625" customWidth="1"/>
    <col min="4" max="4" width="12.85546875" customWidth="1"/>
    <col min="5" max="5" width="19.7109375" customWidth="1"/>
    <col min="6" max="6" width="21.140625" customWidth="1"/>
    <col min="7" max="7" width="21" customWidth="1"/>
    <col min="8" max="8" width="26.140625" customWidth="1"/>
    <col min="9" max="9" width="20.140625" customWidth="1"/>
    <col min="10" max="10" width="16.42578125" customWidth="1"/>
    <col min="11" max="11" width="12.5703125" customWidth="1"/>
    <col min="12" max="12" width="13" customWidth="1"/>
    <col min="13" max="13" width="12.7109375" customWidth="1"/>
    <col min="14" max="14" width="12" customWidth="1"/>
    <col min="15" max="15" width="13.42578125" customWidth="1"/>
    <col min="16" max="16" width="11.85546875" customWidth="1"/>
    <col min="17" max="17" width="12.28515625" customWidth="1"/>
    <col min="18" max="18" width="11.7109375" customWidth="1"/>
    <col min="19" max="19" width="13.42578125" customWidth="1"/>
  </cols>
  <sheetData>
    <row r="1" spans="1:20" ht="15.75" thickBot="1" x14ac:dyDescent="0.3">
      <c r="A1" s="310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2"/>
      <c r="R1" s="313" t="s">
        <v>17</v>
      </c>
      <c r="S1" s="313"/>
      <c r="T1" s="313"/>
    </row>
    <row r="2" spans="1:20" x14ac:dyDescent="0.25">
      <c r="A2" s="295" t="s">
        <v>239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7"/>
    </row>
    <row r="3" spans="1:20" x14ac:dyDescent="0.25">
      <c r="A3" s="298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300"/>
    </row>
    <row r="4" spans="1:20" x14ac:dyDescent="0.25">
      <c r="A4" s="298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300"/>
    </row>
    <row r="5" spans="1:20" x14ac:dyDescent="0.25">
      <c r="A5" s="298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300"/>
    </row>
    <row r="6" spans="1:20" ht="15.75" thickBot="1" x14ac:dyDescent="0.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3"/>
    </row>
    <row r="7" spans="1:20" ht="59.25" customHeight="1" thickBot="1" x14ac:dyDescent="0.3">
      <c r="A7" s="317" t="s">
        <v>0</v>
      </c>
      <c r="B7" s="319" t="s">
        <v>1</v>
      </c>
      <c r="C7" s="320"/>
      <c r="D7" s="320"/>
      <c r="E7" s="320"/>
      <c r="F7" s="321"/>
      <c r="G7" s="319" t="s">
        <v>2</v>
      </c>
      <c r="H7" s="320"/>
      <c r="I7" s="320"/>
      <c r="J7" s="320"/>
      <c r="K7" s="320"/>
      <c r="L7" s="320"/>
      <c r="M7" s="320"/>
      <c r="N7" s="321"/>
      <c r="O7" s="322" t="s">
        <v>238</v>
      </c>
      <c r="P7" s="323"/>
      <c r="Q7" s="323"/>
      <c r="R7" s="323"/>
      <c r="S7" s="323"/>
      <c r="T7" s="324"/>
    </row>
    <row r="8" spans="1:20" ht="127.5" x14ac:dyDescent="0.25">
      <c r="A8" s="318"/>
      <c r="B8" s="8" t="s">
        <v>4</v>
      </c>
      <c r="C8" s="8" t="s">
        <v>5</v>
      </c>
      <c r="D8" s="8" t="s">
        <v>6</v>
      </c>
      <c r="E8" s="8" t="s">
        <v>7</v>
      </c>
      <c r="F8" s="41" t="s">
        <v>8</v>
      </c>
      <c r="G8" s="7" t="s">
        <v>9</v>
      </c>
      <c r="H8" s="8" t="s">
        <v>10</v>
      </c>
      <c r="I8" s="8" t="s">
        <v>11</v>
      </c>
      <c r="J8" s="8" t="s">
        <v>12</v>
      </c>
      <c r="K8" s="40" t="s">
        <v>13</v>
      </c>
      <c r="L8" s="40" t="s">
        <v>14</v>
      </c>
      <c r="M8" s="40" t="s">
        <v>15</v>
      </c>
      <c r="N8" s="41" t="s">
        <v>16</v>
      </c>
      <c r="O8" s="42" t="s">
        <v>11</v>
      </c>
      <c r="P8" s="40" t="s">
        <v>12</v>
      </c>
      <c r="Q8" s="40" t="s">
        <v>13</v>
      </c>
      <c r="R8" s="40" t="s">
        <v>14</v>
      </c>
      <c r="S8" s="40" t="s">
        <v>15</v>
      </c>
      <c r="T8" s="41" t="s">
        <v>16</v>
      </c>
    </row>
    <row r="9" spans="1:20" x14ac:dyDescent="0.25">
      <c r="A9" s="4">
        <v>1</v>
      </c>
      <c r="B9" s="1">
        <v>2</v>
      </c>
      <c r="C9" s="1">
        <v>3</v>
      </c>
      <c r="D9" s="1">
        <v>4</v>
      </c>
      <c r="E9" s="1">
        <v>5</v>
      </c>
      <c r="F9" s="44">
        <v>6</v>
      </c>
      <c r="G9" s="4">
        <f>F9+1</f>
        <v>7</v>
      </c>
      <c r="H9" s="1">
        <f t="shared" ref="H9:T9" si="0">G9+1</f>
        <v>8</v>
      </c>
      <c r="I9" s="1">
        <f t="shared" si="0"/>
        <v>9</v>
      </c>
      <c r="J9" s="1">
        <f t="shared" si="0"/>
        <v>10</v>
      </c>
      <c r="K9" s="43">
        <f t="shared" si="0"/>
        <v>11</v>
      </c>
      <c r="L9" s="43">
        <f t="shared" si="0"/>
        <v>12</v>
      </c>
      <c r="M9" s="43">
        <f t="shared" si="0"/>
        <v>13</v>
      </c>
      <c r="N9" s="44">
        <f t="shared" si="0"/>
        <v>14</v>
      </c>
      <c r="O9" s="45">
        <f t="shared" si="0"/>
        <v>15</v>
      </c>
      <c r="P9" s="43">
        <f t="shared" si="0"/>
        <v>16</v>
      </c>
      <c r="Q9" s="43">
        <f t="shared" si="0"/>
        <v>17</v>
      </c>
      <c r="R9" s="43">
        <f t="shared" si="0"/>
        <v>18</v>
      </c>
      <c r="S9" s="43">
        <f t="shared" si="0"/>
        <v>19</v>
      </c>
      <c r="T9" s="44">
        <f t="shared" si="0"/>
        <v>20</v>
      </c>
    </row>
    <row r="10" spans="1:20" ht="15.75" x14ac:dyDescent="0.25">
      <c r="A10" s="3">
        <v>1</v>
      </c>
      <c r="B10" s="10" t="s">
        <v>18</v>
      </c>
      <c r="C10" s="15" t="s">
        <v>124</v>
      </c>
      <c r="D10" s="2"/>
      <c r="E10" s="16" t="s">
        <v>105</v>
      </c>
      <c r="F10" s="56" t="s">
        <v>138</v>
      </c>
      <c r="G10" s="26">
        <v>10</v>
      </c>
      <c r="H10" s="24">
        <v>3</v>
      </c>
      <c r="I10" s="24">
        <v>3</v>
      </c>
      <c r="J10" s="24">
        <v>3</v>
      </c>
      <c r="K10" s="46">
        <v>3</v>
      </c>
      <c r="L10" s="46">
        <v>1033.5</v>
      </c>
      <c r="M10" s="46">
        <v>1033.5</v>
      </c>
      <c r="N10" s="47">
        <f xml:space="preserve"> (L10-M10)</f>
        <v>0</v>
      </c>
      <c r="O10" s="48">
        <v>4</v>
      </c>
      <c r="P10" s="46">
        <v>4</v>
      </c>
      <c r="Q10" s="46">
        <v>4</v>
      </c>
      <c r="R10" s="46">
        <v>3352.81</v>
      </c>
      <c r="S10" s="46">
        <v>3352.81</v>
      </c>
      <c r="T10" s="47">
        <f xml:space="preserve"> (R10-S10)</f>
        <v>0</v>
      </c>
    </row>
    <row r="11" spans="1:20" ht="15.75" x14ac:dyDescent="0.25">
      <c r="A11" s="3">
        <f>A10+1</f>
        <v>2</v>
      </c>
      <c r="B11" s="10" t="s">
        <v>19</v>
      </c>
      <c r="C11" s="15" t="s">
        <v>124</v>
      </c>
      <c r="D11" s="2"/>
      <c r="E11" s="17" t="s">
        <v>106</v>
      </c>
      <c r="F11" s="56" t="s">
        <v>139</v>
      </c>
      <c r="G11" s="26">
        <v>2</v>
      </c>
      <c r="H11" s="24"/>
      <c r="I11" s="24"/>
      <c r="J11" s="24"/>
      <c r="K11" s="46"/>
      <c r="L11" s="46"/>
      <c r="M11" s="46"/>
      <c r="N11" s="47">
        <f t="shared" ref="N11:N74" si="1" xml:space="preserve"> (L11-M11)</f>
        <v>0</v>
      </c>
      <c r="O11" s="48">
        <v>1</v>
      </c>
      <c r="P11" s="46">
        <v>1</v>
      </c>
      <c r="Q11" s="46">
        <v>1</v>
      </c>
      <c r="R11" s="46">
        <v>234.23</v>
      </c>
      <c r="S11" s="46">
        <v>234.23</v>
      </c>
      <c r="T11" s="47">
        <f t="shared" ref="T11:T74" si="2" xml:space="preserve"> (R11-S11)</f>
        <v>0</v>
      </c>
    </row>
    <row r="12" spans="1:20" ht="15.75" x14ac:dyDescent="0.25">
      <c r="A12" s="3">
        <f t="shared" ref="A12:A75" si="3">A11+1</f>
        <v>3</v>
      </c>
      <c r="B12" s="11" t="s">
        <v>20</v>
      </c>
      <c r="C12" s="15" t="s">
        <v>124</v>
      </c>
      <c r="D12" s="2"/>
      <c r="E12" s="17" t="s">
        <v>107</v>
      </c>
      <c r="F12" s="56" t="s">
        <v>223</v>
      </c>
      <c r="G12" s="26"/>
      <c r="H12" s="24"/>
      <c r="I12" s="24"/>
      <c r="J12" s="24"/>
      <c r="K12" s="46"/>
      <c r="L12" s="46"/>
      <c r="M12" s="46"/>
      <c r="N12" s="47">
        <f t="shared" si="1"/>
        <v>0</v>
      </c>
      <c r="O12" s="48">
        <v>2</v>
      </c>
      <c r="P12" s="46">
        <v>2</v>
      </c>
      <c r="Q12" s="46">
        <v>2</v>
      </c>
      <c r="R12" s="46"/>
      <c r="S12" s="46"/>
      <c r="T12" s="47">
        <f t="shared" si="2"/>
        <v>0</v>
      </c>
    </row>
    <row r="13" spans="1:20" ht="15.75" x14ac:dyDescent="0.25">
      <c r="A13" s="3">
        <f t="shared" si="3"/>
        <v>4</v>
      </c>
      <c r="B13" s="11" t="s">
        <v>21</v>
      </c>
      <c r="C13" s="15" t="s">
        <v>124</v>
      </c>
      <c r="D13" s="2"/>
      <c r="E13" s="17" t="s">
        <v>108</v>
      </c>
      <c r="F13" s="56" t="s">
        <v>140</v>
      </c>
      <c r="G13" s="26">
        <v>4</v>
      </c>
      <c r="H13" s="24">
        <v>1</v>
      </c>
      <c r="I13" s="24">
        <v>2</v>
      </c>
      <c r="J13" s="24">
        <v>1</v>
      </c>
      <c r="K13" s="46">
        <v>1</v>
      </c>
      <c r="L13" s="46"/>
      <c r="M13" s="46"/>
      <c r="N13" s="47">
        <f t="shared" si="1"/>
        <v>0</v>
      </c>
      <c r="O13" s="48">
        <v>4</v>
      </c>
      <c r="P13" s="46">
        <v>4</v>
      </c>
      <c r="Q13" s="46">
        <v>3</v>
      </c>
      <c r="R13" s="46"/>
      <c r="S13" s="46"/>
      <c r="T13" s="47">
        <f t="shared" si="2"/>
        <v>0</v>
      </c>
    </row>
    <row r="14" spans="1:20" ht="15.75" x14ac:dyDescent="0.25">
      <c r="A14" s="3">
        <f t="shared" si="3"/>
        <v>5</v>
      </c>
      <c r="B14" s="10" t="s">
        <v>22</v>
      </c>
      <c r="C14" s="15" t="s">
        <v>124</v>
      </c>
      <c r="D14" s="2"/>
      <c r="E14" s="17" t="s">
        <v>106</v>
      </c>
      <c r="F14" s="56" t="s">
        <v>141</v>
      </c>
      <c r="G14" s="26">
        <v>8</v>
      </c>
      <c r="H14" s="24">
        <v>3</v>
      </c>
      <c r="I14" s="24">
        <v>4</v>
      </c>
      <c r="J14" s="24">
        <v>2</v>
      </c>
      <c r="K14" s="46">
        <v>2</v>
      </c>
      <c r="L14" s="46"/>
      <c r="M14" s="46"/>
      <c r="N14" s="47">
        <f t="shared" si="1"/>
        <v>0</v>
      </c>
      <c r="O14" s="48">
        <v>3</v>
      </c>
      <c r="P14" s="46">
        <v>3</v>
      </c>
      <c r="Q14" s="46">
        <v>3</v>
      </c>
      <c r="R14" s="46"/>
      <c r="S14" s="46"/>
      <c r="T14" s="47">
        <f t="shared" si="2"/>
        <v>0</v>
      </c>
    </row>
    <row r="15" spans="1:20" ht="15.75" x14ac:dyDescent="0.25">
      <c r="A15" s="3">
        <f t="shared" si="3"/>
        <v>6</v>
      </c>
      <c r="B15" s="10" t="s">
        <v>23</v>
      </c>
      <c r="C15" s="15" t="s">
        <v>124</v>
      </c>
      <c r="D15" s="2"/>
      <c r="E15" s="17" t="s">
        <v>106</v>
      </c>
      <c r="F15" s="56" t="s">
        <v>142</v>
      </c>
      <c r="G15" s="26">
        <v>9</v>
      </c>
      <c r="H15" s="24">
        <v>3</v>
      </c>
      <c r="I15" s="24">
        <v>3</v>
      </c>
      <c r="J15" s="24">
        <v>3</v>
      </c>
      <c r="K15" s="46">
        <v>3</v>
      </c>
      <c r="L15" s="46"/>
      <c r="M15" s="46"/>
      <c r="N15" s="47">
        <f t="shared" si="1"/>
        <v>0</v>
      </c>
      <c r="O15" s="48">
        <v>9</v>
      </c>
      <c r="P15" s="46">
        <v>8</v>
      </c>
      <c r="Q15" s="46">
        <v>8</v>
      </c>
      <c r="R15" s="46">
        <v>4569.41</v>
      </c>
      <c r="S15" s="46">
        <v>4569.41</v>
      </c>
      <c r="T15" s="47">
        <f t="shared" si="2"/>
        <v>0</v>
      </c>
    </row>
    <row r="16" spans="1:20" ht="15.75" x14ac:dyDescent="0.25">
      <c r="A16" s="3">
        <f t="shared" si="3"/>
        <v>7</v>
      </c>
      <c r="B16" s="10" t="s">
        <v>133</v>
      </c>
      <c r="C16" s="15" t="s">
        <v>124</v>
      </c>
      <c r="D16" s="2"/>
      <c r="E16" s="17" t="s">
        <v>106</v>
      </c>
      <c r="F16" s="56" t="s">
        <v>143</v>
      </c>
      <c r="G16" s="26"/>
      <c r="H16" s="24"/>
      <c r="I16" s="24"/>
      <c r="J16" s="24"/>
      <c r="K16" s="46"/>
      <c r="L16" s="46"/>
      <c r="M16" s="46"/>
      <c r="N16" s="47">
        <f t="shared" si="1"/>
        <v>0</v>
      </c>
      <c r="O16" s="48"/>
      <c r="P16" s="46"/>
      <c r="Q16" s="46"/>
      <c r="R16" s="46"/>
      <c r="S16" s="46"/>
      <c r="T16" s="47">
        <f t="shared" si="2"/>
        <v>0</v>
      </c>
    </row>
    <row r="17" spans="1:20" ht="15.75" x14ac:dyDescent="0.25">
      <c r="A17" s="3">
        <f t="shared" si="3"/>
        <v>8</v>
      </c>
      <c r="B17" s="10" t="s">
        <v>24</v>
      </c>
      <c r="C17" s="15" t="s">
        <v>124</v>
      </c>
      <c r="D17" s="2"/>
      <c r="E17" s="17" t="s">
        <v>109</v>
      </c>
      <c r="F17" s="56" t="s">
        <v>144</v>
      </c>
      <c r="G17" s="26">
        <v>5</v>
      </c>
      <c r="H17" s="24"/>
      <c r="I17" s="24"/>
      <c r="J17" s="24"/>
      <c r="K17" s="46"/>
      <c r="L17" s="46"/>
      <c r="M17" s="46"/>
      <c r="N17" s="47">
        <f t="shared" si="1"/>
        <v>0</v>
      </c>
      <c r="O17" s="48"/>
      <c r="P17" s="46"/>
      <c r="Q17" s="46"/>
      <c r="R17" s="46"/>
      <c r="S17" s="46"/>
      <c r="T17" s="47">
        <f t="shared" si="2"/>
        <v>0</v>
      </c>
    </row>
    <row r="18" spans="1:20" ht="15.75" customHeight="1" x14ac:dyDescent="0.25">
      <c r="A18" s="3">
        <f t="shared" si="3"/>
        <v>9</v>
      </c>
      <c r="B18" s="10" t="s">
        <v>25</v>
      </c>
      <c r="C18" s="15" t="s">
        <v>124</v>
      </c>
      <c r="D18" s="2"/>
      <c r="E18" s="18" t="s">
        <v>110</v>
      </c>
      <c r="F18" s="56" t="s">
        <v>145</v>
      </c>
      <c r="G18" s="26">
        <v>1</v>
      </c>
      <c r="H18" s="24"/>
      <c r="I18" s="24"/>
      <c r="J18" s="24"/>
      <c r="K18" s="46"/>
      <c r="L18" s="46"/>
      <c r="M18" s="46"/>
      <c r="N18" s="47">
        <f t="shared" si="1"/>
        <v>0</v>
      </c>
      <c r="O18" s="48">
        <v>3</v>
      </c>
      <c r="P18" s="46">
        <v>3</v>
      </c>
      <c r="Q18" s="46">
        <v>3</v>
      </c>
      <c r="R18" s="46"/>
      <c r="S18" s="46"/>
      <c r="T18" s="47">
        <f t="shared" si="2"/>
        <v>0</v>
      </c>
    </row>
    <row r="19" spans="1:20" ht="15.75" x14ac:dyDescent="0.25">
      <c r="A19" s="3">
        <f t="shared" si="3"/>
        <v>10</v>
      </c>
      <c r="B19" s="12" t="s">
        <v>26</v>
      </c>
      <c r="C19" s="15" t="s">
        <v>124</v>
      </c>
      <c r="D19" s="2"/>
      <c r="E19" s="19" t="s">
        <v>107</v>
      </c>
      <c r="F19" s="56" t="s">
        <v>146</v>
      </c>
      <c r="G19" s="26">
        <v>11</v>
      </c>
      <c r="H19" s="24">
        <v>4</v>
      </c>
      <c r="I19" s="24">
        <v>5</v>
      </c>
      <c r="J19" s="24">
        <v>5</v>
      </c>
      <c r="K19" s="46">
        <v>5</v>
      </c>
      <c r="L19" s="46">
        <v>749.29</v>
      </c>
      <c r="M19" s="46">
        <v>749.29</v>
      </c>
      <c r="N19" s="47">
        <f t="shared" si="1"/>
        <v>0</v>
      </c>
      <c r="O19" s="48">
        <v>10</v>
      </c>
      <c r="P19" s="46">
        <v>10</v>
      </c>
      <c r="Q19" s="46">
        <v>7</v>
      </c>
      <c r="R19" s="46">
        <v>9246.57</v>
      </c>
      <c r="S19" s="46">
        <v>9246.57</v>
      </c>
      <c r="T19" s="47">
        <f t="shared" si="2"/>
        <v>0</v>
      </c>
    </row>
    <row r="20" spans="1:20" ht="15.75" x14ac:dyDescent="0.25">
      <c r="A20" s="3">
        <f t="shared" si="3"/>
        <v>11</v>
      </c>
      <c r="B20" s="11" t="s">
        <v>27</v>
      </c>
      <c r="C20" s="15" t="s">
        <v>124</v>
      </c>
      <c r="D20" s="2"/>
      <c r="E20" s="17" t="s">
        <v>111</v>
      </c>
      <c r="F20" s="56" t="s">
        <v>147</v>
      </c>
      <c r="G20" s="26">
        <v>6</v>
      </c>
      <c r="H20" s="24">
        <v>2</v>
      </c>
      <c r="I20" s="24">
        <v>2</v>
      </c>
      <c r="J20" s="24">
        <v>2</v>
      </c>
      <c r="K20" s="46"/>
      <c r="L20" s="46"/>
      <c r="M20" s="46"/>
      <c r="N20" s="47">
        <f t="shared" si="1"/>
        <v>0</v>
      </c>
      <c r="O20" s="48">
        <v>16</v>
      </c>
      <c r="P20" s="46">
        <v>16</v>
      </c>
      <c r="Q20" s="46">
        <v>13</v>
      </c>
      <c r="R20" s="46">
        <v>7325.68</v>
      </c>
      <c r="S20" s="46">
        <v>7325.68</v>
      </c>
      <c r="T20" s="47">
        <f t="shared" si="2"/>
        <v>0</v>
      </c>
    </row>
    <row r="21" spans="1:20" ht="15.75" x14ac:dyDescent="0.25">
      <c r="A21" s="3">
        <f t="shared" si="3"/>
        <v>12</v>
      </c>
      <c r="B21" s="10" t="s">
        <v>28</v>
      </c>
      <c r="C21" s="15" t="s">
        <v>124</v>
      </c>
      <c r="D21" s="2"/>
      <c r="E21" s="17" t="s">
        <v>106</v>
      </c>
      <c r="F21" s="56" t="s">
        <v>148</v>
      </c>
      <c r="G21" s="26">
        <v>3</v>
      </c>
      <c r="H21" s="24">
        <v>1</v>
      </c>
      <c r="I21" s="24">
        <v>1</v>
      </c>
      <c r="J21" s="24">
        <v>1</v>
      </c>
      <c r="K21" s="46">
        <v>1</v>
      </c>
      <c r="L21" s="46"/>
      <c r="M21" s="46"/>
      <c r="N21" s="47">
        <f t="shared" si="1"/>
        <v>0</v>
      </c>
      <c r="O21" s="48">
        <v>2</v>
      </c>
      <c r="P21" s="46">
        <v>2</v>
      </c>
      <c r="Q21" s="46">
        <v>2</v>
      </c>
      <c r="R21" s="46">
        <v>1928.2</v>
      </c>
      <c r="S21" s="46">
        <v>1928.2</v>
      </c>
      <c r="T21" s="47">
        <f t="shared" si="2"/>
        <v>0</v>
      </c>
    </row>
    <row r="22" spans="1:20" ht="15.75" x14ac:dyDescent="0.25">
      <c r="A22" s="3">
        <f t="shared" si="3"/>
        <v>13</v>
      </c>
      <c r="B22" s="10" t="s">
        <v>29</v>
      </c>
      <c r="C22" s="15" t="s">
        <v>124</v>
      </c>
      <c r="D22" s="2"/>
      <c r="E22" s="20" t="s">
        <v>112</v>
      </c>
      <c r="F22" s="56" t="s">
        <v>149</v>
      </c>
      <c r="G22" s="26">
        <v>20</v>
      </c>
      <c r="H22" s="24">
        <v>8</v>
      </c>
      <c r="I22" s="24">
        <v>9</v>
      </c>
      <c r="J22" s="24">
        <v>1</v>
      </c>
      <c r="K22" s="46">
        <v>1</v>
      </c>
      <c r="L22" s="46">
        <v>910.39</v>
      </c>
      <c r="M22" s="46">
        <v>910.39</v>
      </c>
      <c r="N22" s="47">
        <f t="shared" si="1"/>
        <v>0</v>
      </c>
      <c r="O22" s="48">
        <v>15</v>
      </c>
      <c r="P22" s="46">
        <v>13</v>
      </c>
      <c r="Q22" s="46">
        <v>13</v>
      </c>
      <c r="R22" s="46">
        <v>14006.59</v>
      </c>
      <c r="S22" s="46">
        <v>14006.59</v>
      </c>
      <c r="T22" s="47">
        <f t="shared" si="2"/>
        <v>0</v>
      </c>
    </row>
    <row r="23" spans="1:20" ht="15.75" x14ac:dyDescent="0.25">
      <c r="A23" s="3">
        <f t="shared" si="3"/>
        <v>14</v>
      </c>
      <c r="B23" s="12" t="s">
        <v>30</v>
      </c>
      <c r="C23" s="15" t="s">
        <v>124</v>
      </c>
      <c r="D23" s="2"/>
      <c r="E23" s="19" t="s">
        <v>111</v>
      </c>
      <c r="F23" s="56" t="s">
        <v>150</v>
      </c>
      <c r="G23" s="26">
        <v>5</v>
      </c>
      <c r="H23" s="24">
        <v>3</v>
      </c>
      <c r="I23" s="24">
        <v>3</v>
      </c>
      <c r="J23" s="24">
        <v>2</v>
      </c>
      <c r="K23" s="46">
        <v>2</v>
      </c>
      <c r="L23" s="46">
        <v>1852.03</v>
      </c>
      <c r="M23" s="46">
        <v>1852.03</v>
      </c>
      <c r="N23" s="47">
        <f t="shared" si="1"/>
        <v>0</v>
      </c>
      <c r="O23" s="48">
        <v>10</v>
      </c>
      <c r="P23" s="46">
        <v>10</v>
      </c>
      <c r="Q23" s="46">
        <v>9</v>
      </c>
      <c r="R23" s="46">
        <v>13330.21</v>
      </c>
      <c r="S23" s="46">
        <v>13330.21</v>
      </c>
      <c r="T23" s="47">
        <f t="shared" si="2"/>
        <v>0</v>
      </c>
    </row>
    <row r="24" spans="1:20" ht="15.75" x14ac:dyDescent="0.25">
      <c r="A24" s="3">
        <f t="shared" si="3"/>
        <v>15</v>
      </c>
      <c r="B24" s="10" t="s">
        <v>31</v>
      </c>
      <c r="C24" s="15" t="s">
        <v>124</v>
      </c>
      <c r="D24" s="2"/>
      <c r="E24" s="21" t="s">
        <v>107</v>
      </c>
      <c r="F24" s="56" t="s">
        <v>151</v>
      </c>
      <c r="G24" s="26">
        <v>8</v>
      </c>
      <c r="H24" s="24">
        <v>6</v>
      </c>
      <c r="I24" s="24">
        <v>6</v>
      </c>
      <c r="J24" s="24"/>
      <c r="K24" s="46"/>
      <c r="L24" s="46"/>
      <c r="M24" s="46"/>
      <c r="N24" s="47">
        <f t="shared" si="1"/>
        <v>0</v>
      </c>
      <c r="O24" s="48">
        <v>6</v>
      </c>
      <c r="P24" s="46">
        <v>5</v>
      </c>
      <c r="Q24" s="46">
        <v>4</v>
      </c>
      <c r="R24" s="46">
        <v>274.60000000000002</v>
      </c>
      <c r="S24" s="46">
        <v>274.60000000000002</v>
      </c>
      <c r="T24" s="47">
        <f t="shared" si="2"/>
        <v>0</v>
      </c>
    </row>
    <row r="25" spans="1:20" ht="18.75" customHeight="1" x14ac:dyDescent="0.25">
      <c r="A25" s="3">
        <f t="shared" si="3"/>
        <v>16</v>
      </c>
      <c r="B25" s="13" t="s">
        <v>32</v>
      </c>
      <c r="C25" s="15" t="s">
        <v>124</v>
      </c>
      <c r="D25" s="2"/>
      <c r="E25" s="17" t="s">
        <v>106</v>
      </c>
      <c r="F25" s="56" t="s">
        <v>152</v>
      </c>
      <c r="G25" s="26">
        <v>6</v>
      </c>
      <c r="H25" s="24">
        <v>2</v>
      </c>
      <c r="I25" s="24">
        <v>2</v>
      </c>
      <c r="J25" s="24">
        <v>2</v>
      </c>
      <c r="K25" s="46">
        <v>2</v>
      </c>
      <c r="L25" s="46">
        <v>2255.39</v>
      </c>
      <c r="M25" s="46">
        <v>2255.39</v>
      </c>
      <c r="N25" s="47">
        <f t="shared" si="1"/>
        <v>0</v>
      </c>
      <c r="O25" s="48">
        <v>15</v>
      </c>
      <c r="P25" s="46">
        <v>15</v>
      </c>
      <c r="Q25" s="46">
        <v>15</v>
      </c>
      <c r="R25" s="46">
        <v>14484.31</v>
      </c>
      <c r="S25" s="46">
        <v>14484.31</v>
      </c>
      <c r="T25" s="47">
        <f t="shared" si="2"/>
        <v>0</v>
      </c>
    </row>
    <row r="26" spans="1:20" ht="15.75" x14ac:dyDescent="0.25">
      <c r="A26" s="3">
        <f t="shared" si="3"/>
        <v>17</v>
      </c>
      <c r="B26" s="10" t="s">
        <v>33</v>
      </c>
      <c r="C26" s="15" t="s">
        <v>124</v>
      </c>
      <c r="D26" s="2"/>
      <c r="E26" s="17" t="s">
        <v>106</v>
      </c>
      <c r="F26" s="56" t="s">
        <v>153</v>
      </c>
      <c r="G26" s="26">
        <v>7</v>
      </c>
      <c r="H26" s="24"/>
      <c r="I26" s="24"/>
      <c r="J26" s="24"/>
      <c r="K26" s="46"/>
      <c r="L26" s="46"/>
      <c r="M26" s="46"/>
      <c r="N26" s="47">
        <f t="shared" si="1"/>
        <v>0</v>
      </c>
      <c r="O26" s="48"/>
      <c r="P26" s="46"/>
      <c r="Q26" s="46"/>
      <c r="R26" s="46"/>
      <c r="S26" s="46"/>
      <c r="T26" s="47">
        <f t="shared" si="2"/>
        <v>0</v>
      </c>
    </row>
    <row r="27" spans="1:20" ht="15.75" x14ac:dyDescent="0.25">
      <c r="A27" s="3">
        <f t="shared" si="3"/>
        <v>18</v>
      </c>
      <c r="B27" s="10" t="s">
        <v>34</v>
      </c>
      <c r="C27" s="15" t="s">
        <v>124</v>
      </c>
      <c r="D27" s="2"/>
      <c r="E27" s="17" t="s">
        <v>113</v>
      </c>
      <c r="F27" s="56" t="s">
        <v>154</v>
      </c>
      <c r="G27" s="26">
        <v>9</v>
      </c>
      <c r="H27" s="24">
        <v>5</v>
      </c>
      <c r="I27" s="24">
        <v>9</v>
      </c>
      <c r="J27" s="24">
        <v>6</v>
      </c>
      <c r="K27" s="46">
        <v>6</v>
      </c>
      <c r="L27" s="46"/>
      <c r="M27" s="46"/>
      <c r="N27" s="47">
        <f t="shared" si="1"/>
        <v>0</v>
      </c>
      <c r="O27" s="48">
        <v>12</v>
      </c>
      <c r="P27" s="46">
        <v>11</v>
      </c>
      <c r="Q27" s="46">
        <v>11</v>
      </c>
      <c r="R27" s="46">
        <v>3370.97</v>
      </c>
      <c r="S27" s="46">
        <v>3370.97</v>
      </c>
      <c r="T27" s="47">
        <f t="shared" si="2"/>
        <v>0</v>
      </c>
    </row>
    <row r="28" spans="1:20" ht="15.75" customHeight="1" x14ac:dyDescent="0.25">
      <c r="A28" s="3">
        <f t="shared" si="3"/>
        <v>19</v>
      </c>
      <c r="B28" s="10" t="s">
        <v>35</v>
      </c>
      <c r="C28" s="15" t="s">
        <v>124</v>
      </c>
      <c r="D28" s="2"/>
      <c r="E28" s="17" t="s">
        <v>105</v>
      </c>
      <c r="F28" s="56" t="s">
        <v>228</v>
      </c>
      <c r="G28" s="26"/>
      <c r="H28" s="24"/>
      <c r="I28" s="24"/>
      <c r="J28" s="24"/>
      <c r="K28" s="46"/>
      <c r="L28" s="46"/>
      <c r="M28" s="46"/>
      <c r="N28" s="47">
        <f t="shared" si="1"/>
        <v>0</v>
      </c>
      <c r="O28" s="48"/>
      <c r="P28" s="46"/>
      <c r="Q28" s="46"/>
      <c r="R28" s="46"/>
      <c r="S28" s="46"/>
      <c r="T28" s="47">
        <f t="shared" si="2"/>
        <v>0</v>
      </c>
    </row>
    <row r="29" spans="1:20" ht="15.75" x14ac:dyDescent="0.25">
      <c r="A29" s="3">
        <f t="shared" si="3"/>
        <v>20</v>
      </c>
      <c r="B29" s="12" t="s">
        <v>36</v>
      </c>
      <c r="C29" s="15" t="s">
        <v>124</v>
      </c>
      <c r="D29" s="2"/>
      <c r="E29" s="19" t="s">
        <v>114</v>
      </c>
      <c r="F29" s="56" t="s">
        <v>155</v>
      </c>
      <c r="G29" s="26">
        <v>9</v>
      </c>
      <c r="H29" s="24">
        <v>4</v>
      </c>
      <c r="I29" s="24">
        <v>4</v>
      </c>
      <c r="J29" s="24">
        <v>4</v>
      </c>
      <c r="K29" s="46">
        <v>4</v>
      </c>
      <c r="L29" s="46">
        <v>358.28</v>
      </c>
      <c r="M29" s="46">
        <v>358.28</v>
      </c>
      <c r="N29" s="47">
        <f t="shared" si="1"/>
        <v>0</v>
      </c>
      <c r="O29" s="48">
        <v>11</v>
      </c>
      <c r="P29" s="46">
        <v>9</v>
      </c>
      <c r="Q29" s="46">
        <v>9</v>
      </c>
      <c r="R29" s="46">
        <v>15185.09</v>
      </c>
      <c r="S29" s="46">
        <v>15185.09</v>
      </c>
      <c r="T29" s="47">
        <f t="shared" si="2"/>
        <v>0</v>
      </c>
    </row>
    <row r="30" spans="1:20" ht="15.75" x14ac:dyDescent="0.25">
      <c r="A30" s="3">
        <f t="shared" si="3"/>
        <v>21</v>
      </c>
      <c r="B30" s="11" t="s">
        <v>37</v>
      </c>
      <c r="C30" s="15" t="s">
        <v>124</v>
      </c>
      <c r="D30" s="2"/>
      <c r="E30" s="17" t="s">
        <v>108</v>
      </c>
      <c r="F30" s="56" t="s">
        <v>156</v>
      </c>
      <c r="G30" s="26">
        <v>8</v>
      </c>
      <c r="H30" s="24"/>
      <c r="I30" s="24"/>
      <c r="J30" s="24"/>
      <c r="K30" s="46"/>
      <c r="L30" s="46"/>
      <c r="M30" s="46"/>
      <c r="N30" s="47">
        <f t="shared" si="1"/>
        <v>0</v>
      </c>
      <c r="O30" s="48">
        <v>13</v>
      </c>
      <c r="P30" s="46">
        <v>10</v>
      </c>
      <c r="Q30" s="46">
        <v>6</v>
      </c>
      <c r="R30" s="46">
        <v>5755.74</v>
      </c>
      <c r="S30" s="46">
        <v>5755.74</v>
      </c>
      <c r="T30" s="47">
        <f t="shared" si="2"/>
        <v>0</v>
      </c>
    </row>
    <row r="31" spans="1:20" ht="15.75" x14ac:dyDescent="0.25">
      <c r="A31" s="3">
        <f t="shared" si="3"/>
        <v>22</v>
      </c>
      <c r="B31" s="11" t="s">
        <v>38</v>
      </c>
      <c r="C31" s="15" t="s">
        <v>124</v>
      </c>
      <c r="D31" s="2"/>
      <c r="E31" s="17" t="s">
        <v>106</v>
      </c>
      <c r="F31" s="56" t="s">
        <v>157</v>
      </c>
      <c r="G31" s="26">
        <v>4</v>
      </c>
      <c r="H31" s="24"/>
      <c r="I31" s="24"/>
      <c r="J31" s="24"/>
      <c r="K31" s="46"/>
      <c r="L31" s="46"/>
      <c r="M31" s="46"/>
      <c r="N31" s="47">
        <f t="shared" si="1"/>
        <v>0</v>
      </c>
      <c r="O31" s="48">
        <v>1</v>
      </c>
      <c r="P31" s="46">
        <v>1</v>
      </c>
      <c r="Q31" s="46">
        <v>1</v>
      </c>
      <c r="R31" s="46">
        <v>442.37</v>
      </c>
      <c r="S31" s="46">
        <v>442.37</v>
      </c>
      <c r="T31" s="47">
        <f t="shared" si="2"/>
        <v>0</v>
      </c>
    </row>
    <row r="32" spans="1:20" ht="15.75" x14ac:dyDescent="0.25">
      <c r="A32" s="3">
        <f t="shared" si="3"/>
        <v>23</v>
      </c>
      <c r="B32" s="10" t="s">
        <v>39</v>
      </c>
      <c r="C32" s="15" t="s">
        <v>124</v>
      </c>
      <c r="D32" s="2"/>
      <c r="E32" s="10" t="s">
        <v>105</v>
      </c>
      <c r="F32" s="56" t="s">
        <v>220</v>
      </c>
      <c r="G32" s="26"/>
      <c r="H32" s="24"/>
      <c r="I32" s="24"/>
      <c r="J32" s="24"/>
      <c r="K32" s="46"/>
      <c r="L32" s="46"/>
      <c r="M32" s="46"/>
      <c r="N32" s="47">
        <f t="shared" si="1"/>
        <v>0</v>
      </c>
      <c r="O32" s="48"/>
      <c r="P32" s="46"/>
      <c r="Q32" s="46"/>
      <c r="R32" s="46"/>
      <c r="S32" s="46"/>
      <c r="T32" s="47">
        <f t="shared" si="2"/>
        <v>0</v>
      </c>
    </row>
    <row r="33" spans="1:20" ht="15.75" x14ac:dyDescent="0.25">
      <c r="A33" s="3">
        <f t="shared" si="3"/>
        <v>24</v>
      </c>
      <c r="B33" s="10" t="s">
        <v>137</v>
      </c>
      <c r="C33" s="15" t="s">
        <v>124</v>
      </c>
      <c r="D33" s="2"/>
      <c r="E33" s="17" t="s">
        <v>106</v>
      </c>
      <c r="F33" s="56" t="s">
        <v>158</v>
      </c>
      <c r="G33" s="26">
        <v>6</v>
      </c>
      <c r="H33" s="24"/>
      <c r="I33" s="24"/>
      <c r="J33" s="24"/>
      <c r="K33" s="46"/>
      <c r="L33" s="46"/>
      <c r="M33" s="46"/>
      <c r="N33" s="47">
        <f t="shared" si="1"/>
        <v>0</v>
      </c>
      <c r="O33" s="48"/>
      <c r="P33" s="46"/>
      <c r="Q33" s="46"/>
      <c r="R33" s="46"/>
      <c r="S33" s="46"/>
      <c r="T33" s="47">
        <f t="shared" si="2"/>
        <v>0</v>
      </c>
    </row>
    <row r="34" spans="1:20" ht="15.75" x14ac:dyDescent="0.25">
      <c r="A34" s="3">
        <f t="shared" si="3"/>
        <v>25</v>
      </c>
      <c r="B34" s="12" t="s">
        <v>40</v>
      </c>
      <c r="C34" s="15" t="s">
        <v>124</v>
      </c>
      <c r="D34" s="2"/>
      <c r="E34" s="19" t="s">
        <v>115</v>
      </c>
      <c r="F34" s="56" t="s">
        <v>159</v>
      </c>
      <c r="G34" s="26">
        <v>5</v>
      </c>
      <c r="H34" s="24">
        <v>2</v>
      </c>
      <c r="I34" s="24">
        <v>3</v>
      </c>
      <c r="J34" s="24">
        <v>3</v>
      </c>
      <c r="K34" s="46">
        <v>3</v>
      </c>
      <c r="L34" s="46">
        <v>1580.26</v>
      </c>
      <c r="M34" s="46">
        <v>1580.26</v>
      </c>
      <c r="N34" s="47">
        <f t="shared" si="1"/>
        <v>0</v>
      </c>
      <c r="O34" s="48">
        <v>2</v>
      </c>
      <c r="P34" s="46">
        <v>2</v>
      </c>
      <c r="Q34" s="46">
        <v>2</v>
      </c>
      <c r="R34" s="46">
        <v>872.59</v>
      </c>
      <c r="S34" s="46">
        <v>872.59</v>
      </c>
      <c r="T34" s="47">
        <f t="shared" si="2"/>
        <v>0</v>
      </c>
    </row>
    <row r="35" spans="1:20" ht="15.75" x14ac:dyDescent="0.25">
      <c r="A35" s="3">
        <f t="shared" si="3"/>
        <v>26</v>
      </c>
      <c r="B35" s="11" t="s">
        <v>41</v>
      </c>
      <c r="C35" s="15" t="s">
        <v>124</v>
      </c>
      <c r="D35" s="2"/>
      <c r="E35" s="17" t="s">
        <v>106</v>
      </c>
      <c r="F35" s="56" t="s">
        <v>160</v>
      </c>
      <c r="G35" s="26">
        <v>4</v>
      </c>
      <c r="H35" s="24">
        <v>1</v>
      </c>
      <c r="I35" s="24">
        <v>2</v>
      </c>
      <c r="J35" s="24">
        <v>2</v>
      </c>
      <c r="K35" s="46">
        <v>2</v>
      </c>
      <c r="L35" s="46"/>
      <c r="M35" s="46"/>
      <c r="N35" s="47">
        <f t="shared" si="1"/>
        <v>0</v>
      </c>
      <c r="O35" s="48">
        <v>6</v>
      </c>
      <c r="P35" s="46">
        <v>6</v>
      </c>
      <c r="Q35" s="46">
        <v>6</v>
      </c>
      <c r="R35" s="46"/>
      <c r="S35" s="46"/>
      <c r="T35" s="47">
        <f t="shared" si="2"/>
        <v>0</v>
      </c>
    </row>
    <row r="36" spans="1:20" ht="18" customHeight="1" x14ac:dyDescent="0.25">
      <c r="A36" s="3">
        <f t="shared" si="3"/>
        <v>27</v>
      </c>
      <c r="B36" s="13" t="s">
        <v>42</v>
      </c>
      <c r="C36" s="15" t="s">
        <v>124</v>
      </c>
      <c r="D36" s="2"/>
      <c r="E36" s="17" t="s">
        <v>106</v>
      </c>
      <c r="F36" s="56" t="s">
        <v>221</v>
      </c>
      <c r="G36" s="26">
        <v>1</v>
      </c>
      <c r="H36" s="24"/>
      <c r="I36" s="24"/>
      <c r="J36" s="24"/>
      <c r="K36" s="46"/>
      <c r="L36" s="46"/>
      <c r="M36" s="46"/>
      <c r="N36" s="47">
        <f t="shared" si="1"/>
        <v>0</v>
      </c>
      <c r="O36" s="48">
        <v>4</v>
      </c>
      <c r="P36" s="46">
        <v>4</v>
      </c>
      <c r="Q36" s="46">
        <v>3</v>
      </c>
      <c r="R36" s="46">
        <v>1436.08</v>
      </c>
      <c r="S36" s="46">
        <v>1436.08</v>
      </c>
      <c r="T36" s="47">
        <f t="shared" si="2"/>
        <v>0</v>
      </c>
    </row>
    <row r="37" spans="1:20" ht="15.75" x14ac:dyDescent="0.25">
      <c r="A37" s="3">
        <f t="shared" si="3"/>
        <v>28</v>
      </c>
      <c r="B37" s="13" t="s">
        <v>43</v>
      </c>
      <c r="C37" s="15" t="s">
        <v>124</v>
      </c>
      <c r="D37" s="2"/>
      <c r="E37" s="17" t="s">
        <v>106</v>
      </c>
      <c r="F37" s="56" t="s">
        <v>161</v>
      </c>
      <c r="G37" s="26">
        <v>5</v>
      </c>
      <c r="H37" s="24">
        <v>2</v>
      </c>
      <c r="I37" s="24">
        <v>2</v>
      </c>
      <c r="J37" s="24">
        <v>2</v>
      </c>
      <c r="K37" s="46">
        <v>2</v>
      </c>
      <c r="L37" s="46"/>
      <c r="M37" s="46"/>
      <c r="N37" s="47">
        <f t="shared" si="1"/>
        <v>0</v>
      </c>
      <c r="O37" s="48">
        <v>1</v>
      </c>
      <c r="P37" s="46">
        <v>1</v>
      </c>
      <c r="Q37" s="46">
        <v>1</v>
      </c>
      <c r="R37" s="46">
        <v>552.96</v>
      </c>
      <c r="S37" s="46"/>
      <c r="T37" s="47">
        <f t="shared" si="2"/>
        <v>552.96</v>
      </c>
    </row>
    <row r="38" spans="1:20" ht="15.75" x14ac:dyDescent="0.25">
      <c r="A38" s="3">
        <f t="shared" si="3"/>
        <v>29</v>
      </c>
      <c r="B38" s="11" t="s">
        <v>44</v>
      </c>
      <c r="C38" s="15" t="s">
        <v>124</v>
      </c>
      <c r="D38" s="2"/>
      <c r="E38" s="17" t="s">
        <v>105</v>
      </c>
      <c r="F38" s="56" t="s">
        <v>162</v>
      </c>
      <c r="G38" s="26">
        <v>16</v>
      </c>
      <c r="H38" s="24">
        <v>2</v>
      </c>
      <c r="I38" s="24">
        <v>4</v>
      </c>
      <c r="J38" s="24">
        <v>4</v>
      </c>
      <c r="K38" s="46">
        <v>4</v>
      </c>
      <c r="L38" s="46"/>
      <c r="M38" s="46"/>
      <c r="N38" s="47">
        <f t="shared" si="1"/>
        <v>0</v>
      </c>
      <c r="O38" s="48">
        <v>15</v>
      </c>
      <c r="P38" s="46">
        <v>15</v>
      </c>
      <c r="Q38" s="46">
        <v>13</v>
      </c>
      <c r="R38" s="46">
        <v>10217.4</v>
      </c>
      <c r="S38" s="46">
        <v>10217.4</v>
      </c>
      <c r="T38" s="47">
        <f t="shared" si="2"/>
        <v>0</v>
      </c>
    </row>
    <row r="39" spans="1:20" ht="15.75" x14ac:dyDescent="0.25">
      <c r="A39" s="3">
        <f t="shared" si="3"/>
        <v>30</v>
      </c>
      <c r="B39" s="11" t="s">
        <v>45</v>
      </c>
      <c r="C39" s="15" t="s">
        <v>124</v>
      </c>
      <c r="D39" s="2"/>
      <c r="E39" s="17" t="s">
        <v>111</v>
      </c>
      <c r="F39" s="56" t="s">
        <v>163</v>
      </c>
      <c r="G39" s="26">
        <v>6</v>
      </c>
      <c r="H39" s="24">
        <v>2</v>
      </c>
      <c r="I39" s="24">
        <v>2</v>
      </c>
      <c r="J39" s="24">
        <v>2</v>
      </c>
      <c r="K39" s="46">
        <v>2</v>
      </c>
      <c r="L39" s="46"/>
      <c r="M39" s="46"/>
      <c r="N39" s="47">
        <f t="shared" si="1"/>
        <v>0</v>
      </c>
      <c r="O39" s="48"/>
      <c r="P39" s="46"/>
      <c r="Q39" s="46"/>
      <c r="R39" s="46"/>
      <c r="S39" s="46"/>
      <c r="T39" s="47">
        <f t="shared" si="2"/>
        <v>0</v>
      </c>
    </row>
    <row r="40" spans="1:20" ht="15.75" x14ac:dyDescent="0.25">
      <c r="A40" s="3">
        <f>A39+1</f>
        <v>31</v>
      </c>
      <c r="B40" s="10" t="s">
        <v>46</v>
      </c>
      <c r="C40" s="15" t="s">
        <v>124</v>
      </c>
      <c r="D40" s="2"/>
      <c r="E40" s="17" t="s">
        <v>106</v>
      </c>
      <c r="F40" s="56" t="s">
        <v>164</v>
      </c>
      <c r="G40" s="26">
        <v>4</v>
      </c>
      <c r="H40" s="24">
        <v>1</v>
      </c>
      <c r="I40" s="24">
        <v>1</v>
      </c>
      <c r="J40" s="24">
        <v>1</v>
      </c>
      <c r="K40" s="46">
        <v>1</v>
      </c>
      <c r="L40" s="46"/>
      <c r="M40" s="46"/>
      <c r="N40" s="47">
        <f t="shared" si="1"/>
        <v>0</v>
      </c>
      <c r="O40" s="48">
        <v>2</v>
      </c>
      <c r="P40" s="46">
        <v>2</v>
      </c>
      <c r="Q40" s="46">
        <v>2</v>
      </c>
      <c r="R40" s="46">
        <v>3996.7</v>
      </c>
      <c r="S40" s="46">
        <v>3996.7</v>
      </c>
      <c r="T40" s="47">
        <f t="shared" si="2"/>
        <v>0</v>
      </c>
    </row>
    <row r="41" spans="1:20" ht="15.75" x14ac:dyDescent="0.25">
      <c r="A41" s="3">
        <f t="shared" si="3"/>
        <v>32</v>
      </c>
      <c r="B41" s="10" t="s">
        <v>47</v>
      </c>
      <c r="C41" s="15" t="s">
        <v>124</v>
      </c>
      <c r="D41" s="2"/>
      <c r="E41" s="17" t="s">
        <v>116</v>
      </c>
      <c r="F41" s="56" t="s">
        <v>165</v>
      </c>
      <c r="G41" s="26">
        <v>5</v>
      </c>
      <c r="H41" s="24">
        <v>3</v>
      </c>
      <c r="I41" s="24">
        <v>3</v>
      </c>
      <c r="J41" s="24">
        <v>1</v>
      </c>
      <c r="K41" s="46">
        <v>1</v>
      </c>
      <c r="L41" s="46">
        <v>1322.88</v>
      </c>
      <c r="M41" s="46">
        <v>1322.88</v>
      </c>
      <c r="N41" s="47">
        <f t="shared" si="1"/>
        <v>0</v>
      </c>
      <c r="O41" s="48">
        <v>2</v>
      </c>
      <c r="P41" s="46">
        <v>2</v>
      </c>
      <c r="Q41" s="46">
        <v>2</v>
      </c>
      <c r="R41" s="46"/>
      <c r="S41" s="46"/>
      <c r="T41" s="47">
        <f t="shared" si="2"/>
        <v>0</v>
      </c>
    </row>
    <row r="42" spans="1:20" ht="18.75" customHeight="1" x14ac:dyDescent="0.25">
      <c r="A42" s="3">
        <f t="shared" si="3"/>
        <v>33</v>
      </c>
      <c r="B42" s="13" t="s">
        <v>48</v>
      </c>
      <c r="C42" s="15" t="s">
        <v>124</v>
      </c>
      <c r="D42" s="2"/>
      <c r="E42" s="17" t="s">
        <v>106</v>
      </c>
      <c r="F42" s="56" t="s">
        <v>166</v>
      </c>
      <c r="G42" s="26">
        <v>4</v>
      </c>
      <c r="H42" s="24"/>
      <c r="I42" s="24"/>
      <c r="J42" s="24"/>
      <c r="K42" s="46"/>
      <c r="L42" s="46"/>
      <c r="M42" s="46"/>
      <c r="N42" s="47">
        <f t="shared" si="1"/>
        <v>0</v>
      </c>
      <c r="O42" s="48">
        <v>3</v>
      </c>
      <c r="P42" s="46">
        <v>2</v>
      </c>
      <c r="Q42" s="46">
        <v>2</v>
      </c>
      <c r="R42" s="46">
        <v>1733.58</v>
      </c>
      <c r="S42" s="46">
        <v>1733.58</v>
      </c>
      <c r="T42" s="47">
        <f t="shared" si="2"/>
        <v>0</v>
      </c>
    </row>
    <row r="43" spans="1:20" ht="15.75" x14ac:dyDescent="0.25">
      <c r="A43" s="3">
        <f t="shared" si="3"/>
        <v>34</v>
      </c>
      <c r="B43" s="10" t="s">
        <v>49</v>
      </c>
      <c r="C43" s="15" t="s">
        <v>124</v>
      </c>
      <c r="D43" s="2"/>
      <c r="E43" s="17" t="s">
        <v>106</v>
      </c>
      <c r="F43" s="56" t="s">
        <v>167</v>
      </c>
      <c r="G43" s="26">
        <v>3</v>
      </c>
      <c r="H43" s="24"/>
      <c r="I43" s="24"/>
      <c r="J43" s="24"/>
      <c r="K43" s="46"/>
      <c r="L43" s="46"/>
      <c r="M43" s="46"/>
      <c r="N43" s="47">
        <f t="shared" si="1"/>
        <v>0</v>
      </c>
      <c r="O43" s="48">
        <v>4</v>
      </c>
      <c r="P43" s="46">
        <v>4</v>
      </c>
      <c r="Q43" s="46">
        <v>4</v>
      </c>
      <c r="R43" s="46">
        <v>3956.6</v>
      </c>
      <c r="S43" s="46"/>
      <c r="T43" s="47">
        <f t="shared" si="2"/>
        <v>3956.6</v>
      </c>
    </row>
    <row r="44" spans="1:20" ht="15.75" x14ac:dyDescent="0.25">
      <c r="A44" s="3">
        <f t="shared" si="3"/>
        <v>35</v>
      </c>
      <c r="B44" s="13" t="s">
        <v>50</v>
      </c>
      <c r="C44" s="15" t="s">
        <v>124</v>
      </c>
      <c r="D44" s="2"/>
      <c r="E44" s="17" t="s">
        <v>106</v>
      </c>
      <c r="F44" s="56" t="s">
        <v>168</v>
      </c>
      <c r="G44" s="26">
        <v>3</v>
      </c>
      <c r="H44" s="24">
        <v>2</v>
      </c>
      <c r="I44" s="24">
        <v>2</v>
      </c>
      <c r="J44" s="24">
        <v>2</v>
      </c>
      <c r="K44" s="46">
        <v>2</v>
      </c>
      <c r="L44" s="46"/>
      <c r="M44" s="46"/>
      <c r="N44" s="47">
        <f t="shared" si="1"/>
        <v>0</v>
      </c>
      <c r="O44" s="48">
        <v>3</v>
      </c>
      <c r="P44" s="46">
        <v>3</v>
      </c>
      <c r="Q44" s="46">
        <v>3</v>
      </c>
      <c r="R44" s="46"/>
      <c r="S44" s="46"/>
      <c r="T44" s="47">
        <f t="shared" si="2"/>
        <v>0</v>
      </c>
    </row>
    <row r="45" spans="1:20" ht="15.75" x14ac:dyDescent="0.25">
      <c r="A45" s="3">
        <f t="shared" si="3"/>
        <v>36</v>
      </c>
      <c r="B45" s="11" t="s">
        <v>51</v>
      </c>
      <c r="C45" s="15" t="s">
        <v>124</v>
      </c>
      <c r="D45" s="2"/>
      <c r="E45" s="22" t="s">
        <v>112</v>
      </c>
      <c r="F45" s="56"/>
      <c r="G45" s="26"/>
      <c r="H45" s="24"/>
      <c r="I45" s="24"/>
      <c r="J45" s="24"/>
      <c r="K45" s="46"/>
      <c r="L45" s="46"/>
      <c r="M45" s="46"/>
      <c r="N45" s="47">
        <f t="shared" si="1"/>
        <v>0</v>
      </c>
      <c r="O45" s="48"/>
      <c r="P45" s="46"/>
      <c r="Q45" s="46"/>
      <c r="R45" s="46"/>
      <c r="S45" s="46"/>
      <c r="T45" s="47">
        <f t="shared" si="2"/>
        <v>0</v>
      </c>
    </row>
    <row r="46" spans="1:20" ht="15.75" x14ac:dyDescent="0.25">
      <c r="A46" s="3">
        <f t="shared" si="3"/>
        <v>37</v>
      </c>
      <c r="B46" s="11" t="s">
        <v>131</v>
      </c>
      <c r="C46" s="15" t="s">
        <v>124</v>
      </c>
      <c r="D46" s="2"/>
      <c r="E46" s="22" t="s">
        <v>106</v>
      </c>
      <c r="F46" s="56" t="s">
        <v>222</v>
      </c>
      <c r="G46" s="26">
        <v>1</v>
      </c>
      <c r="H46" s="24"/>
      <c r="I46" s="24"/>
      <c r="J46" s="24"/>
      <c r="K46" s="46"/>
      <c r="L46" s="46"/>
      <c r="M46" s="46"/>
      <c r="N46" s="47">
        <f t="shared" si="1"/>
        <v>0</v>
      </c>
      <c r="O46" s="48">
        <v>1</v>
      </c>
      <c r="P46" s="46">
        <v>1</v>
      </c>
      <c r="Q46" s="46">
        <v>1</v>
      </c>
      <c r="R46" s="49">
        <v>11787.49</v>
      </c>
      <c r="S46" s="49">
        <v>11787.49</v>
      </c>
      <c r="T46" s="47">
        <f t="shared" si="2"/>
        <v>0</v>
      </c>
    </row>
    <row r="47" spans="1:20" ht="15.75" x14ac:dyDescent="0.25">
      <c r="A47" s="3">
        <f t="shared" si="3"/>
        <v>38</v>
      </c>
      <c r="B47" s="13" t="s">
        <v>52</v>
      </c>
      <c r="C47" s="15" t="s">
        <v>124</v>
      </c>
      <c r="D47" s="2"/>
      <c r="E47" s="17" t="s">
        <v>106</v>
      </c>
      <c r="F47" s="56" t="s">
        <v>169</v>
      </c>
      <c r="G47" s="26">
        <v>7</v>
      </c>
      <c r="H47" s="24">
        <v>2</v>
      </c>
      <c r="I47" s="24">
        <v>3</v>
      </c>
      <c r="J47" s="24">
        <v>3</v>
      </c>
      <c r="K47" s="46">
        <v>3</v>
      </c>
      <c r="L47" s="46">
        <v>2335.59</v>
      </c>
      <c r="M47" s="46">
        <v>2335.59</v>
      </c>
      <c r="N47" s="47">
        <f t="shared" si="1"/>
        <v>0</v>
      </c>
      <c r="O47" s="48">
        <v>1</v>
      </c>
      <c r="P47" s="46">
        <v>1</v>
      </c>
      <c r="Q47" s="46">
        <v>1</v>
      </c>
      <c r="R47" s="46"/>
      <c r="S47" s="46"/>
      <c r="T47" s="47">
        <f t="shared" si="2"/>
        <v>0</v>
      </c>
    </row>
    <row r="48" spans="1:20" ht="15.75" x14ac:dyDescent="0.25">
      <c r="A48" s="3">
        <f t="shared" si="3"/>
        <v>39</v>
      </c>
      <c r="B48" s="10" t="s">
        <v>53</v>
      </c>
      <c r="C48" s="15" t="s">
        <v>124</v>
      </c>
      <c r="D48" s="2"/>
      <c r="E48" s="17" t="s">
        <v>105</v>
      </c>
      <c r="F48" s="56" t="s">
        <v>171</v>
      </c>
      <c r="G48" s="26">
        <v>6</v>
      </c>
      <c r="H48" s="24">
        <v>1</v>
      </c>
      <c r="I48" s="24">
        <v>1</v>
      </c>
      <c r="J48" s="24"/>
      <c r="K48" s="46"/>
      <c r="L48" s="46"/>
      <c r="M48" s="46"/>
      <c r="N48" s="47">
        <f t="shared" si="1"/>
        <v>0</v>
      </c>
      <c r="O48" s="48">
        <v>2</v>
      </c>
      <c r="P48" s="46">
        <v>2</v>
      </c>
      <c r="Q48" s="46">
        <v>2</v>
      </c>
      <c r="R48" s="46"/>
      <c r="S48" s="46"/>
      <c r="T48" s="47">
        <f t="shared" si="2"/>
        <v>0</v>
      </c>
    </row>
    <row r="49" spans="1:20" ht="15.75" x14ac:dyDescent="0.25">
      <c r="A49" s="3">
        <f t="shared" si="3"/>
        <v>40</v>
      </c>
      <c r="B49" s="10" t="s">
        <v>54</v>
      </c>
      <c r="C49" s="15" t="s">
        <v>124</v>
      </c>
      <c r="D49" s="2"/>
      <c r="E49" s="17" t="s">
        <v>106</v>
      </c>
      <c r="F49" s="56" t="s">
        <v>172</v>
      </c>
      <c r="G49" s="26">
        <v>5</v>
      </c>
      <c r="H49" s="24"/>
      <c r="I49" s="24"/>
      <c r="J49" s="24"/>
      <c r="K49" s="46"/>
      <c r="L49" s="46"/>
      <c r="M49" s="46"/>
      <c r="N49" s="47">
        <f t="shared" si="1"/>
        <v>0</v>
      </c>
      <c r="O49" s="48">
        <v>4</v>
      </c>
      <c r="P49" s="46">
        <v>3</v>
      </c>
      <c r="Q49" s="46">
        <v>3</v>
      </c>
      <c r="R49" s="46"/>
      <c r="S49" s="46"/>
      <c r="T49" s="47">
        <f t="shared" si="2"/>
        <v>0</v>
      </c>
    </row>
    <row r="50" spans="1:20" ht="15.75" x14ac:dyDescent="0.25">
      <c r="A50" s="3">
        <f t="shared" si="3"/>
        <v>41</v>
      </c>
      <c r="B50" s="10" t="s">
        <v>55</v>
      </c>
      <c r="C50" s="15" t="s">
        <v>124</v>
      </c>
      <c r="D50" s="2"/>
      <c r="E50" s="17" t="s">
        <v>106</v>
      </c>
      <c r="F50" s="56" t="s">
        <v>173</v>
      </c>
      <c r="G50" s="26">
        <v>7</v>
      </c>
      <c r="H50" s="24">
        <v>3</v>
      </c>
      <c r="I50" s="24">
        <v>3</v>
      </c>
      <c r="J50" s="24">
        <v>3</v>
      </c>
      <c r="K50" s="46">
        <v>3</v>
      </c>
      <c r="L50" s="46"/>
      <c r="M50" s="46"/>
      <c r="N50" s="47">
        <f t="shared" si="1"/>
        <v>0</v>
      </c>
      <c r="O50" s="48">
        <v>6</v>
      </c>
      <c r="P50" s="46">
        <v>4</v>
      </c>
      <c r="Q50" s="46">
        <v>4</v>
      </c>
      <c r="R50" s="46">
        <v>2457.2800000000002</v>
      </c>
      <c r="S50" s="46"/>
      <c r="T50" s="47">
        <f t="shared" si="2"/>
        <v>2457.2800000000002</v>
      </c>
    </row>
    <row r="51" spans="1:20" ht="15.75" x14ac:dyDescent="0.25">
      <c r="A51" s="3">
        <f t="shared" si="3"/>
        <v>42</v>
      </c>
      <c r="B51" s="10" t="s">
        <v>56</v>
      </c>
      <c r="C51" s="15" t="s">
        <v>124</v>
      </c>
      <c r="D51" s="2"/>
      <c r="E51" s="17" t="s">
        <v>106</v>
      </c>
      <c r="F51" s="56" t="s">
        <v>174</v>
      </c>
      <c r="G51" s="26">
        <v>6</v>
      </c>
      <c r="H51" s="24">
        <v>3</v>
      </c>
      <c r="I51" s="24">
        <v>3</v>
      </c>
      <c r="J51" s="24">
        <v>3</v>
      </c>
      <c r="K51" s="46">
        <v>3</v>
      </c>
      <c r="L51" s="46">
        <v>1032.67</v>
      </c>
      <c r="M51" s="46"/>
      <c r="N51" s="47">
        <f t="shared" si="1"/>
        <v>1032.67</v>
      </c>
      <c r="O51" s="48">
        <v>1</v>
      </c>
      <c r="P51" s="46">
        <v>1</v>
      </c>
      <c r="Q51" s="46">
        <v>1</v>
      </c>
      <c r="R51" s="46">
        <v>728.15</v>
      </c>
      <c r="S51" s="46"/>
      <c r="T51" s="47">
        <f t="shared" si="2"/>
        <v>728.15</v>
      </c>
    </row>
    <row r="52" spans="1:20" ht="15.75" x14ac:dyDescent="0.25">
      <c r="A52" s="3">
        <f t="shared" si="3"/>
        <v>43</v>
      </c>
      <c r="B52" s="13" t="s">
        <v>57</v>
      </c>
      <c r="C52" s="15" t="s">
        <v>124</v>
      </c>
      <c r="D52" s="2"/>
      <c r="E52" s="17" t="s">
        <v>106</v>
      </c>
      <c r="F52" s="56" t="s">
        <v>175</v>
      </c>
      <c r="G52" s="26">
        <v>4</v>
      </c>
      <c r="H52" s="24">
        <v>2</v>
      </c>
      <c r="I52" s="24">
        <v>2</v>
      </c>
      <c r="J52" s="24">
        <v>2</v>
      </c>
      <c r="K52" s="46">
        <v>2</v>
      </c>
      <c r="L52" s="46">
        <v>341.06</v>
      </c>
      <c r="M52" s="46"/>
      <c r="N52" s="47">
        <f t="shared" si="1"/>
        <v>341.06</v>
      </c>
      <c r="O52" s="48">
        <v>3</v>
      </c>
      <c r="P52" s="46">
        <v>3</v>
      </c>
      <c r="Q52" s="46">
        <v>3</v>
      </c>
      <c r="R52" s="46">
        <v>530.53</v>
      </c>
      <c r="S52" s="46"/>
      <c r="T52" s="47">
        <f t="shared" si="2"/>
        <v>530.53</v>
      </c>
    </row>
    <row r="53" spans="1:20" ht="18.75" customHeight="1" x14ac:dyDescent="0.25">
      <c r="A53" s="3">
        <f t="shared" si="3"/>
        <v>44</v>
      </c>
      <c r="B53" s="13" t="s">
        <v>58</v>
      </c>
      <c r="C53" s="15" t="s">
        <v>124</v>
      </c>
      <c r="D53" s="2"/>
      <c r="E53" s="17" t="s">
        <v>106</v>
      </c>
      <c r="F53" s="56" t="s">
        <v>229</v>
      </c>
      <c r="G53" s="26"/>
      <c r="H53" s="24"/>
      <c r="I53" s="24"/>
      <c r="J53" s="24"/>
      <c r="K53" s="46"/>
      <c r="L53" s="46"/>
      <c r="M53" s="46"/>
      <c r="N53" s="47">
        <f t="shared" si="1"/>
        <v>0</v>
      </c>
      <c r="O53" s="48">
        <v>2</v>
      </c>
      <c r="P53" s="46">
        <v>2</v>
      </c>
      <c r="Q53" s="46">
        <v>2</v>
      </c>
      <c r="R53" s="46"/>
      <c r="S53" s="46"/>
      <c r="T53" s="47">
        <f t="shared" si="2"/>
        <v>0</v>
      </c>
    </row>
    <row r="54" spans="1:20" ht="15.75" x14ac:dyDescent="0.25">
      <c r="A54" s="3">
        <f t="shared" si="3"/>
        <v>45</v>
      </c>
      <c r="B54" s="13" t="s">
        <v>59</v>
      </c>
      <c r="C54" s="15" t="s">
        <v>124</v>
      </c>
      <c r="D54" s="2"/>
      <c r="E54" s="17" t="s">
        <v>112</v>
      </c>
      <c r="F54" s="56" t="s">
        <v>176</v>
      </c>
      <c r="G54" s="26">
        <v>14</v>
      </c>
      <c r="H54" s="24">
        <v>14</v>
      </c>
      <c r="I54" s="24">
        <v>15</v>
      </c>
      <c r="J54" s="24">
        <v>2</v>
      </c>
      <c r="K54" s="46">
        <v>2</v>
      </c>
      <c r="L54" s="46"/>
      <c r="M54" s="46"/>
      <c r="N54" s="47">
        <f t="shared" si="1"/>
        <v>0</v>
      </c>
      <c r="O54" s="48">
        <v>16</v>
      </c>
      <c r="P54" s="46">
        <v>15</v>
      </c>
      <c r="Q54" s="46">
        <v>15</v>
      </c>
      <c r="R54" s="46">
        <v>3046.1</v>
      </c>
      <c r="S54" s="46">
        <v>2632.7</v>
      </c>
      <c r="T54" s="47">
        <f t="shared" si="2"/>
        <v>413.40000000000009</v>
      </c>
    </row>
    <row r="55" spans="1:20" ht="18.75" customHeight="1" x14ac:dyDescent="0.25">
      <c r="A55" s="3">
        <f t="shared" si="3"/>
        <v>46</v>
      </c>
      <c r="B55" s="13" t="s">
        <v>60</v>
      </c>
      <c r="C55" s="15" t="s">
        <v>125</v>
      </c>
      <c r="D55" s="38" t="s">
        <v>126</v>
      </c>
      <c r="E55" s="17" t="s">
        <v>106</v>
      </c>
      <c r="F55" s="56" t="s">
        <v>177</v>
      </c>
      <c r="G55" s="26">
        <v>1</v>
      </c>
      <c r="H55" s="24"/>
      <c r="I55" s="24"/>
      <c r="J55" s="24"/>
      <c r="K55" s="46"/>
      <c r="L55" s="46"/>
      <c r="M55" s="46"/>
      <c r="N55" s="47">
        <f t="shared" si="1"/>
        <v>0</v>
      </c>
      <c r="O55" s="48">
        <v>2</v>
      </c>
      <c r="P55" s="46">
        <v>2</v>
      </c>
      <c r="Q55" s="46">
        <v>2</v>
      </c>
      <c r="R55" s="46"/>
      <c r="S55" s="46"/>
      <c r="T55" s="47">
        <f t="shared" si="2"/>
        <v>0</v>
      </c>
    </row>
    <row r="56" spans="1:20" ht="15.75" x14ac:dyDescent="0.25">
      <c r="A56" s="3">
        <f t="shared" si="3"/>
        <v>47</v>
      </c>
      <c r="B56" s="11" t="s">
        <v>61</v>
      </c>
      <c r="C56" s="15" t="s">
        <v>124</v>
      </c>
      <c r="D56" s="2"/>
      <c r="E56" s="17" t="s">
        <v>107</v>
      </c>
      <c r="F56" s="56" t="s">
        <v>178</v>
      </c>
      <c r="G56" s="26">
        <v>13</v>
      </c>
      <c r="H56" s="24">
        <v>5</v>
      </c>
      <c r="I56" s="24">
        <v>6</v>
      </c>
      <c r="J56" s="24">
        <v>4</v>
      </c>
      <c r="K56" s="46">
        <v>4</v>
      </c>
      <c r="L56" s="46">
        <v>272.83999999999997</v>
      </c>
      <c r="M56" s="46">
        <v>272.83999999999997</v>
      </c>
      <c r="N56" s="47">
        <f t="shared" si="1"/>
        <v>0</v>
      </c>
      <c r="O56" s="48">
        <v>18</v>
      </c>
      <c r="P56" s="46">
        <v>18</v>
      </c>
      <c r="Q56" s="46">
        <v>18</v>
      </c>
      <c r="R56" s="46">
        <v>14478.7</v>
      </c>
      <c r="S56" s="46">
        <v>14478.7</v>
      </c>
      <c r="T56" s="47">
        <f t="shared" si="2"/>
        <v>0</v>
      </c>
    </row>
    <row r="57" spans="1:20" ht="15.75" x14ac:dyDescent="0.25">
      <c r="A57" s="3">
        <f t="shared" si="3"/>
        <v>48</v>
      </c>
      <c r="B57" s="11" t="s">
        <v>134</v>
      </c>
      <c r="C57" s="15" t="s">
        <v>124</v>
      </c>
      <c r="D57" s="2"/>
      <c r="E57" s="17" t="s">
        <v>112</v>
      </c>
      <c r="F57" s="56" t="s">
        <v>179</v>
      </c>
      <c r="G57" s="26">
        <v>3</v>
      </c>
      <c r="H57" s="24"/>
      <c r="I57" s="24"/>
      <c r="J57" s="24"/>
      <c r="K57" s="46"/>
      <c r="L57" s="46"/>
      <c r="M57" s="46"/>
      <c r="N57" s="47">
        <f t="shared" si="1"/>
        <v>0</v>
      </c>
      <c r="O57" s="48"/>
      <c r="P57" s="46"/>
      <c r="Q57" s="46"/>
      <c r="R57" s="46"/>
      <c r="S57" s="46"/>
      <c r="T57" s="47">
        <f t="shared" si="2"/>
        <v>0</v>
      </c>
    </row>
    <row r="58" spans="1:20" ht="15.75" x14ac:dyDescent="0.25">
      <c r="A58" s="3">
        <f t="shared" si="3"/>
        <v>49</v>
      </c>
      <c r="B58" s="11" t="s">
        <v>62</v>
      </c>
      <c r="C58" s="15" t="s">
        <v>124</v>
      </c>
      <c r="D58" s="2"/>
      <c r="E58" s="17" t="s">
        <v>106</v>
      </c>
      <c r="F58" s="56" t="s">
        <v>230</v>
      </c>
      <c r="G58" s="26"/>
      <c r="H58" s="24"/>
      <c r="I58" s="24"/>
      <c r="J58" s="24"/>
      <c r="K58" s="46"/>
      <c r="L58" s="46"/>
      <c r="M58" s="46"/>
      <c r="N58" s="47">
        <f t="shared" si="1"/>
        <v>0</v>
      </c>
      <c r="O58" s="48"/>
      <c r="P58" s="46"/>
      <c r="Q58" s="46"/>
      <c r="R58" s="46"/>
      <c r="S58" s="46"/>
      <c r="T58" s="47">
        <f t="shared" si="2"/>
        <v>0</v>
      </c>
    </row>
    <row r="59" spans="1:20" ht="15.75" x14ac:dyDescent="0.25">
      <c r="A59" s="3">
        <f t="shared" si="3"/>
        <v>50</v>
      </c>
      <c r="B59" s="11" t="s">
        <v>63</v>
      </c>
      <c r="C59" s="15" t="s">
        <v>124</v>
      </c>
      <c r="D59" s="2"/>
      <c r="E59" s="22" t="s">
        <v>112</v>
      </c>
      <c r="F59" s="56" t="s">
        <v>224</v>
      </c>
      <c r="G59" s="26"/>
      <c r="H59" s="24"/>
      <c r="I59" s="24"/>
      <c r="J59" s="24"/>
      <c r="K59" s="46"/>
      <c r="L59" s="46"/>
      <c r="M59" s="46"/>
      <c r="N59" s="47">
        <f t="shared" si="1"/>
        <v>0</v>
      </c>
      <c r="O59" s="48"/>
      <c r="P59" s="46"/>
      <c r="Q59" s="46"/>
      <c r="R59" s="46"/>
      <c r="S59" s="46"/>
      <c r="T59" s="47">
        <f t="shared" si="2"/>
        <v>0</v>
      </c>
    </row>
    <row r="60" spans="1:20" ht="15.75" x14ac:dyDescent="0.25">
      <c r="A60" s="3">
        <f t="shared" si="3"/>
        <v>51</v>
      </c>
      <c r="B60" s="11" t="s">
        <v>64</v>
      </c>
      <c r="C60" s="15" t="s">
        <v>124</v>
      </c>
      <c r="D60" s="2"/>
      <c r="E60" s="22" t="s">
        <v>107</v>
      </c>
      <c r="F60" s="56" t="s">
        <v>180</v>
      </c>
      <c r="G60" s="26">
        <v>17</v>
      </c>
      <c r="H60" s="24">
        <v>4</v>
      </c>
      <c r="I60" s="24">
        <v>4</v>
      </c>
      <c r="J60" s="24">
        <v>3</v>
      </c>
      <c r="K60" s="46">
        <v>3</v>
      </c>
      <c r="L60" s="46"/>
      <c r="M60" s="46"/>
      <c r="N60" s="47">
        <f t="shared" si="1"/>
        <v>0</v>
      </c>
      <c r="O60" s="48">
        <v>5</v>
      </c>
      <c r="P60" s="46">
        <v>5</v>
      </c>
      <c r="Q60" s="46">
        <v>5</v>
      </c>
      <c r="R60" s="46"/>
      <c r="S60" s="46"/>
      <c r="T60" s="47">
        <f t="shared" si="2"/>
        <v>0</v>
      </c>
    </row>
    <row r="61" spans="1:20" ht="15.75" x14ac:dyDescent="0.25">
      <c r="A61" s="3">
        <f t="shared" si="3"/>
        <v>52</v>
      </c>
      <c r="B61" s="11" t="s">
        <v>135</v>
      </c>
      <c r="C61" s="15" t="s">
        <v>124</v>
      </c>
      <c r="D61" s="2"/>
      <c r="E61" s="22" t="s">
        <v>136</v>
      </c>
      <c r="F61" s="56" t="s">
        <v>181</v>
      </c>
      <c r="G61" s="26">
        <v>3</v>
      </c>
      <c r="H61" s="24">
        <v>1</v>
      </c>
      <c r="I61" s="24">
        <v>1</v>
      </c>
      <c r="J61" s="24"/>
      <c r="K61" s="46"/>
      <c r="L61" s="46"/>
      <c r="M61" s="46"/>
      <c r="N61" s="47">
        <f t="shared" si="1"/>
        <v>0</v>
      </c>
      <c r="O61" s="48"/>
      <c r="P61" s="46"/>
      <c r="Q61" s="46"/>
      <c r="R61" s="46"/>
      <c r="S61" s="46"/>
      <c r="T61" s="47">
        <f t="shared" si="2"/>
        <v>0</v>
      </c>
    </row>
    <row r="62" spans="1:20" ht="19.5" customHeight="1" x14ac:dyDescent="0.25">
      <c r="A62" s="3">
        <f t="shared" si="3"/>
        <v>53</v>
      </c>
      <c r="B62" s="13" t="s">
        <v>65</v>
      </c>
      <c r="C62" s="15" t="s">
        <v>124</v>
      </c>
      <c r="D62" s="2"/>
      <c r="E62" s="17" t="s">
        <v>106</v>
      </c>
      <c r="F62" s="56" t="s">
        <v>182</v>
      </c>
      <c r="G62" s="26">
        <v>4</v>
      </c>
      <c r="H62" s="24">
        <v>1</v>
      </c>
      <c r="I62" s="24">
        <v>1</v>
      </c>
      <c r="J62" s="24">
        <v>1</v>
      </c>
      <c r="K62" s="46">
        <v>1</v>
      </c>
      <c r="L62" s="46"/>
      <c r="M62" s="46"/>
      <c r="N62" s="47">
        <f t="shared" si="1"/>
        <v>0</v>
      </c>
      <c r="O62" s="48">
        <v>2</v>
      </c>
      <c r="P62" s="46">
        <v>2</v>
      </c>
      <c r="Q62" s="46">
        <v>2</v>
      </c>
      <c r="R62" s="46"/>
      <c r="S62" s="46"/>
      <c r="T62" s="47">
        <f t="shared" si="2"/>
        <v>0</v>
      </c>
    </row>
    <row r="63" spans="1:20" ht="15.75" x14ac:dyDescent="0.25">
      <c r="A63" s="3">
        <f t="shared" si="3"/>
        <v>54</v>
      </c>
      <c r="B63" s="13" t="s">
        <v>66</v>
      </c>
      <c r="C63" s="15" t="s">
        <v>124</v>
      </c>
      <c r="D63" s="2"/>
      <c r="E63" s="17" t="s">
        <v>112</v>
      </c>
      <c r="F63" s="56" t="s">
        <v>227</v>
      </c>
      <c r="G63" s="26"/>
      <c r="H63" s="24"/>
      <c r="I63" s="24"/>
      <c r="J63" s="24"/>
      <c r="K63" s="46"/>
      <c r="L63" s="46"/>
      <c r="M63" s="46"/>
      <c r="N63" s="47">
        <f t="shared" si="1"/>
        <v>0</v>
      </c>
      <c r="O63" s="48">
        <v>8</v>
      </c>
      <c r="P63" s="46">
        <v>8</v>
      </c>
      <c r="Q63" s="46">
        <v>8</v>
      </c>
      <c r="R63" s="46">
        <v>3232.69</v>
      </c>
      <c r="S63" s="46">
        <v>3232.69</v>
      </c>
      <c r="T63" s="47">
        <f t="shared" si="2"/>
        <v>0</v>
      </c>
    </row>
    <row r="64" spans="1:20" ht="15.75" x14ac:dyDescent="0.25">
      <c r="A64" s="3">
        <f t="shared" si="3"/>
        <v>55</v>
      </c>
      <c r="B64" s="10" t="s">
        <v>67</v>
      </c>
      <c r="C64" s="15" t="s">
        <v>124</v>
      </c>
      <c r="D64" s="2"/>
      <c r="E64" s="17" t="s">
        <v>106</v>
      </c>
      <c r="F64" s="56" t="s">
        <v>183</v>
      </c>
      <c r="G64" s="26">
        <v>7</v>
      </c>
      <c r="H64" s="24">
        <v>3</v>
      </c>
      <c r="I64" s="24">
        <v>4</v>
      </c>
      <c r="J64" s="24">
        <v>4</v>
      </c>
      <c r="K64" s="46">
        <v>4</v>
      </c>
      <c r="L64" s="46"/>
      <c r="M64" s="46"/>
      <c r="N64" s="47">
        <f t="shared" si="1"/>
        <v>0</v>
      </c>
      <c r="O64" s="48">
        <v>6</v>
      </c>
      <c r="P64" s="46">
        <v>6</v>
      </c>
      <c r="Q64" s="46">
        <v>6</v>
      </c>
      <c r="R64" s="46"/>
      <c r="S64" s="46"/>
      <c r="T64" s="47">
        <f t="shared" si="2"/>
        <v>0</v>
      </c>
    </row>
    <row r="65" spans="1:20" ht="15.75" x14ac:dyDescent="0.25">
      <c r="A65" s="3">
        <f t="shared" si="3"/>
        <v>56</v>
      </c>
      <c r="B65" s="10" t="s">
        <v>68</v>
      </c>
      <c r="C65" s="15" t="s">
        <v>124</v>
      </c>
      <c r="D65" s="2"/>
      <c r="E65" s="17" t="s">
        <v>111</v>
      </c>
      <c r="F65" s="56" t="s">
        <v>184</v>
      </c>
      <c r="G65" s="26">
        <v>11</v>
      </c>
      <c r="H65" s="24">
        <v>6</v>
      </c>
      <c r="I65" s="24">
        <v>6</v>
      </c>
      <c r="J65" s="24">
        <v>4</v>
      </c>
      <c r="K65" s="46">
        <v>1</v>
      </c>
      <c r="L65" s="46"/>
      <c r="M65" s="46"/>
      <c r="N65" s="47">
        <f t="shared" si="1"/>
        <v>0</v>
      </c>
      <c r="O65" s="48">
        <v>8</v>
      </c>
      <c r="P65" s="46">
        <v>7</v>
      </c>
      <c r="Q65" s="46">
        <v>6</v>
      </c>
      <c r="R65" s="46">
        <v>3302.91</v>
      </c>
      <c r="S65" s="46"/>
      <c r="T65" s="47">
        <f t="shared" si="2"/>
        <v>3302.91</v>
      </c>
    </row>
    <row r="66" spans="1:20" ht="15.75" x14ac:dyDescent="0.25">
      <c r="A66" s="3">
        <f t="shared" si="3"/>
        <v>57</v>
      </c>
      <c r="B66" s="13" t="s">
        <v>69</v>
      </c>
      <c r="C66" s="15" t="s">
        <v>124</v>
      </c>
      <c r="D66" s="2"/>
      <c r="E66" s="17" t="s">
        <v>106</v>
      </c>
      <c r="F66" s="56" t="s">
        <v>185</v>
      </c>
      <c r="G66" s="26">
        <v>2</v>
      </c>
      <c r="H66" s="24">
        <v>1</v>
      </c>
      <c r="I66" s="24">
        <v>1</v>
      </c>
      <c r="J66" s="24">
        <v>1</v>
      </c>
      <c r="K66" s="46">
        <v>1</v>
      </c>
      <c r="L66" s="46"/>
      <c r="M66" s="46"/>
      <c r="N66" s="47">
        <f t="shared" si="1"/>
        <v>0</v>
      </c>
      <c r="O66" s="48">
        <v>4</v>
      </c>
      <c r="P66" s="46">
        <v>4</v>
      </c>
      <c r="Q66" s="46">
        <v>4</v>
      </c>
      <c r="R66" s="46">
        <v>2317.17</v>
      </c>
      <c r="S66" s="46"/>
      <c r="T66" s="47">
        <f t="shared" si="2"/>
        <v>2317.17</v>
      </c>
    </row>
    <row r="67" spans="1:20" ht="15.75" x14ac:dyDescent="0.25">
      <c r="A67" s="3">
        <f t="shared" si="3"/>
        <v>58</v>
      </c>
      <c r="B67" s="11" t="s">
        <v>70</v>
      </c>
      <c r="C67" s="15" t="s">
        <v>124</v>
      </c>
      <c r="D67" s="2"/>
      <c r="E67" s="17" t="s">
        <v>107</v>
      </c>
      <c r="F67" s="56" t="s">
        <v>186</v>
      </c>
      <c r="G67" s="26">
        <v>13</v>
      </c>
      <c r="H67" s="24">
        <v>10</v>
      </c>
      <c r="I67" s="24">
        <v>12</v>
      </c>
      <c r="J67" s="24">
        <v>9</v>
      </c>
      <c r="K67" s="46">
        <v>9</v>
      </c>
      <c r="L67" s="46">
        <v>1327.02</v>
      </c>
      <c r="M67" s="46">
        <v>1327.02</v>
      </c>
      <c r="N67" s="47">
        <f t="shared" si="1"/>
        <v>0</v>
      </c>
      <c r="O67" s="48">
        <v>6</v>
      </c>
      <c r="P67" s="46">
        <v>4</v>
      </c>
      <c r="Q67" s="46">
        <v>3</v>
      </c>
      <c r="R67" s="46">
        <v>1207.07</v>
      </c>
      <c r="S67" s="46">
        <v>1207.07</v>
      </c>
      <c r="T67" s="47">
        <f t="shared" si="2"/>
        <v>0</v>
      </c>
    </row>
    <row r="68" spans="1:20" ht="15.75" x14ac:dyDescent="0.25">
      <c r="A68" s="3">
        <f t="shared" si="3"/>
        <v>59</v>
      </c>
      <c r="B68" s="11" t="s">
        <v>71</v>
      </c>
      <c r="C68" s="15" t="s">
        <v>124</v>
      </c>
      <c r="D68" s="2"/>
      <c r="E68" s="17" t="s">
        <v>117</v>
      </c>
      <c r="F68" s="56" t="s">
        <v>187</v>
      </c>
      <c r="G68" s="26">
        <v>15</v>
      </c>
      <c r="H68" s="24">
        <v>5</v>
      </c>
      <c r="I68" s="24">
        <v>8</v>
      </c>
      <c r="J68" s="24">
        <v>8</v>
      </c>
      <c r="K68" s="46">
        <v>8</v>
      </c>
      <c r="L68" s="46">
        <v>992.16</v>
      </c>
      <c r="M68" s="46">
        <v>992.16</v>
      </c>
      <c r="N68" s="47">
        <f t="shared" si="1"/>
        <v>0</v>
      </c>
      <c r="O68" s="48">
        <v>10</v>
      </c>
      <c r="P68" s="46">
        <v>10</v>
      </c>
      <c r="Q68" s="46">
        <v>10</v>
      </c>
      <c r="R68" s="46">
        <v>2992.76</v>
      </c>
      <c r="S68" s="46">
        <v>2992.76</v>
      </c>
      <c r="T68" s="47">
        <f t="shared" si="2"/>
        <v>0</v>
      </c>
    </row>
    <row r="69" spans="1:20" ht="19.5" customHeight="1" x14ac:dyDescent="0.25">
      <c r="A69" s="3">
        <f t="shared" si="3"/>
        <v>60</v>
      </c>
      <c r="B69" s="11" t="s">
        <v>72</v>
      </c>
      <c r="C69" s="15" t="s">
        <v>125</v>
      </c>
      <c r="D69" s="38" t="s">
        <v>126</v>
      </c>
      <c r="E69" s="17" t="s">
        <v>106</v>
      </c>
      <c r="F69" s="56" t="s">
        <v>188</v>
      </c>
      <c r="G69" s="26">
        <v>1</v>
      </c>
      <c r="H69" s="24"/>
      <c r="I69" s="24"/>
      <c r="J69" s="24"/>
      <c r="K69" s="46"/>
      <c r="L69" s="46"/>
      <c r="M69" s="46"/>
      <c r="N69" s="47">
        <f t="shared" si="1"/>
        <v>0</v>
      </c>
      <c r="O69" s="48"/>
      <c r="P69" s="46"/>
      <c r="Q69" s="46"/>
      <c r="R69" s="46"/>
      <c r="S69" s="46"/>
      <c r="T69" s="47">
        <f t="shared" si="2"/>
        <v>0</v>
      </c>
    </row>
    <row r="70" spans="1:20" ht="15.75" x14ac:dyDescent="0.25">
      <c r="A70" s="3">
        <f t="shared" si="3"/>
        <v>61</v>
      </c>
      <c r="B70" s="10" t="s">
        <v>73</v>
      </c>
      <c r="C70" s="15" t="s">
        <v>124</v>
      </c>
      <c r="D70" s="2"/>
      <c r="E70" s="17" t="s">
        <v>106</v>
      </c>
      <c r="F70" s="56" t="s">
        <v>189</v>
      </c>
      <c r="G70" s="26">
        <v>3</v>
      </c>
      <c r="H70" s="24"/>
      <c r="I70" s="24"/>
      <c r="J70" s="24"/>
      <c r="K70" s="46"/>
      <c r="L70" s="46"/>
      <c r="M70" s="46"/>
      <c r="N70" s="47">
        <f t="shared" si="1"/>
        <v>0</v>
      </c>
      <c r="O70" s="48"/>
      <c r="P70" s="46"/>
      <c r="Q70" s="46"/>
      <c r="R70" s="46"/>
      <c r="S70" s="46"/>
      <c r="T70" s="47">
        <f t="shared" si="2"/>
        <v>0</v>
      </c>
    </row>
    <row r="71" spans="1:20" ht="15.75" x14ac:dyDescent="0.25">
      <c r="A71" s="3">
        <f t="shared" si="3"/>
        <v>62</v>
      </c>
      <c r="B71" s="11" t="s">
        <v>74</v>
      </c>
      <c r="C71" s="15" t="s">
        <v>124</v>
      </c>
      <c r="D71" s="2"/>
      <c r="E71" s="17" t="s">
        <v>111</v>
      </c>
      <c r="F71" s="56" t="s">
        <v>190</v>
      </c>
      <c r="G71" s="26">
        <v>5</v>
      </c>
      <c r="H71" s="24">
        <v>2</v>
      </c>
      <c r="I71" s="24">
        <v>2</v>
      </c>
      <c r="J71" s="24">
        <v>2</v>
      </c>
      <c r="K71" s="46">
        <v>2</v>
      </c>
      <c r="L71" s="46"/>
      <c r="M71" s="46"/>
      <c r="N71" s="47">
        <f t="shared" si="1"/>
        <v>0</v>
      </c>
      <c r="O71" s="48">
        <v>16</v>
      </c>
      <c r="P71" s="46">
        <v>14</v>
      </c>
      <c r="Q71" s="46">
        <v>12</v>
      </c>
      <c r="R71" s="46"/>
      <c r="S71" s="46"/>
      <c r="T71" s="47">
        <f t="shared" si="2"/>
        <v>0</v>
      </c>
    </row>
    <row r="72" spans="1:20" ht="15.75" x14ac:dyDescent="0.25">
      <c r="A72" s="3">
        <f t="shared" si="3"/>
        <v>63</v>
      </c>
      <c r="B72" s="11" t="s">
        <v>75</v>
      </c>
      <c r="C72" s="15" t="s">
        <v>124</v>
      </c>
      <c r="D72" s="2"/>
      <c r="E72" s="17" t="s">
        <v>118</v>
      </c>
      <c r="F72" s="56" t="s">
        <v>191</v>
      </c>
      <c r="G72" s="26">
        <v>4</v>
      </c>
      <c r="H72" s="24">
        <v>1</v>
      </c>
      <c r="I72" s="24">
        <v>1</v>
      </c>
      <c r="J72" s="24">
        <v>1</v>
      </c>
      <c r="K72" s="46"/>
      <c r="L72" s="46"/>
      <c r="M72" s="46"/>
      <c r="N72" s="47">
        <f t="shared" si="1"/>
        <v>0</v>
      </c>
      <c r="O72" s="48">
        <v>4</v>
      </c>
      <c r="P72" s="46">
        <v>4</v>
      </c>
      <c r="Q72" s="46">
        <v>4</v>
      </c>
      <c r="R72" s="46">
        <v>3128.76</v>
      </c>
      <c r="S72" s="46"/>
      <c r="T72" s="47">
        <f t="shared" si="2"/>
        <v>3128.76</v>
      </c>
    </row>
    <row r="73" spans="1:20" ht="15.75" x14ac:dyDescent="0.25">
      <c r="A73" s="3">
        <f t="shared" si="3"/>
        <v>64</v>
      </c>
      <c r="B73" s="10" t="s">
        <v>76</v>
      </c>
      <c r="C73" s="15" t="s">
        <v>124</v>
      </c>
      <c r="D73" s="2"/>
      <c r="E73" s="10" t="s">
        <v>105</v>
      </c>
      <c r="F73" s="56" t="s">
        <v>192</v>
      </c>
      <c r="G73" s="26">
        <v>6</v>
      </c>
      <c r="H73" s="24"/>
      <c r="I73" s="24"/>
      <c r="J73" s="24"/>
      <c r="K73" s="46"/>
      <c r="L73" s="46"/>
      <c r="M73" s="46"/>
      <c r="N73" s="47">
        <f t="shared" si="1"/>
        <v>0</v>
      </c>
      <c r="O73" s="48">
        <v>3</v>
      </c>
      <c r="P73" s="46">
        <v>3</v>
      </c>
      <c r="Q73" s="46">
        <v>3</v>
      </c>
      <c r="R73" s="46">
        <v>851.64</v>
      </c>
      <c r="S73" s="46"/>
      <c r="T73" s="47">
        <f t="shared" si="2"/>
        <v>851.64</v>
      </c>
    </row>
    <row r="74" spans="1:20" ht="15.75" x14ac:dyDescent="0.25">
      <c r="A74" s="3">
        <f t="shared" si="3"/>
        <v>65</v>
      </c>
      <c r="B74" s="11" t="s">
        <v>77</v>
      </c>
      <c r="C74" s="15" t="s">
        <v>124</v>
      </c>
      <c r="D74" s="2"/>
      <c r="E74" s="10" t="s">
        <v>111</v>
      </c>
      <c r="F74" s="56" t="s">
        <v>225</v>
      </c>
      <c r="G74" s="26"/>
      <c r="H74" s="24"/>
      <c r="I74" s="24"/>
      <c r="J74" s="24"/>
      <c r="K74" s="46"/>
      <c r="L74" s="46"/>
      <c r="M74" s="46"/>
      <c r="N74" s="47">
        <f t="shared" si="1"/>
        <v>0</v>
      </c>
      <c r="O74" s="48">
        <v>1</v>
      </c>
      <c r="P74" s="46">
        <v>1</v>
      </c>
      <c r="Q74" s="46">
        <v>1</v>
      </c>
      <c r="R74" s="46">
        <v>3278.32</v>
      </c>
      <c r="S74" s="46">
        <v>3278.32</v>
      </c>
      <c r="T74" s="47">
        <f t="shared" si="2"/>
        <v>0</v>
      </c>
    </row>
    <row r="75" spans="1:20" ht="15.75" x14ac:dyDescent="0.25">
      <c r="A75" s="3">
        <f t="shared" si="3"/>
        <v>66</v>
      </c>
      <c r="B75" s="10" t="s">
        <v>78</v>
      </c>
      <c r="C75" s="15" t="s">
        <v>124</v>
      </c>
      <c r="D75" s="2"/>
      <c r="E75" s="23" t="s">
        <v>119</v>
      </c>
      <c r="F75" s="56" t="s">
        <v>193</v>
      </c>
      <c r="G75" s="26">
        <v>2</v>
      </c>
      <c r="H75" s="24"/>
      <c r="I75" s="24"/>
      <c r="J75" s="24"/>
      <c r="K75" s="46"/>
      <c r="L75" s="46"/>
      <c r="M75" s="46"/>
      <c r="N75" s="47">
        <f t="shared" ref="N75:N102" si="4" xml:space="preserve"> (L75-M75)</f>
        <v>0</v>
      </c>
      <c r="O75" s="48">
        <v>2</v>
      </c>
      <c r="P75" s="46">
        <v>2</v>
      </c>
      <c r="Q75" s="46">
        <v>2</v>
      </c>
      <c r="R75" s="46"/>
      <c r="S75" s="46"/>
      <c r="T75" s="47">
        <f t="shared" ref="T75:T102" si="5" xml:space="preserve"> (R75-S75)</f>
        <v>0</v>
      </c>
    </row>
    <row r="76" spans="1:20" ht="15.75" x14ac:dyDescent="0.25">
      <c r="A76" s="3">
        <f t="shared" ref="A76:A102" si="6">A75+1</f>
        <v>67</v>
      </c>
      <c r="B76" s="11" t="s">
        <v>79</v>
      </c>
      <c r="C76" s="15" t="s">
        <v>124</v>
      </c>
      <c r="D76" s="2"/>
      <c r="E76" s="17" t="s">
        <v>106</v>
      </c>
      <c r="F76" s="56" t="s">
        <v>194</v>
      </c>
      <c r="G76" s="26">
        <v>7</v>
      </c>
      <c r="H76" s="24">
        <v>2</v>
      </c>
      <c r="I76" s="24">
        <v>2</v>
      </c>
      <c r="J76" s="24">
        <v>2</v>
      </c>
      <c r="K76" s="46">
        <v>2</v>
      </c>
      <c r="L76" s="46">
        <v>522.80999999999995</v>
      </c>
      <c r="M76" s="46"/>
      <c r="N76" s="47">
        <f t="shared" si="4"/>
        <v>522.80999999999995</v>
      </c>
      <c r="O76" s="48">
        <v>3</v>
      </c>
      <c r="P76" s="46">
        <v>3</v>
      </c>
      <c r="Q76" s="46">
        <v>3</v>
      </c>
      <c r="R76" s="46">
        <v>373.84</v>
      </c>
      <c r="S76" s="46"/>
      <c r="T76" s="47">
        <f t="shared" si="5"/>
        <v>373.84</v>
      </c>
    </row>
    <row r="77" spans="1:20" ht="15.75" x14ac:dyDescent="0.25">
      <c r="A77" s="3">
        <f t="shared" si="6"/>
        <v>68</v>
      </c>
      <c r="B77" s="11" t="s">
        <v>80</v>
      </c>
      <c r="C77" s="15" t="s">
        <v>124</v>
      </c>
      <c r="D77" s="2"/>
      <c r="E77" s="17" t="s">
        <v>106</v>
      </c>
      <c r="F77" s="56" t="s">
        <v>195</v>
      </c>
      <c r="G77" s="26">
        <v>3</v>
      </c>
      <c r="H77" s="24"/>
      <c r="I77" s="24"/>
      <c r="J77" s="24"/>
      <c r="K77" s="46"/>
      <c r="L77" s="46"/>
      <c r="M77" s="46"/>
      <c r="N77" s="47">
        <f t="shared" si="4"/>
        <v>0</v>
      </c>
      <c r="O77" s="48"/>
      <c r="P77" s="46"/>
      <c r="Q77" s="46"/>
      <c r="R77" s="46"/>
      <c r="S77" s="46"/>
      <c r="T77" s="47">
        <f t="shared" si="5"/>
        <v>0</v>
      </c>
    </row>
    <row r="78" spans="1:20" ht="18" customHeight="1" x14ac:dyDescent="0.25">
      <c r="A78" s="3">
        <f t="shared" si="6"/>
        <v>69</v>
      </c>
      <c r="B78" s="14" t="s">
        <v>81</v>
      </c>
      <c r="C78" s="15" t="s">
        <v>124</v>
      </c>
      <c r="D78" s="2"/>
      <c r="E78" s="10" t="s">
        <v>106</v>
      </c>
      <c r="F78" s="56" t="s">
        <v>226</v>
      </c>
      <c r="G78" s="26"/>
      <c r="H78" s="24"/>
      <c r="I78" s="24"/>
      <c r="J78" s="24"/>
      <c r="K78" s="46"/>
      <c r="L78" s="46"/>
      <c r="M78" s="46"/>
      <c r="N78" s="47">
        <f t="shared" si="4"/>
        <v>0</v>
      </c>
      <c r="O78" s="48">
        <v>8</v>
      </c>
      <c r="P78" s="46">
        <v>8</v>
      </c>
      <c r="Q78" s="46">
        <v>7</v>
      </c>
      <c r="R78" s="46">
        <v>852.2</v>
      </c>
      <c r="S78" s="46">
        <v>852.2</v>
      </c>
      <c r="T78" s="47">
        <f t="shared" si="5"/>
        <v>0</v>
      </c>
    </row>
    <row r="79" spans="1:20" ht="15.75" x14ac:dyDescent="0.25">
      <c r="A79" s="3">
        <f t="shared" si="6"/>
        <v>70</v>
      </c>
      <c r="B79" s="14" t="s">
        <v>82</v>
      </c>
      <c r="C79" s="15" t="s">
        <v>124</v>
      </c>
      <c r="D79" s="2"/>
      <c r="E79" s="10" t="s">
        <v>106</v>
      </c>
      <c r="F79" s="56" t="s">
        <v>196</v>
      </c>
      <c r="G79" s="26">
        <v>5</v>
      </c>
      <c r="H79" s="24">
        <v>1</v>
      </c>
      <c r="I79" s="24">
        <v>1</v>
      </c>
      <c r="J79" s="24">
        <v>1</v>
      </c>
      <c r="K79" s="46">
        <v>1</v>
      </c>
      <c r="L79" s="46"/>
      <c r="M79" s="46"/>
      <c r="N79" s="47">
        <f t="shared" si="4"/>
        <v>0</v>
      </c>
      <c r="O79" s="48">
        <v>1</v>
      </c>
      <c r="P79" s="46">
        <v>1</v>
      </c>
      <c r="Q79" s="46">
        <v>1</v>
      </c>
      <c r="R79" s="46"/>
      <c r="S79" s="46"/>
      <c r="T79" s="47">
        <f t="shared" si="5"/>
        <v>0</v>
      </c>
    </row>
    <row r="80" spans="1:20" ht="15.75" x14ac:dyDescent="0.25">
      <c r="A80" s="3">
        <f t="shared" si="6"/>
        <v>71</v>
      </c>
      <c r="B80" s="14" t="s">
        <v>83</v>
      </c>
      <c r="C80" s="15" t="s">
        <v>124</v>
      </c>
      <c r="D80" s="2"/>
      <c r="E80" s="10" t="s">
        <v>106</v>
      </c>
      <c r="F80" s="56" t="s">
        <v>197</v>
      </c>
      <c r="G80" s="26">
        <v>7</v>
      </c>
      <c r="H80" s="24">
        <v>1</v>
      </c>
      <c r="I80" s="24">
        <v>1</v>
      </c>
      <c r="J80" s="24">
        <v>1</v>
      </c>
      <c r="K80" s="46">
        <v>1</v>
      </c>
      <c r="L80" s="46">
        <v>531.74</v>
      </c>
      <c r="M80" s="46">
        <v>531.74</v>
      </c>
      <c r="N80" s="47">
        <f t="shared" si="4"/>
        <v>0</v>
      </c>
      <c r="O80" s="48">
        <v>5</v>
      </c>
      <c r="P80" s="46">
        <v>5</v>
      </c>
      <c r="Q80" s="46">
        <v>5</v>
      </c>
      <c r="R80" s="46">
        <v>12327.43</v>
      </c>
      <c r="S80" s="46">
        <v>12327.43</v>
      </c>
      <c r="T80" s="47">
        <f t="shared" si="5"/>
        <v>0</v>
      </c>
    </row>
    <row r="81" spans="1:20" ht="15.75" x14ac:dyDescent="0.25">
      <c r="A81" s="3">
        <f t="shared" si="6"/>
        <v>72</v>
      </c>
      <c r="B81" s="11" t="s">
        <v>84</v>
      </c>
      <c r="C81" s="15" t="s">
        <v>124</v>
      </c>
      <c r="D81" s="2"/>
      <c r="E81" s="10" t="s">
        <v>120</v>
      </c>
      <c r="F81" s="56" t="s">
        <v>198</v>
      </c>
      <c r="G81" s="26"/>
      <c r="H81" s="24"/>
      <c r="I81" s="24"/>
      <c r="J81" s="24"/>
      <c r="K81" s="46"/>
      <c r="L81" s="46"/>
      <c r="M81" s="46"/>
      <c r="N81" s="47">
        <f t="shared" si="4"/>
        <v>0</v>
      </c>
      <c r="O81" s="48"/>
      <c r="P81" s="46"/>
      <c r="Q81" s="46"/>
      <c r="R81" s="46"/>
      <c r="S81" s="46"/>
      <c r="T81" s="47">
        <f t="shared" si="5"/>
        <v>0</v>
      </c>
    </row>
    <row r="82" spans="1:20" ht="15.75" x14ac:dyDescent="0.25">
      <c r="A82" s="3">
        <f t="shared" si="6"/>
        <v>73</v>
      </c>
      <c r="B82" s="13" t="s">
        <v>85</v>
      </c>
      <c r="C82" s="15" t="s">
        <v>124</v>
      </c>
      <c r="D82" s="2"/>
      <c r="E82" s="19" t="s">
        <v>106</v>
      </c>
      <c r="F82" s="56" t="s">
        <v>199</v>
      </c>
      <c r="G82" s="26">
        <v>7</v>
      </c>
      <c r="H82" s="24">
        <v>4</v>
      </c>
      <c r="I82" s="24">
        <v>4</v>
      </c>
      <c r="J82" s="24">
        <v>4</v>
      </c>
      <c r="K82" s="46">
        <v>4</v>
      </c>
      <c r="L82" s="46">
        <v>654.54999999999995</v>
      </c>
      <c r="M82" s="46"/>
      <c r="N82" s="47">
        <f t="shared" si="4"/>
        <v>654.54999999999995</v>
      </c>
      <c r="O82" s="48">
        <v>5</v>
      </c>
      <c r="P82" s="46">
        <v>5</v>
      </c>
      <c r="Q82" s="46">
        <v>5</v>
      </c>
      <c r="R82" s="46">
        <v>5287.57</v>
      </c>
      <c r="S82" s="46"/>
      <c r="T82" s="47">
        <f t="shared" si="5"/>
        <v>5287.57</v>
      </c>
    </row>
    <row r="83" spans="1:20" ht="15.75" x14ac:dyDescent="0.25">
      <c r="A83" s="3">
        <f t="shared" si="6"/>
        <v>74</v>
      </c>
      <c r="B83" s="10" t="s">
        <v>86</v>
      </c>
      <c r="C83" s="15" t="s">
        <v>124</v>
      </c>
      <c r="D83" s="2"/>
      <c r="E83" s="22" t="s">
        <v>118</v>
      </c>
      <c r="F83" s="56" t="s">
        <v>200</v>
      </c>
      <c r="G83" s="26">
        <v>6</v>
      </c>
      <c r="H83" s="24">
        <v>3</v>
      </c>
      <c r="I83" s="24">
        <v>3</v>
      </c>
      <c r="J83" s="24">
        <v>3</v>
      </c>
      <c r="K83" s="46">
        <v>3</v>
      </c>
      <c r="L83" s="46"/>
      <c r="M83" s="46"/>
      <c r="N83" s="47">
        <f t="shared" si="4"/>
        <v>0</v>
      </c>
      <c r="O83" s="48">
        <v>3</v>
      </c>
      <c r="P83" s="46">
        <v>3</v>
      </c>
      <c r="Q83" s="46">
        <v>3</v>
      </c>
      <c r="R83" s="46"/>
      <c r="S83" s="46"/>
      <c r="T83" s="47">
        <f t="shared" si="5"/>
        <v>0</v>
      </c>
    </row>
    <row r="84" spans="1:20" ht="15.75" x14ac:dyDescent="0.25">
      <c r="A84" s="3">
        <f t="shared" si="6"/>
        <v>75</v>
      </c>
      <c r="B84" s="10" t="s">
        <v>87</v>
      </c>
      <c r="C84" s="15" t="s">
        <v>124</v>
      </c>
      <c r="D84" s="2"/>
      <c r="E84" s="22" t="s">
        <v>115</v>
      </c>
      <c r="F84" s="56" t="s">
        <v>201</v>
      </c>
      <c r="G84" s="26">
        <v>5</v>
      </c>
      <c r="H84" s="24">
        <v>1</v>
      </c>
      <c r="I84" s="24">
        <v>1</v>
      </c>
      <c r="J84" s="24">
        <v>1</v>
      </c>
      <c r="K84" s="46">
        <v>1</v>
      </c>
      <c r="L84" s="46"/>
      <c r="M84" s="46"/>
      <c r="N84" s="47">
        <f t="shared" si="4"/>
        <v>0</v>
      </c>
      <c r="O84" s="48">
        <v>1</v>
      </c>
      <c r="P84" s="46"/>
      <c r="Q84" s="46"/>
      <c r="R84" s="46"/>
      <c r="S84" s="46"/>
      <c r="T84" s="47">
        <f t="shared" si="5"/>
        <v>0</v>
      </c>
    </row>
    <row r="85" spans="1:20" ht="15.75" x14ac:dyDescent="0.25">
      <c r="A85" s="3">
        <f t="shared" si="6"/>
        <v>76</v>
      </c>
      <c r="B85" s="11" t="s">
        <v>88</v>
      </c>
      <c r="C85" s="15" t="s">
        <v>124</v>
      </c>
      <c r="D85" s="2"/>
      <c r="E85" s="17" t="s">
        <v>121</v>
      </c>
      <c r="F85" s="56" t="s">
        <v>203</v>
      </c>
      <c r="G85" s="26">
        <v>10</v>
      </c>
      <c r="H85" s="24">
        <v>4</v>
      </c>
      <c r="I85" s="24">
        <v>7</v>
      </c>
      <c r="J85" s="24">
        <v>7</v>
      </c>
      <c r="K85" s="46">
        <v>7</v>
      </c>
      <c r="L85" s="46"/>
      <c r="M85" s="46"/>
      <c r="N85" s="47">
        <f t="shared" si="4"/>
        <v>0</v>
      </c>
      <c r="O85" s="48">
        <v>5</v>
      </c>
      <c r="P85" s="46">
        <v>4</v>
      </c>
      <c r="Q85" s="46">
        <v>4</v>
      </c>
      <c r="R85" s="46">
        <v>2067.4699999999998</v>
      </c>
      <c r="S85" s="46"/>
      <c r="T85" s="47">
        <f t="shared" si="5"/>
        <v>2067.4699999999998</v>
      </c>
    </row>
    <row r="86" spans="1:20" ht="15.75" x14ac:dyDescent="0.25">
      <c r="A86" s="3">
        <f t="shared" si="6"/>
        <v>77</v>
      </c>
      <c r="B86" s="14" t="s">
        <v>89</v>
      </c>
      <c r="C86" s="15" t="s">
        <v>124</v>
      </c>
      <c r="D86" s="2"/>
      <c r="E86" s="19" t="s">
        <v>106</v>
      </c>
      <c r="F86" s="56" t="s">
        <v>202</v>
      </c>
      <c r="G86" s="26">
        <v>2</v>
      </c>
      <c r="H86" s="24"/>
      <c r="I86" s="24"/>
      <c r="J86" s="24"/>
      <c r="K86" s="46"/>
      <c r="L86" s="46"/>
      <c r="M86" s="46"/>
      <c r="N86" s="47">
        <f t="shared" si="4"/>
        <v>0</v>
      </c>
      <c r="O86" s="48">
        <v>2</v>
      </c>
      <c r="P86" s="46">
        <v>2</v>
      </c>
      <c r="Q86" s="46">
        <v>2</v>
      </c>
      <c r="R86" s="46"/>
      <c r="S86" s="46"/>
      <c r="T86" s="47">
        <f t="shared" si="5"/>
        <v>0</v>
      </c>
    </row>
    <row r="87" spans="1:20" ht="15.75" x14ac:dyDescent="0.25">
      <c r="A87" s="3">
        <f t="shared" si="6"/>
        <v>78</v>
      </c>
      <c r="B87" s="14" t="s">
        <v>90</v>
      </c>
      <c r="C87" s="15" t="s">
        <v>124</v>
      </c>
      <c r="D87" s="2"/>
      <c r="E87" s="19" t="s">
        <v>106</v>
      </c>
      <c r="F87" s="56" t="s">
        <v>204</v>
      </c>
      <c r="G87" s="26">
        <v>3</v>
      </c>
      <c r="H87" s="24">
        <v>2</v>
      </c>
      <c r="I87" s="24">
        <v>2</v>
      </c>
      <c r="J87" s="24">
        <v>2</v>
      </c>
      <c r="K87" s="46">
        <v>2</v>
      </c>
      <c r="L87" s="46">
        <v>250.11</v>
      </c>
      <c r="M87" s="46">
        <v>250.11</v>
      </c>
      <c r="N87" s="47">
        <f t="shared" si="4"/>
        <v>0</v>
      </c>
      <c r="O87" s="48">
        <v>2</v>
      </c>
      <c r="P87" s="46">
        <v>2</v>
      </c>
      <c r="Q87" s="46">
        <v>2</v>
      </c>
      <c r="R87" s="46">
        <v>2723.78</v>
      </c>
      <c r="S87" s="46">
        <v>2723.78</v>
      </c>
      <c r="T87" s="47">
        <f t="shared" si="5"/>
        <v>0</v>
      </c>
    </row>
    <row r="88" spans="1:20" ht="15.75" x14ac:dyDescent="0.25">
      <c r="A88" s="3">
        <f t="shared" si="6"/>
        <v>79</v>
      </c>
      <c r="B88" s="10" t="s">
        <v>91</v>
      </c>
      <c r="C88" s="15" t="s">
        <v>124</v>
      </c>
      <c r="D88" s="2"/>
      <c r="E88" s="17" t="s">
        <v>111</v>
      </c>
      <c r="F88" s="56" t="s">
        <v>231</v>
      </c>
      <c r="G88" s="26">
        <v>1</v>
      </c>
      <c r="H88" s="24"/>
      <c r="I88" s="24"/>
      <c r="J88" s="24"/>
      <c r="K88" s="46"/>
      <c r="L88" s="46"/>
      <c r="M88" s="46"/>
      <c r="N88" s="47">
        <f t="shared" si="4"/>
        <v>0</v>
      </c>
      <c r="O88" s="48">
        <v>6</v>
      </c>
      <c r="P88" s="46">
        <v>6</v>
      </c>
      <c r="Q88" s="46">
        <v>6</v>
      </c>
      <c r="R88" s="46">
        <v>4474.76</v>
      </c>
      <c r="S88" s="46">
        <v>4474.76</v>
      </c>
      <c r="T88" s="47">
        <f t="shared" si="5"/>
        <v>0</v>
      </c>
    </row>
    <row r="89" spans="1:20" ht="15.75" x14ac:dyDescent="0.25">
      <c r="A89" s="3">
        <f t="shared" si="6"/>
        <v>80</v>
      </c>
      <c r="B89" s="10" t="s">
        <v>92</v>
      </c>
      <c r="C89" s="15" t="s">
        <v>124</v>
      </c>
      <c r="D89" s="2"/>
      <c r="E89" s="19" t="s">
        <v>106</v>
      </c>
      <c r="F89" s="56" t="s">
        <v>205</v>
      </c>
      <c r="G89" s="26">
        <v>2</v>
      </c>
      <c r="H89" s="24">
        <v>1</v>
      </c>
      <c r="I89" s="24">
        <v>1</v>
      </c>
      <c r="J89" s="24">
        <v>1</v>
      </c>
      <c r="K89" s="46">
        <v>1</v>
      </c>
      <c r="L89" s="46"/>
      <c r="M89" s="46"/>
      <c r="N89" s="47">
        <f t="shared" si="4"/>
        <v>0</v>
      </c>
      <c r="O89" s="48">
        <v>2</v>
      </c>
      <c r="P89" s="46">
        <v>2</v>
      </c>
      <c r="Q89" s="46">
        <v>2</v>
      </c>
      <c r="R89" s="46">
        <v>5032.46</v>
      </c>
      <c r="S89" s="46"/>
      <c r="T89" s="47">
        <f t="shared" si="5"/>
        <v>5032.46</v>
      </c>
    </row>
    <row r="90" spans="1:20" ht="15.75" x14ac:dyDescent="0.25">
      <c r="A90" s="3">
        <f t="shared" si="6"/>
        <v>81</v>
      </c>
      <c r="B90" s="11" t="s">
        <v>93</v>
      </c>
      <c r="C90" s="15" t="s">
        <v>124</v>
      </c>
      <c r="D90" s="2"/>
      <c r="E90" s="17" t="s">
        <v>122</v>
      </c>
      <c r="F90" s="56" t="s">
        <v>206</v>
      </c>
      <c r="G90" s="26">
        <v>12</v>
      </c>
      <c r="H90" s="24">
        <v>9</v>
      </c>
      <c r="I90" s="24">
        <v>12</v>
      </c>
      <c r="J90" s="24"/>
      <c r="K90" s="46"/>
      <c r="L90" s="46"/>
      <c r="M90" s="46"/>
      <c r="N90" s="47">
        <f t="shared" si="4"/>
        <v>0</v>
      </c>
      <c r="O90" s="48">
        <v>6</v>
      </c>
      <c r="P90" s="46">
        <v>6</v>
      </c>
      <c r="Q90" s="46">
        <v>6</v>
      </c>
      <c r="R90" s="46"/>
      <c r="S90" s="46"/>
      <c r="T90" s="47">
        <f t="shared" si="5"/>
        <v>0</v>
      </c>
    </row>
    <row r="91" spans="1:20" ht="15.75" x14ac:dyDescent="0.25">
      <c r="A91" s="3">
        <f t="shared" si="6"/>
        <v>82</v>
      </c>
      <c r="B91" s="11" t="s">
        <v>94</v>
      </c>
      <c r="C91" s="15" t="s">
        <v>124</v>
      </c>
      <c r="D91" s="2"/>
      <c r="E91" s="19" t="s">
        <v>106</v>
      </c>
      <c r="F91" s="56" t="s">
        <v>218</v>
      </c>
      <c r="G91" s="26">
        <v>6</v>
      </c>
      <c r="H91" s="24">
        <v>1</v>
      </c>
      <c r="I91" s="24">
        <v>1</v>
      </c>
      <c r="J91" s="24">
        <v>1</v>
      </c>
      <c r="K91" s="46">
        <v>1</v>
      </c>
      <c r="L91" s="46"/>
      <c r="M91" s="46"/>
      <c r="N91" s="47">
        <f t="shared" si="4"/>
        <v>0</v>
      </c>
      <c r="O91" s="48">
        <v>4</v>
      </c>
      <c r="P91" s="46">
        <v>4</v>
      </c>
      <c r="Q91" s="46">
        <v>4</v>
      </c>
      <c r="R91" s="46"/>
      <c r="S91" s="46"/>
      <c r="T91" s="47">
        <f t="shared" si="5"/>
        <v>0</v>
      </c>
    </row>
    <row r="92" spans="1:20" ht="15.75" x14ac:dyDescent="0.25">
      <c r="A92" s="3">
        <f t="shared" si="6"/>
        <v>83</v>
      </c>
      <c r="B92" s="11" t="s">
        <v>95</v>
      </c>
      <c r="C92" s="15" t="s">
        <v>124</v>
      </c>
      <c r="D92" s="2"/>
      <c r="E92" s="19" t="s">
        <v>123</v>
      </c>
      <c r="F92" s="56" t="s">
        <v>217</v>
      </c>
      <c r="G92" s="26">
        <v>7</v>
      </c>
      <c r="H92" s="24">
        <v>4</v>
      </c>
      <c r="I92" s="24">
        <v>5</v>
      </c>
      <c r="J92" s="24">
        <v>5</v>
      </c>
      <c r="K92" s="46">
        <v>5</v>
      </c>
      <c r="L92" s="46"/>
      <c r="M92" s="46"/>
      <c r="N92" s="47">
        <f t="shared" si="4"/>
        <v>0</v>
      </c>
      <c r="O92" s="48">
        <v>1</v>
      </c>
      <c r="P92" s="46">
        <v>1</v>
      </c>
      <c r="Q92" s="46">
        <v>1</v>
      </c>
      <c r="R92" s="46">
        <v>206.7</v>
      </c>
      <c r="S92" s="46"/>
      <c r="T92" s="47">
        <f t="shared" si="5"/>
        <v>206.7</v>
      </c>
    </row>
    <row r="93" spans="1:20" ht="15.75" x14ac:dyDescent="0.25">
      <c r="A93" s="3">
        <f t="shared" si="6"/>
        <v>84</v>
      </c>
      <c r="B93" s="11" t="s">
        <v>96</v>
      </c>
      <c r="C93" s="15" t="s">
        <v>124</v>
      </c>
      <c r="D93" s="2"/>
      <c r="E93" s="22" t="s">
        <v>112</v>
      </c>
      <c r="F93" s="56" t="s">
        <v>216</v>
      </c>
      <c r="G93" s="26">
        <v>17</v>
      </c>
      <c r="H93" s="24">
        <v>7</v>
      </c>
      <c r="I93" s="24">
        <v>9</v>
      </c>
      <c r="J93" s="24"/>
      <c r="K93" s="46"/>
      <c r="L93" s="46"/>
      <c r="M93" s="46"/>
      <c r="N93" s="47">
        <f t="shared" si="4"/>
        <v>0</v>
      </c>
      <c r="O93" s="48">
        <v>3</v>
      </c>
      <c r="P93" s="46">
        <v>3</v>
      </c>
      <c r="Q93" s="46">
        <v>3</v>
      </c>
      <c r="R93" s="46">
        <v>5838.31</v>
      </c>
      <c r="S93" s="46"/>
      <c r="T93" s="47">
        <f t="shared" si="5"/>
        <v>5838.31</v>
      </c>
    </row>
    <row r="94" spans="1:20" ht="15.75" x14ac:dyDescent="0.25">
      <c r="A94" s="3">
        <f t="shared" si="6"/>
        <v>85</v>
      </c>
      <c r="B94" s="11" t="s">
        <v>97</v>
      </c>
      <c r="C94" s="15" t="s">
        <v>124</v>
      </c>
      <c r="D94" s="2"/>
      <c r="E94" s="17" t="s">
        <v>111</v>
      </c>
      <c r="F94" s="56" t="s">
        <v>215</v>
      </c>
      <c r="G94" s="26">
        <v>6</v>
      </c>
      <c r="H94" s="24">
        <v>1</v>
      </c>
      <c r="I94" s="24">
        <v>2</v>
      </c>
      <c r="J94" s="24">
        <v>1</v>
      </c>
      <c r="K94" s="46"/>
      <c r="L94" s="46"/>
      <c r="M94" s="46"/>
      <c r="N94" s="47">
        <f t="shared" si="4"/>
        <v>0</v>
      </c>
      <c r="O94" s="48">
        <v>19</v>
      </c>
      <c r="P94" s="46">
        <v>18</v>
      </c>
      <c r="Q94" s="46">
        <v>17</v>
      </c>
      <c r="R94" s="46">
        <v>12538.44</v>
      </c>
      <c r="S94" s="46"/>
      <c r="T94" s="47">
        <f t="shared" si="5"/>
        <v>12538.44</v>
      </c>
    </row>
    <row r="95" spans="1:20" ht="15.75" x14ac:dyDescent="0.25">
      <c r="A95" s="3">
        <f t="shared" si="6"/>
        <v>86</v>
      </c>
      <c r="B95" s="10" t="s">
        <v>98</v>
      </c>
      <c r="C95" s="15" t="s">
        <v>124</v>
      </c>
      <c r="D95" s="2"/>
      <c r="E95" s="19" t="s">
        <v>106</v>
      </c>
      <c r="F95" s="56" t="s">
        <v>214</v>
      </c>
      <c r="G95" s="26">
        <v>8</v>
      </c>
      <c r="H95" s="24">
        <v>1</v>
      </c>
      <c r="I95" s="24">
        <v>1</v>
      </c>
      <c r="J95" s="24">
        <v>1</v>
      </c>
      <c r="K95" s="46">
        <v>1</v>
      </c>
      <c r="L95" s="46"/>
      <c r="M95" s="46"/>
      <c r="N95" s="47">
        <f t="shared" si="4"/>
        <v>0</v>
      </c>
      <c r="O95" s="48">
        <v>9</v>
      </c>
      <c r="P95" s="46">
        <v>9</v>
      </c>
      <c r="Q95" s="46">
        <v>5</v>
      </c>
      <c r="R95" s="46">
        <v>410.39</v>
      </c>
      <c r="S95" s="46"/>
      <c r="T95" s="47">
        <f t="shared" si="5"/>
        <v>410.39</v>
      </c>
    </row>
    <row r="96" spans="1:20" ht="15.75" x14ac:dyDescent="0.25">
      <c r="A96" s="3">
        <f t="shared" si="6"/>
        <v>87</v>
      </c>
      <c r="B96" s="10" t="s">
        <v>129</v>
      </c>
      <c r="C96" s="15" t="s">
        <v>124</v>
      </c>
      <c r="D96" s="2"/>
      <c r="E96" s="19" t="s">
        <v>106</v>
      </c>
      <c r="F96" s="56" t="s">
        <v>212</v>
      </c>
      <c r="G96" s="26">
        <v>2</v>
      </c>
      <c r="H96" s="24"/>
      <c r="I96" s="24"/>
      <c r="J96" s="24"/>
      <c r="K96" s="46"/>
      <c r="L96" s="46"/>
      <c r="M96" s="46"/>
      <c r="N96" s="47">
        <f t="shared" si="4"/>
        <v>0</v>
      </c>
      <c r="O96" s="48"/>
      <c r="P96" s="46"/>
      <c r="Q96" s="46"/>
      <c r="R96" s="46"/>
      <c r="S96" s="46"/>
      <c r="T96" s="47">
        <f t="shared" si="5"/>
        <v>0</v>
      </c>
    </row>
    <row r="97" spans="1:20" ht="15.75" x14ac:dyDescent="0.25">
      <c r="A97" s="3">
        <f t="shared" si="6"/>
        <v>88</v>
      </c>
      <c r="B97" s="10" t="s">
        <v>99</v>
      </c>
      <c r="C97" s="15" t="s">
        <v>124</v>
      </c>
      <c r="D97" s="2"/>
      <c r="E97" s="19" t="s">
        <v>106</v>
      </c>
      <c r="F97" s="56" t="s">
        <v>213</v>
      </c>
      <c r="G97" s="26">
        <v>5</v>
      </c>
      <c r="H97" s="24">
        <v>2</v>
      </c>
      <c r="I97" s="24">
        <v>2</v>
      </c>
      <c r="J97" s="24">
        <v>2</v>
      </c>
      <c r="K97" s="46">
        <v>2</v>
      </c>
      <c r="L97" s="46">
        <v>408.82</v>
      </c>
      <c r="M97" s="46"/>
      <c r="N97" s="47">
        <f t="shared" si="4"/>
        <v>408.82</v>
      </c>
      <c r="O97" s="48">
        <v>4</v>
      </c>
      <c r="P97" s="46">
        <v>4</v>
      </c>
      <c r="Q97" s="46">
        <v>4</v>
      </c>
      <c r="R97" s="46">
        <v>567.42999999999995</v>
      </c>
      <c r="S97" s="46"/>
      <c r="T97" s="47">
        <f t="shared" si="5"/>
        <v>567.42999999999995</v>
      </c>
    </row>
    <row r="98" spans="1:20" ht="17.25" customHeight="1" x14ac:dyDescent="0.25">
      <c r="A98" s="3">
        <f t="shared" si="6"/>
        <v>89</v>
      </c>
      <c r="B98" s="13" t="s">
        <v>100</v>
      </c>
      <c r="C98" s="15" t="s">
        <v>124</v>
      </c>
      <c r="D98" s="2"/>
      <c r="E98" s="19" t="s">
        <v>106</v>
      </c>
      <c r="F98" s="56" t="s">
        <v>211</v>
      </c>
      <c r="G98" s="26">
        <v>6</v>
      </c>
      <c r="H98" s="24"/>
      <c r="I98" s="24"/>
      <c r="J98" s="24"/>
      <c r="K98" s="46"/>
      <c r="L98" s="46"/>
      <c r="M98" s="46"/>
      <c r="N98" s="47">
        <f t="shared" si="4"/>
        <v>0</v>
      </c>
      <c r="O98" s="48">
        <v>5</v>
      </c>
      <c r="P98" s="46">
        <v>5</v>
      </c>
      <c r="Q98" s="46">
        <v>3</v>
      </c>
      <c r="R98" s="46">
        <v>1445.9</v>
      </c>
      <c r="S98" s="46"/>
      <c r="T98" s="47">
        <f t="shared" si="5"/>
        <v>1445.9</v>
      </c>
    </row>
    <row r="99" spans="1:20" ht="18.75" customHeight="1" x14ac:dyDescent="0.25">
      <c r="A99" s="3">
        <f t="shared" si="6"/>
        <v>90</v>
      </c>
      <c r="B99" s="13" t="s">
        <v>101</v>
      </c>
      <c r="C99" s="15" t="s">
        <v>124</v>
      </c>
      <c r="D99" s="2"/>
      <c r="E99" s="17" t="s">
        <v>106</v>
      </c>
      <c r="F99" s="56" t="s">
        <v>210</v>
      </c>
      <c r="G99" s="26">
        <v>5</v>
      </c>
      <c r="H99" s="24"/>
      <c r="I99" s="24"/>
      <c r="J99" s="24"/>
      <c r="K99" s="46"/>
      <c r="L99" s="46"/>
      <c r="M99" s="46"/>
      <c r="N99" s="47">
        <f t="shared" si="4"/>
        <v>0</v>
      </c>
      <c r="O99" s="48">
        <v>6</v>
      </c>
      <c r="P99" s="46">
        <v>6</v>
      </c>
      <c r="Q99" s="46">
        <v>6</v>
      </c>
      <c r="R99" s="46">
        <v>2189.71</v>
      </c>
      <c r="S99" s="46"/>
      <c r="T99" s="47">
        <f t="shared" si="5"/>
        <v>2189.71</v>
      </c>
    </row>
    <row r="100" spans="1:20" ht="15.75" x14ac:dyDescent="0.25">
      <c r="A100" s="3">
        <f t="shared" si="6"/>
        <v>91</v>
      </c>
      <c r="B100" s="13" t="s">
        <v>102</v>
      </c>
      <c r="C100" s="15" t="s">
        <v>124</v>
      </c>
      <c r="D100" s="2"/>
      <c r="E100" s="17" t="s">
        <v>106</v>
      </c>
      <c r="F100" s="56" t="s">
        <v>209</v>
      </c>
      <c r="G100" s="26">
        <v>9</v>
      </c>
      <c r="H100" s="24">
        <v>3</v>
      </c>
      <c r="I100" s="24">
        <v>4</v>
      </c>
      <c r="J100" s="24">
        <v>4</v>
      </c>
      <c r="K100" s="46">
        <v>4</v>
      </c>
      <c r="L100" s="46">
        <v>2669.35</v>
      </c>
      <c r="M100" s="46"/>
      <c r="N100" s="47">
        <f t="shared" si="4"/>
        <v>2669.35</v>
      </c>
      <c r="O100" s="48">
        <v>7</v>
      </c>
      <c r="P100" s="46">
        <v>7</v>
      </c>
      <c r="Q100" s="46">
        <v>7</v>
      </c>
      <c r="R100" s="46">
        <v>2273.39</v>
      </c>
      <c r="S100" s="46"/>
      <c r="T100" s="47">
        <f t="shared" si="5"/>
        <v>2273.39</v>
      </c>
    </row>
    <row r="101" spans="1:20" ht="15.75" x14ac:dyDescent="0.25">
      <c r="A101" s="3">
        <f t="shared" si="6"/>
        <v>92</v>
      </c>
      <c r="B101" s="11" t="s">
        <v>103</v>
      </c>
      <c r="C101" s="15" t="s">
        <v>124</v>
      </c>
      <c r="D101" s="2"/>
      <c r="E101" s="22" t="s">
        <v>112</v>
      </c>
      <c r="F101" s="56" t="s">
        <v>208</v>
      </c>
      <c r="G101" s="26">
        <v>18</v>
      </c>
      <c r="H101" s="24">
        <v>2</v>
      </c>
      <c r="I101" s="24">
        <v>2</v>
      </c>
      <c r="J101" s="24">
        <v>2</v>
      </c>
      <c r="K101" s="46">
        <v>1</v>
      </c>
      <c r="L101" s="46"/>
      <c r="M101" s="46"/>
      <c r="N101" s="47">
        <f t="shared" si="4"/>
        <v>0</v>
      </c>
      <c r="O101" s="48">
        <v>15</v>
      </c>
      <c r="P101" s="46">
        <v>13</v>
      </c>
      <c r="Q101" s="46">
        <v>11</v>
      </c>
      <c r="R101" s="46">
        <v>6585.82</v>
      </c>
      <c r="S101" s="46">
        <v>6585.82</v>
      </c>
      <c r="T101" s="47">
        <f t="shared" si="5"/>
        <v>0</v>
      </c>
    </row>
    <row r="102" spans="1:20" ht="16.5" thickBot="1" x14ac:dyDescent="0.3">
      <c r="A102" s="3">
        <f t="shared" si="6"/>
        <v>93</v>
      </c>
      <c r="B102" s="30" t="s">
        <v>104</v>
      </c>
      <c r="C102" s="31" t="s">
        <v>124</v>
      </c>
      <c r="D102" s="32"/>
      <c r="E102" s="33" t="s">
        <v>106</v>
      </c>
      <c r="F102" s="56" t="s">
        <v>207</v>
      </c>
      <c r="G102" s="35">
        <v>3</v>
      </c>
      <c r="H102" s="36">
        <v>1</v>
      </c>
      <c r="I102" s="36">
        <v>1</v>
      </c>
      <c r="J102" s="36">
        <v>1</v>
      </c>
      <c r="K102" s="50">
        <v>1</v>
      </c>
      <c r="L102" s="50"/>
      <c r="M102" s="50"/>
      <c r="N102" s="47">
        <f t="shared" si="4"/>
        <v>0</v>
      </c>
      <c r="O102" s="52">
        <v>3</v>
      </c>
      <c r="P102" s="50">
        <v>3</v>
      </c>
      <c r="Q102" s="50">
        <v>3</v>
      </c>
      <c r="R102" s="50"/>
      <c r="S102" s="50"/>
      <c r="T102" s="47">
        <f t="shared" si="5"/>
        <v>0</v>
      </c>
    </row>
    <row r="103" spans="1:20" x14ac:dyDescent="0.25">
      <c r="A103" s="294"/>
      <c r="B103" s="294"/>
      <c r="C103" s="294"/>
      <c r="D103" s="294"/>
      <c r="E103" s="294"/>
      <c r="F103" s="294"/>
      <c r="G103" s="27">
        <f t="shared" ref="G103:N103" si="7">SUM(G10:G102)</f>
        <v>519</v>
      </c>
      <c r="H103" s="27">
        <f t="shared" si="7"/>
        <v>174</v>
      </c>
      <c r="I103" s="27">
        <f t="shared" si="7"/>
        <v>206</v>
      </c>
      <c r="J103" s="27">
        <f t="shared" si="7"/>
        <v>138</v>
      </c>
      <c r="K103" s="53">
        <f t="shared" si="7"/>
        <v>130</v>
      </c>
      <c r="L103" s="53">
        <f t="shared" si="7"/>
        <v>21400.74</v>
      </c>
      <c r="M103" s="53">
        <f t="shared" si="7"/>
        <v>15771.480000000001</v>
      </c>
      <c r="N103" s="53">
        <f t="shared" si="7"/>
        <v>5629.26</v>
      </c>
      <c r="O103" s="53">
        <f>SUM(O10:O102)</f>
        <v>435</v>
      </c>
      <c r="P103" s="53">
        <f>SUM(P10:P102)</f>
        <v>410</v>
      </c>
      <c r="Q103" s="53">
        <f>SUM(Q11:Q102)</f>
        <v>376</v>
      </c>
      <c r="R103" s="53">
        <f>SUM(R10:R102)</f>
        <v>234807.86000000013</v>
      </c>
      <c r="S103" s="53">
        <f>SUM(S10:S102)</f>
        <v>178336.85000000003</v>
      </c>
      <c r="T103" s="54">
        <f>SUM(T10:T102)</f>
        <v>56471.01</v>
      </c>
    </row>
  </sheetData>
  <mergeCells count="8">
    <mergeCell ref="A103:F103"/>
    <mergeCell ref="A1:Q1"/>
    <mergeCell ref="R1:T1"/>
    <mergeCell ref="A2:T6"/>
    <mergeCell ref="A7:A8"/>
    <mergeCell ref="B7:F7"/>
    <mergeCell ref="G7:N7"/>
    <mergeCell ref="O7:T7"/>
  </mergeCells>
  <phoneticPr fontId="0" type="noConversion"/>
  <conditionalFormatting sqref="R46:S46">
    <cfRule type="cellIs" dxfId="441" priority="1" stopIfTrue="1" operator="equal">
      <formula>0</formula>
    </cfRule>
  </conditionalFormatting>
  <pageMargins left="0.7" right="0.7" top="0.75" bottom="0.75" header="0.3" footer="0.3"/>
  <pageSetup paperSize="9" scale="4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4"/>
  <sheetViews>
    <sheetView topLeftCell="B67" zoomScale="60" zoomScaleNormal="60" workbookViewId="0">
      <selection activeCell="D75" sqref="A75:IV75"/>
    </sheetView>
  </sheetViews>
  <sheetFormatPr defaultRowHeight="15" x14ac:dyDescent="0.25"/>
  <cols>
    <col min="1" max="1" width="9.140625" style="90" hidden="1" customWidth="1"/>
    <col min="2" max="2" width="9.140625" customWidth="1"/>
    <col min="3" max="3" width="39.42578125" customWidth="1"/>
    <col min="4" max="4" width="9.140625" customWidth="1"/>
    <col min="5" max="5" width="12.85546875" customWidth="1"/>
    <col min="6" max="6" width="26.140625" customWidth="1"/>
    <col min="7" max="7" width="20.5703125" customWidth="1"/>
    <col min="8" max="8" width="15.140625" customWidth="1"/>
    <col min="9" max="9" width="13.7109375" customWidth="1"/>
    <col min="10" max="10" width="12.5703125" customWidth="1"/>
    <col min="11" max="11" width="12.140625" customWidth="1"/>
    <col min="12" max="12" width="11.85546875" customWidth="1"/>
    <col min="13" max="13" width="14.28515625" style="55" customWidth="1"/>
    <col min="14" max="14" width="12.7109375" style="55" customWidth="1"/>
    <col min="15" max="15" width="13.85546875" style="55" customWidth="1"/>
    <col min="16" max="16" width="13.42578125" style="55" customWidth="1"/>
    <col min="17" max="17" width="11.85546875" style="55" customWidth="1"/>
    <col min="18" max="18" width="12.28515625" style="55" customWidth="1"/>
    <col min="19" max="19" width="13.140625" style="55" customWidth="1"/>
    <col min="20" max="20" width="13.42578125" customWidth="1"/>
    <col min="21" max="21" width="11.7109375" customWidth="1"/>
    <col min="23" max="23" width="10.42578125" style="88" hidden="1" customWidth="1"/>
    <col min="24" max="24" width="0" hidden="1" customWidth="1"/>
    <col min="25" max="25" width="15.5703125" hidden="1" customWidth="1"/>
  </cols>
  <sheetData>
    <row r="1" spans="1:23" ht="15.75" thickBot="1" x14ac:dyDescent="0.3">
      <c r="B1" s="310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2"/>
      <c r="S1" s="313" t="s">
        <v>17</v>
      </c>
      <c r="T1" s="313"/>
      <c r="U1" s="313"/>
    </row>
    <row r="2" spans="1:23" ht="17.100000000000001" customHeight="1" x14ac:dyDescent="0.25">
      <c r="B2" s="326" t="s">
        <v>244</v>
      </c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8"/>
    </row>
    <row r="3" spans="1:23" ht="17.100000000000001" customHeight="1" x14ac:dyDescent="0.25">
      <c r="B3" s="329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1"/>
    </row>
    <row r="4" spans="1:23" ht="17.100000000000001" customHeight="1" x14ac:dyDescent="0.25">
      <c r="B4" s="329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1"/>
    </row>
    <row r="5" spans="1:23" ht="17.100000000000001" customHeight="1" x14ac:dyDescent="0.25">
      <c r="B5" s="329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1"/>
    </row>
    <row r="6" spans="1:23" ht="17.100000000000001" customHeight="1" thickBot="1" x14ac:dyDescent="0.3">
      <c r="B6" s="332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4"/>
    </row>
    <row r="7" spans="1:23" ht="66.75" customHeight="1" thickBot="1" x14ac:dyDescent="0.3">
      <c r="B7" s="335" t="s">
        <v>0</v>
      </c>
      <c r="C7" s="337" t="s">
        <v>1</v>
      </c>
      <c r="D7" s="338"/>
      <c r="E7" s="338"/>
      <c r="F7" s="338"/>
      <c r="G7" s="339"/>
      <c r="H7" s="337" t="s">
        <v>2</v>
      </c>
      <c r="I7" s="338"/>
      <c r="J7" s="338"/>
      <c r="K7" s="338"/>
      <c r="L7" s="338"/>
      <c r="M7" s="338"/>
      <c r="N7" s="338"/>
      <c r="O7" s="339"/>
      <c r="P7" s="340" t="s">
        <v>243</v>
      </c>
      <c r="Q7" s="341"/>
      <c r="R7" s="341"/>
      <c r="S7" s="341"/>
      <c r="T7" s="341"/>
      <c r="U7" s="342"/>
    </row>
    <row r="8" spans="1:23" ht="17.100000000000001" customHeight="1" x14ac:dyDescent="0.25">
      <c r="B8" s="336"/>
      <c r="C8" s="60" t="s">
        <v>4</v>
      </c>
      <c r="D8" s="60" t="s">
        <v>5</v>
      </c>
      <c r="E8" s="60" t="s">
        <v>6</v>
      </c>
      <c r="F8" s="60" t="s">
        <v>7</v>
      </c>
      <c r="G8" s="61" t="s">
        <v>8</v>
      </c>
      <c r="H8" s="62" t="s">
        <v>9</v>
      </c>
      <c r="I8" s="60" t="s">
        <v>10</v>
      </c>
      <c r="J8" s="60" t="s">
        <v>11</v>
      </c>
      <c r="K8" s="60" t="s">
        <v>12</v>
      </c>
      <c r="L8" s="63" t="s">
        <v>13</v>
      </c>
      <c r="M8" s="63" t="s">
        <v>14</v>
      </c>
      <c r="N8" s="63" t="s">
        <v>15</v>
      </c>
      <c r="O8" s="61" t="s">
        <v>16</v>
      </c>
      <c r="P8" s="64" t="s">
        <v>11</v>
      </c>
      <c r="Q8" s="63" t="s">
        <v>12</v>
      </c>
      <c r="R8" s="63" t="s">
        <v>13</v>
      </c>
      <c r="S8" s="63" t="s">
        <v>14</v>
      </c>
      <c r="T8" s="63" t="s">
        <v>15</v>
      </c>
      <c r="U8" s="61" t="s">
        <v>16</v>
      </c>
    </row>
    <row r="9" spans="1:23" ht="17.100000000000001" customHeight="1" x14ac:dyDescent="0.25">
      <c r="B9" s="65">
        <v>1</v>
      </c>
      <c r="C9" s="66">
        <v>2</v>
      </c>
      <c r="D9" s="66">
        <v>3</v>
      </c>
      <c r="E9" s="66">
        <v>4</v>
      </c>
      <c r="F9" s="66">
        <v>5</v>
      </c>
      <c r="G9" s="67">
        <v>6</v>
      </c>
      <c r="H9" s="65">
        <f>G9+1</f>
        <v>7</v>
      </c>
      <c r="I9" s="66">
        <f t="shared" ref="I9:U9" si="0">H9+1</f>
        <v>8</v>
      </c>
      <c r="J9" s="66">
        <f t="shared" si="0"/>
        <v>9</v>
      </c>
      <c r="K9" s="66">
        <f t="shared" si="0"/>
        <v>10</v>
      </c>
      <c r="L9" s="68">
        <f t="shared" si="0"/>
        <v>11</v>
      </c>
      <c r="M9" s="68">
        <f t="shared" si="0"/>
        <v>12</v>
      </c>
      <c r="N9" s="68">
        <f t="shared" si="0"/>
        <v>13</v>
      </c>
      <c r="O9" s="67">
        <f t="shared" si="0"/>
        <v>14</v>
      </c>
      <c r="P9" s="69">
        <f t="shared" si="0"/>
        <v>15</v>
      </c>
      <c r="Q9" s="68">
        <f t="shared" si="0"/>
        <v>16</v>
      </c>
      <c r="R9" s="68">
        <f t="shared" si="0"/>
        <v>17</v>
      </c>
      <c r="S9" s="68">
        <f t="shared" si="0"/>
        <v>18</v>
      </c>
      <c r="T9" s="68">
        <f t="shared" si="0"/>
        <v>19</v>
      </c>
      <c r="U9" s="67">
        <f t="shared" si="0"/>
        <v>20</v>
      </c>
    </row>
    <row r="10" spans="1:23" ht="17.100000000000001" customHeight="1" x14ac:dyDescent="0.25">
      <c r="A10" s="90">
        <v>1</v>
      </c>
      <c r="B10" s="70">
        <v>1</v>
      </c>
      <c r="C10" s="10" t="s">
        <v>18</v>
      </c>
      <c r="D10" s="15" t="s">
        <v>124</v>
      </c>
      <c r="E10" s="71"/>
      <c r="F10" s="16" t="s">
        <v>105</v>
      </c>
      <c r="G10" s="72" t="s">
        <v>138</v>
      </c>
      <c r="H10" s="73">
        <v>10</v>
      </c>
      <c r="I10" s="74">
        <v>3</v>
      </c>
      <c r="J10" s="74">
        <v>3</v>
      </c>
      <c r="K10" s="74">
        <v>3</v>
      </c>
      <c r="L10" s="75">
        <v>3</v>
      </c>
      <c r="M10" s="75">
        <v>1033.5</v>
      </c>
      <c r="N10" s="75">
        <v>1033.5</v>
      </c>
      <c r="O10" s="76">
        <f xml:space="preserve"> (M10-N10)</f>
        <v>0</v>
      </c>
      <c r="P10" s="77">
        <v>6</v>
      </c>
      <c r="Q10" s="75">
        <v>4</v>
      </c>
      <c r="R10" s="75">
        <v>4</v>
      </c>
      <c r="S10" s="75">
        <v>4246.75</v>
      </c>
      <c r="T10" s="75">
        <v>3352.81</v>
      </c>
      <c r="U10" s="76">
        <f xml:space="preserve"> (S10-T10)</f>
        <v>893.94</v>
      </c>
      <c r="W10" s="88">
        <f t="shared" ref="W10:W15" si="1">M10+S10</f>
        <v>5280.25</v>
      </c>
    </row>
    <row r="11" spans="1:23" ht="17.100000000000001" customHeight="1" x14ac:dyDescent="0.25">
      <c r="A11" s="90">
        <v>2</v>
      </c>
      <c r="B11" s="70">
        <f>B10+1</f>
        <v>2</v>
      </c>
      <c r="C11" s="10" t="s">
        <v>19</v>
      </c>
      <c r="D11" s="15" t="s">
        <v>124</v>
      </c>
      <c r="E11" s="71"/>
      <c r="F11" s="17" t="s">
        <v>106</v>
      </c>
      <c r="G11" s="72" t="s">
        <v>139</v>
      </c>
      <c r="H11" s="73">
        <v>2</v>
      </c>
      <c r="I11" s="74"/>
      <c r="J11" s="74"/>
      <c r="K11" s="74"/>
      <c r="L11" s="75"/>
      <c r="M11" s="75"/>
      <c r="N11" s="75"/>
      <c r="O11" s="76">
        <f t="shared" ref="O11:O75" si="2" xml:space="preserve"> (M11-N11)</f>
        <v>0</v>
      </c>
      <c r="P11" s="77">
        <v>1</v>
      </c>
      <c r="Q11" s="75">
        <v>1</v>
      </c>
      <c r="R11" s="75">
        <v>1</v>
      </c>
      <c r="S11" s="75">
        <v>234.26</v>
      </c>
      <c r="T11" s="75">
        <v>234.26</v>
      </c>
      <c r="U11" s="76">
        <f t="shared" ref="U11:U75" si="3" xml:space="preserve"> (S11-T11)</f>
        <v>0</v>
      </c>
      <c r="W11" s="88">
        <f t="shared" si="1"/>
        <v>234.26</v>
      </c>
    </row>
    <row r="12" spans="1:23" ht="17.100000000000001" customHeight="1" x14ac:dyDescent="0.25">
      <c r="A12" s="90" t="s">
        <v>241</v>
      </c>
      <c r="B12" s="70">
        <f t="shared" ref="B12:B76" si="4">B11+1</f>
        <v>3</v>
      </c>
      <c r="C12" s="11" t="s">
        <v>20</v>
      </c>
      <c r="D12" s="15" t="s">
        <v>124</v>
      </c>
      <c r="E12" s="71"/>
      <c r="F12" s="17" t="s">
        <v>107</v>
      </c>
      <c r="G12" s="72" t="s">
        <v>223</v>
      </c>
      <c r="H12" s="73"/>
      <c r="I12" s="74"/>
      <c r="J12" s="74"/>
      <c r="K12" s="74"/>
      <c r="L12" s="75"/>
      <c r="M12" s="75"/>
      <c r="N12" s="75"/>
      <c r="O12" s="76">
        <f t="shared" si="2"/>
        <v>0</v>
      </c>
      <c r="P12" s="77">
        <v>3</v>
      </c>
      <c r="Q12" s="75">
        <v>2</v>
      </c>
      <c r="R12" s="75">
        <v>2</v>
      </c>
      <c r="S12" s="75">
        <v>1548.67</v>
      </c>
      <c r="T12" s="75"/>
      <c r="U12" s="76">
        <f t="shared" si="3"/>
        <v>1548.67</v>
      </c>
      <c r="W12" s="88">
        <f t="shared" si="1"/>
        <v>1548.67</v>
      </c>
    </row>
    <row r="13" spans="1:23" ht="17.100000000000001" customHeight="1" x14ac:dyDescent="0.25">
      <c r="A13" s="90">
        <v>7</v>
      </c>
      <c r="B13" s="70">
        <f t="shared" si="4"/>
        <v>4</v>
      </c>
      <c r="C13" s="11" t="s">
        <v>21</v>
      </c>
      <c r="D13" s="15" t="s">
        <v>124</v>
      </c>
      <c r="E13" s="71"/>
      <c r="F13" s="17" t="s">
        <v>108</v>
      </c>
      <c r="G13" s="72" t="s">
        <v>140</v>
      </c>
      <c r="H13" s="73">
        <v>4</v>
      </c>
      <c r="I13" s="74">
        <v>1</v>
      </c>
      <c r="J13" s="74">
        <v>2</v>
      </c>
      <c r="K13" s="74">
        <v>2</v>
      </c>
      <c r="L13" s="75">
        <v>1</v>
      </c>
      <c r="M13" s="75">
        <v>272.83999999999997</v>
      </c>
      <c r="N13" s="75"/>
      <c r="O13" s="76">
        <f t="shared" si="2"/>
        <v>272.83999999999997</v>
      </c>
      <c r="P13" s="77">
        <v>4</v>
      </c>
      <c r="Q13" s="75">
        <v>4</v>
      </c>
      <c r="R13" s="75">
        <v>3</v>
      </c>
      <c r="S13" s="75">
        <v>7385.53</v>
      </c>
      <c r="T13" s="75"/>
      <c r="U13" s="76">
        <f t="shared" si="3"/>
        <v>7385.53</v>
      </c>
      <c r="W13" s="88">
        <f t="shared" si="1"/>
        <v>7658.37</v>
      </c>
    </row>
    <row r="14" spans="1:23" ht="17.100000000000001" customHeight="1" x14ac:dyDescent="0.25">
      <c r="A14" s="90">
        <v>8</v>
      </c>
      <c r="B14" s="70">
        <f t="shared" si="4"/>
        <v>5</v>
      </c>
      <c r="C14" s="10" t="s">
        <v>22</v>
      </c>
      <c r="D14" s="15" t="s">
        <v>124</v>
      </c>
      <c r="E14" s="71"/>
      <c r="F14" s="17" t="s">
        <v>106</v>
      </c>
      <c r="G14" s="72" t="s">
        <v>141</v>
      </c>
      <c r="H14" s="73">
        <v>8</v>
      </c>
      <c r="I14" s="74">
        <v>3</v>
      </c>
      <c r="J14" s="74">
        <v>4</v>
      </c>
      <c r="K14" s="74">
        <v>2</v>
      </c>
      <c r="L14" s="75">
        <v>2</v>
      </c>
      <c r="M14" s="75">
        <v>2277.13</v>
      </c>
      <c r="N14" s="75"/>
      <c r="O14" s="76">
        <f t="shared" si="2"/>
        <v>2277.13</v>
      </c>
      <c r="P14" s="77">
        <v>4</v>
      </c>
      <c r="Q14" s="75">
        <v>4</v>
      </c>
      <c r="R14" s="75">
        <v>3</v>
      </c>
      <c r="S14" s="75">
        <v>1800.7</v>
      </c>
      <c r="T14" s="75"/>
      <c r="U14" s="76">
        <f t="shared" si="3"/>
        <v>1800.7</v>
      </c>
      <c r="W14" s="88">
        <f t="shared" si="1"/>
        <v>4077.83</v>
      </c>
    </row>
    <row r="15" spans="1:23" ht="17.100000000000001" customHeight="1" x14ac:dyDescent="0.25">
      <c r="A15" s="90">
        <v>9</v>
      </c>
      <c r="B15" s="70">
        <f t="shared" si="4"/>
        <v>6</v>
      </c>
      <c r="C15" s="10" t="s">
        <v>23</v>
      </c>
      <c r="D15" s="15" t="s">
        <v>124</v>
      </c>
      <c r="E15" s="71"/>
      <c r="F15" s="17" t="s">
        <v>106</v>
      </c>
      <c r="G15" s="72" t="s">
        <v>142</v>
      </c>
      <c r="H15" s="73">
        <v>10</v>
      </c>
      <c r="I15" s="74">
        <v>5</v>
      </c>
      <c r="J15" s="74">
        <v>5</v>
      </c>
      <c r="K15" s="74">
        <v>5</v>
      </c>
      <c r="L15" s="75">
        <v>3</v>
      </c>
      <c r="M15" s="75">
        <v>3475.33</v>
      </c>
      <c r="N15" s="75"/>
      <c r="O15" s="76">
        <f t="shared" si="2"/>
        <v>3475.33</v>
      </c>
      <c r="P15" s="77">
        <v>10</v>
      </c>
      <c r="Q15" s="75">
        <v>9</v>
      </c>
      <c r="R15" s="75">
        <v>8</v>
      </c>
      <c r="S15" s="75">
        <v>9375.69</v>
      </c>
      <c r="T15" s="75">
        <v>4569.41</v>
      </c>
      <c r="U15" s="76">
        <f t="shared" si="3"/>
        <v>4806.2800000000007</v>
      </c>
      <c r="W15" s="88">
        <f t="shared" si="1"/>
        <v>12851.02</v>
      </c>
    </row>
    <row r="16" spans="1:23" ht="17.100000000000001" customHeight="1" x14ac:dyDescent="0.25">
      <c r="A16" s="90">
        <v>3</v>
      </c>
      <c r="B16" s="70">
        <f t="shared" si="4"/>
        <v>7</v>
      </c>
      <c r="C16" s="10" t="s">
        <v>133</v>
      </c>
      <c r="D16" s="15" t="s">
        <v>124</v>
      </c>
      <c r="E16" s="71"/>
      <c r="F16" s="17" t="s">
        <v>106</v>
      </c>
      <c r="G16" s="72" t="s">
        <v>143</v>
      </c>
      <c r="H16" s="73"/>
      <c r="I16" s="74"/>
      <c r="J16" s="74"/>
      <c r="K16" s="74"/>
      <c r="L16" s="75"/>
      <c r="M16" s="75"/>
      <c r="N16" s="75"/>
      <c r="O16" s="76">
        <f t="shared" si="2"/>
        <v>0</v>
      </c>
      <c r="P16" s="77"/>
      <c r="Q16" s="75"/>
      <c r="R16" s="75"/>
      <c r="S16" s="75"/>
      <c r="T16" s="75"/>
      <c r="U16" s="76">
        <f t="shared" si="3"/>
        <v>0</v>
      </c>
      <c r="W16" s="88">
        <f t="shared" ref="W16:W80" si="5">M16+S16</f>
        <v>0</v>
      </c>
    </row>
    <row r="17" spans="1:23" ht="17.100000000000001" customHeight="1" x14ac:dyDescent="0.25">
      <c r="A17" s="90">
        <v>5</v>
      </c>
      <c r="B17" s="70">
        <f t="shared" si="4"/>
        <v>8</v>
      </c>
      <c r="C17" s="10" t="s">
        <v>24</v>
      </c>
      <c r="D17" s="15" t="s">
        <v>124</v>
      </c>
      <c r="E17" s="71"/>
      <c r="F17" s="17" t="s">
        <v>109</v>
      </c>
      <c r="G17" s="72" t="s">
        <v>144</v>
      </c>
      <c r="H17" s="73">
        <v>5</v>
      </c>
      <c r="I17" s="74"/>
      <c r="J17" s="74"/>
      <c r="K17" s="74"/>
      <c r="L17" s="75"/>
      <c r="M17" s="75"/>
      <c r="N17" s="75"/>
      <c r="O17" s="76">
        <f t="shared" si="2"/>
        <v>0</v>
      </c>
      <c r="P17" s="77"/>
      <c r="Q17" s="75"/>
      <c r="R17" s="75"/>
      <c r="S17" s="75"/>
      <c r="T17" s="75"/>
      <c r="U17" s="76">
        <f t="shared" si="3"/>
        <v>0</v>
      </c>
      <c r="W17" s="88">
        <f t="shared" si="5"/>
        <v>0</v>
      </c>
    </row>
    <row r="18" spans="1:23" ht="17.100000000000001" customHeight="1" x14ac:dyDescent="0.25">
      <c r="A18" s="90">
        <v>10</v>
      </c>
      <c r="B18" s="70">
        <f t="shared" si="4"/>
        <v>9</v>
      </c>
      <c r="C18" s="10" t="s">
        <v>25</v>
      </c>
      <c r="D18" s="15" t="s">
        <v>124</v>
      </c>
      <c r="E18" s="71"/>
      <c r="F18" s="18" t="s">
        <v>110</v>
      </c>
      <c r="G18" s="72" t="s">
        <v>145</v>
      </c>
      <c r="H18" s="73">
        <v>1</v>
      </c>
      <c r="I18" s="74"/>
      <c r="J18" s="74"/>
      <c r="K18" s="74"/>
      <c r="L18" s="75"/>
      <c r="M18" s="75"/>
      <c r="N18" s="75"/>
      <c r="O18" s="76">
        <f t="shared" si="2"/>
        <v>0</v>
      </c>
      <c r="P18" s="77">
        <v>3</v>
      </c>
      <c r="Q18" s="75">
        <v>3</v>
      </c>
      <c r="R18" s="75">
        <v>3</v>
      </c>
      <c r="S18" s="75">
        <v>14748.55</v>
      </c>
      <c r="T18" s="75"/>
      <c r="U18" s="76">
        <f t="shared" si="3"/>
        <v>14748.55</v>
      </c>
      <c r="W18" s="88">
        <f t="shared" si="5"/>
        <v>14748.55</v>
      </c>
    </row>
    <row r="19" spans="1:23" ht="17.100000000000001" customHeight="1" x14ac:dyDescent="0.25">
      <c r="A19" s="90">
        <v>11</v>
      </c>
      <c r="B19" s="70">
        <f t="shared" si="4"/>
        <v>10</v>
      </c>
      <c r="C19" s="12" t="s">
        <v>26</v>
      </c>
      <c r="D19" s="15" t="s">
        <v>124</v>
      </c>
      <c r="E19" s="71"/>
      <c r="F19" s="19" t="s">
        <v>107</v>
      </c>
      <c r="G19" s="72" t="s">
        <v>146</v>
      </c>
      <c r="H19" s="73">
        <v>12</v>
      </c>
      <c r="I19" s="74">
        <v>4</v>
      </c>
      <c r="J19" s="74">
        <v>6</v>
      </c>
      <c r="K19" s="74">
        <v>6</v>
      </c>
      <c r="L19" s="75">
        <v>5</v>
      </c>
      <c r="M19" s="75">
        <v>1744.9</v>
      </c>
      <c r="N19" s="75">
        <v>749.29</v>
      </c>
      <c r="O19" s="76">
        <f t="shared" si="2"/>
        <v>995.61000000000013</v>
      </c>
      <c r="P19" s="77">
        <v>10</v>
      </c>
      <c r="Q19" s="75">
        <v>10</v>
      </c>
      <c r="R19" s="75">
        <v>7</v>
      </c>
      <c r="S19" s="75">
        <v>12589.36</v>
      </c>
      <c r="T19" s="75">
        <v>9246.57</v>
      </c>
      <c r="U19" s="76">
        <f t="shared" si="3"/>
        <v>3342.7900000000009</v>
      </c>
      <c r="W19" s="88">
        <f t="shared" si="5"/>
        <v>14334.26</v>
      </c>
    </row>
    <row r="20" spans="1:23" ht="17.100000000000001" customHeight="1" x14ac:dyDescent="0.25">
      <c r="A20" s="90">
        <v>12</v>
      </c>
      <c r="B20" s="70">
        <f t="shared" si="4"/>
        <v>11</v>
      </c>
      <c r="C20" s="11" t="s">
        <v>27</v>
      </c>
      <c r="D20" s="15" t="s">
        <v>124</v>
      </c>
      <c r="E20" s="71"/>
      <c r="F20" s="17" t="s">
        <v>111</v>
      </c>
      <c r="G20" s="72" t="s">
        <v>147</v>
      </c>
      <c r="H20" s="73">
        <v>7</v>
      </c>
      <c r="I20" s="74">
        <v>3</v>
      </c>
      <c r="J20" s="74">
        <v>3</v>
      </c>
      <c r="K20" s="74">
        <v>2</v>
      </c>
      <c r="L20" s="75"/>
      <c r="M20" s="75"/>
      <c r="N20" s="75"/>
      <c r="O20" s="76">
        <f t="shared" si="2"/>
        <v>0</v>
      </c>
      <c r="P20" s="77">
        <v>17</v>
      </c>
      <c r="Q20" s="75">
        <v>16</v>
      </c>
      <c r="R20" s="75">
        <v>13</v>
      </c>
      <c r="S20" s="75">
        <v>14391.07</v>
      </c>
      <c r="T20" s="75">
        <v>7325.68</v>
      </c>
      <c r="U20" s="76">
        <f t="shared" si="3"/>
        <v>7065.3899999999994</v>
      </c>
      <c r="W20" s="88">
        <f t="shared" si="5"/>
        <v>14391.07</v>
      </c>
    </row>
    <row r="21" spans="1:23" ht="17.100000000000001" customHeight="1" x14ac:dyDescent="0.25">
      <c r="A21" s="90">
        <v>13</v>
      </c>
      <c r="B21" s="70">
        <f t="shared" si="4"/>
        <v>12</v>
      </c>
      <c r="C21" s="10" t="s">
        <v>28</v>
      </c>
      <c r="D21" s="15" t="s">
        <v>124</v>
      </c>
      <c r="E21" s="71"/>
      <c r="F21" s="17" t="s">
        <v>106</v>
      </c>
      <c r="G21" s="72" t="s">
        <v>148</v>
      </c>
      <c r="H21" s="73">
        <v>3</v>
      </c>
      <c r="I21" s="74">
        <v>1</v>
      </c>
      <c r="J21" s="74">
        <v>1</v>
      </c>
      <c r="K21" s="74">
        <v>1</v>
      </c>
      <c r="L21" s="75">
        <v>1</v>
      </c>
      <c r="M21" s="75"/>
      <c r="N21" s="75"/>
      <c r="O21" s="76">
        <f t="shared" si="2"/>
        <v>0</v>
      </c>
      <c r="P21" s="77">
        <v>4</v>
      </c>
      <c r="Q21" s="75">
        <v>4</v>
      </c>
      <c r="R21" s="75">
        <v>2</v>
      </c>
      <c r="S21" s="75">
        <v>5005.45</v>
      </c>
      <c r="T21" s="75">
        <v>1928.2</v>
      </c>
      <c r="U21" s="76">
        <f t="shared" si="3"/>
        <v>3077.25</v>
      </c>
      <c r="W21" s="88">
        <f t="shared" si="5"/>
        <v>5005.45</v>
      </c>
    </row>
    <row r="22" spans="1:23" ht="17.100000000000001" customHeight="1" x14ac:dyDescent="0.25">
      <c r="A22" s="90">
        <v>14</v>
      </c>
      <c r="B22" s="70">
        <f t="shared" si="4"/>
        <v>13</v>
      </c>
      <c r="C22" s="10" t="s">
        <v>29</v>
      </c>
      <c r="D22" s="15" t="s">
        <v>124</v>
      </c>
      <c r="E22" s="71"/>
      <c r="F22" s="20" t="s">
        <v>112</v>
      </c>
      <c r="G22" s="72" t="s">
        <v>149</v>
      </c>
      <c r="H22" s="73">
        <v>23</v>
      </c>
      <c r="I22" s="74">
        <v>8</v>
      </c>
      <c r="J22" s="74">
        <v>9</v>
      </c>
      <c r="K22" s="74">
        <v>1</v>
      </c>
      <c r="L22" s="75">
        <v>1</v>
      </c>
      <c r="M22" s="75">
        <v>910.39</v>
      </c>
      <c r="N22" s="75">
        <v>910.39</v>
      </c>
      <c r="O22" s="76">
        <f t="shared" si="2"/>
        <v>0</v>
      </c>
      <c r="P22" s="77">
        <v>15</v>
      </c>
      <c r="Q22" s="75">
        <v>13</v>
      </c>
      <c r="R22" s="75">
        <v>13</v>
      </c>
      <c r="S22" s="75">
        <v>16007.48</v>
      </c>
      <c r="T22" s="75">
        <v>14006.59</v>
      </c>
      <c r="U22" s="76">
        <f t="shared" si="3"/>
        <v>2000.8899999999994</v>
      </c>
      <c r="W22" s="88">
        <f t="shared" si="5"/>
        <v>16917.87</v>
      </c>
    </row>
    <row r="23" spans="1:23" ht="17.100000000000001" customHeight="1" x14ac:dyDescent="0.25">
      <c r="A23" s="90">
        <v>15</v>
      </c>
      <c r="B23" s="70">
        <f t="shared" si="4"/>
        <v>14</v>
      </c>
      <c r="C23" s="12" t="s">
        <v>30</v>
      </c>
      <c r="D23" s="15" t="s">
        <v>124</v>
      </c>
      <c r="E23" s="71"/>
      <c r="F23" s="19" t="s">
        <v>111</v>
      </c>
      <c r="G23" s="72" t="s">
        <v>150</v>
      </c>
      <c r="H23" s="73">
        <v>5</v>
      </c>
      <c r="I23" s="74">
        <v>3</v>
      </c>
      <c r="J23" s="74">
        <v>3</v>
      </c>
      <c r="K23" s="74">
        <v>2</v>
      </c>
      <c r="L23" s="75">
        <v>2</v>
      </c>
      <c r="M23" s="75">
        <v>1852.03</v>
      </c>
      <c r="N23" s="75">
        <v>1852.03</v>
      </c>
      <c r="O23" s="76">
        <f t="shared" si="2"/>
        <v>0</v>
      </c>
      <c r="P23" s="77">
        <v>10</v>
      </c>
      <c r="Q23" s="75">
        <v>10</v>
      </c>
      <c r="R23" s="75">
        <v>9</v>
      </c>
      <c r="S23" s="75">
        <v>23953.14</v>
      </c>
      <c r="T23" s="75">
        <v>13330.21</v>
      </c>
      <c r="U23" s="76">
        <f t="shared" si="3"/>
        <v>10622.93</v>
      </c>
      <c r="W23" s="88">
        <f t="shared" si="5"/>
        <v>25805.17</v>
      </c>
    </row>
    <row r="24" spans="1:23" ht="17.100000000000001" customHeight="1" x14ac:dyDescent="0.25">
      <c r="A24" s="90">
        <v>16</v>
      </c>
      <c r="B24" s="70">
        <f t="shared" si="4"/>
        <v>15</v>
      </c>
      <c r="C24" s="10" t="s">
        <v>31</v>
      </c>
      <c r="D24" s="15" t="s">
        <v>124</v>
      </c>
      <c r="E24" s="71"/>
      <c r="F24" s="21" t="s">
        <v>107</v>
      </c>
      <c r="G24" s="72" t="s">
        <v>151</v>
      </c>
      <c r="H24" s="73">
        <v>9</v>
      </c>
      <c r="I24" s="74">
        <v>6</v>
      </c>
      <c r="J24" s="74">
        <v>6</v>
      </c>
      <c r="K24" s="74"/>
      <c r="L24" s="75"/>
      <c r="M24" s="75"/>
      <c r="N24" s="75"/>
      <c r="O24" s="76">
        <f t="shared" si="2"/>
        <v>0</v>
      </c>
      <c r="P24" s="77">
        <v>6</v>
      </c>
      <c r="Q24" s="75">
        <v>5</v>
      </c>
      <c r="R24" s="75">
        <v>4</v>
      </c>
      <c r="S24" s="75">
        <v>5152.71</v>
      </c>
      <c r="T24" s="75">
        <v>274.60000000000002</v>
      </c>
      <c r="U24" s="76">
        <f t="shared" si="3"/>
        <v>4878.1099999999997</v>
      </c>
      <c r="W24" s="88">
        <f t="shared" si="5"/>
        <v>5152.71</v>
      </c>
    </row>
    <row r="25" spans="1:23" ht="17.100000000000001" customHeight="1" x14ac:dyDescent="0.25">
      <c r="A25" s="90">
        <v>17</v>
      </c>
      <c r="B25" s="70">
        <f t="shared" si="4"/>
        <v>16</v>
      </c>
      <c r="C25" s="13" t="s">
        <v>32</v>
      </c>
      <c r="D25" s="15" t="s">
        <v>124</v>
      </c>
      <c r="E25" s="71"/>
      <c r="F25" s="17" t="s">
        <v>106</v>
      </c>
      <c r="G25" s="72" t="s">
        <v>152</v>
      </c>
      <c r="H25" s="73">
        <v>7</v>
      </c>
      <c r="I25" s="74">
        <v>2</v>
      </c>
      <c r="J25" s="74">
        <v>2</v>
      </c>
      <c r="K25" s="74">
        <v>2</v>
      </c>
      <c r="L25" s="75">
        <v>2</v>
      </c>
      <c r="M25" s="75">
        <v>2255.39</v>
      </c>
      <c r="N25" s="75">
        <v>2255.39</v>
      </c>
      <c r="O25" s="76">
        <f t="shared" si="2"/>
        <v>0</v>
      </c>
      <c r="P25" s="77">
        <v>15</v>
      </c>
      <c r="Q25" s="75">
        <v>15</v>
      </c>
      <c r="R25" s="75">
        <v>15</v>
      </c>
      <c r="S25" s="75">
        <v>17792.25</v>
      </c>
      <c r="T25" s="75">
        <v>14484.31</v>
      </c>
      <c r="U25" s="76">
        <f t="shared" si="3"/>
        <v>3307.9400000000005</v>
      </c>
      <c r="W25" s="88">
        <f t="shared" si="5"/>
        <v>20047.64</v>
      </c>
    </row>
    <row r="26" spans="1:23" ht="17.100000000000001" customHeight="1" x14ac:dyDescent="0.25">
      <c r="A26" s="90">
        <v>18</v>
      </c>
      <c r="B26" s="70">
        <f t="shared" si="4"/>
        <v>17</v>
      </c>
      <c r="C26" s="10" t="s">
        <v>33</v>
      </c>
      <c r="D26" s="15" t="s">
        <v>124</v>
      </c>
      <c r="E26" s="71"/>
      <c r="F26" s="17" t="s">
        <v>106</v>
      </c>
      <c r="G26" s="72" t="s">
        <v>153</v>
      </c>
      <c r="H26" s="73">
        <v>7</v>
      </c>
      <c r="I26" s="74"/>
      <c r="J26" s="74"/>
      <c r="K26" s="74"/>
      <c r="L26" s="75"/>
      <c r="M26" s="75"/>
      <c r="N26" s="75"/>
      <c r="O26" s="76">
        <f t="shared" si="2"/>
        <v>0</v>
      </c>
      <c r="P26" s="77"/>
      <c r="Q26" s="75"/>
      <c r="R26" s="75"/>
      <c r="S26" s="75"/>
      <c r="T26" s="75"/>
      <c r="U26" s="76">
        <f t="shared" si="3"/>
        <v>0</v>
      </c>
      <c r="W26" s="88">
        <f t="shared" si="5"/>
        <v>0</v>
      </c>
    </row>
    <row r="27" spans="1:23" ht="17.100000000000001" customHeight="1" x14ac:dyDescent="0.25">
      <c r="A27" s="90">
        <v>19</v>
      </c>
      <c r="B27" s="70">
        <f t="shared" si="4"/>
        <v>18</v>
      </c>
      <c r="C27" s="10" t="s">
        <v>34</v>
      </c>
      <c r="D27" s="15" t="s">
        <v>124</v>
      </c>
      <c r="E27" s="71"/>
      <c r="F27" s="17" t="s">
        <v>113</v>
      </c>
      <c r="G27" s="72" t="s">
        <v>154</v>
      </c>
      <c r="H27" s="73">
        <v>10</v>
      </c>
      <c r="I27" s="74">
        <v>5</v>
      </c>
      <c r="J27" s="74">
        <v>9</v>
      </c>
      <c r="K27" s="74">
        <v>9</v>
      </c>
      <c r="L27" s="75">
        <v>6</v>
      </c>
      <c r="M27" s="75">
        <v>2738.38</v>
      </c>
      <c r="N27" s="75"/>
      <c r="O27" s="76">
        <f t="shared" si="2"/>
        <v>2738.38</v>
      </c>
      <c r="P27" s="77">
        <v>12</v>
      </c>
      <c r="Q27" s="75">
        <v>12</v>
      </c>
      <c r="R27" s="75">
        <v>11</v>
      </c>
      <c r="S27" s="75">
        <v>11399.36</v>
      </c>
      <c r="T27" s="75">
        <v>3370.97</v>
      </c>
      <c r="U27" s="76">
        <f t="shared" si="3"/>
        <v>8028.3900000000012</v>
      </c>
      <c r="W27" s="88">
        <f t="shared" si="5"/>
        <v>14137.740000000002</v>
      </c>
    </row>
    <row r="28" spans="1:23" ht="17.100000000000001" customHeight="1" x14ac:dyDescent="0.25">
      <c r="B28" s="70">
        <f t="shared" si="4"/>
        <v>19</v>
      </c>
      <c r="C28" s="10" t="s">
        <v>35</v>
      </c>
      <c r="D28" s="15" t="s">
        <v>124</v>
      </c>
      <c r="E28" s="71"/>
      <c r="F28" s="17" t="s">
        <v>105</v>
      </c>
      <c r="G28" s="72" t="s">
        <v>228</v>
      </c>
      <c r="H28" s="73"/>
      <c r="I28" s="74"/>
      <c r="J28" s="74"/>
      <c r="K28" s="74"/>
      <c r="L28" s="75"/>
      <c r="M28" s="75"/>
      <c r="N28" s="75"/>
      <c r="O28" s="76">
        <f t="shared" si="2"/>
        <v>0</v>
      </c>
      <c r="P28" s="77"/>
      <c r="Q28" s="75"/>
      <c r="R28" s="75"/>
      <c r="S28" s="75"/>
      <c r="T28" s="75"/>
      <c r="U28" s="76">
        <f t="shared" si="3"/>
        <v>0</v>
      </c>
      <c r="W28" s="88">
        <f t="shared" si="5"/>
        <v>0</v>
      </c>
    </row>
    <row r="29" spans="1:23" ht="17.100000000000001" customHeight="1" x14ac:dyDescent="0.25">
      <c r="A29" s="90">
        <v>21</v>
      </c>
      <c r="B29" s="70">
        <f t="shared" si="4"/>
        <v>20</v>
      </c>
      <c r="C29" s="12" t="s">
        <v>36</v>
      </c>
      <c r="D29" s="15" t="s">
        <v>124</v>
      </c>
      <c r="E29" s="71"/>
      <c r="F29" s="19" t="s">
        <v>114</v>
      </c>
      <c r="G29" s="72" t="s">
        <v>155</v>
      </c>
      <c r="H29" s="73">
        <v>10</v>
      </c>
      <c r="I29" s="74">
        <v>6</v>
      </c>
      <c r="J29" s="74">
        <v>7</v>
      </c>
      <c r="K29" s="74">
        <v>7</v>
      </c>
      <c r="L29" s="75">
        <v>4</v>
      </c>
      <c r="M29" s="75">
        <v>2023.14</v>
      </c>
      <c r="N29" s="75">
        <v>358.28</v>
      </c>
      <c r="O29" s="76">
        <f t="shared" si="2"/>
        <v>1664.8600000000001</v>
      </c>
      <c r="P29" s="77">
        <v>11</v>
      </c>
      <c r="Q29" s="75">
        <v>9</v>
      </c>
      <c r="R29" s="75">
        <v>9</v>
      </c>
      <c r="S29" s="75">
        <v>15185.09</v>
      </c>
      <c r="T29" s="75">
        <v>15185.09</v>
      </c>
      <c r="U29" s="76">
        <f t="shared" si="3"/>
        <v>0</v>
      </c>
      <c r="W29" s="88">
        <f t="shared" si="5"/>
        <v>17208.23</v>
      </c>
    </row>
    <row r="30" spans="1:23" ht="17.100000000000001" customHeight="1" x14ac:dyDescent="0.25">
      <c r="A30" s="90">
        <v>22</v>
      </c>
      <c r="B30" s="70">
        <f t="shared" si="4"/>
        <v>21</v>
      </c>
      <c r="C30" s="11" t="s">
        <v>37</v>
      </c>
      <c r="D30" s="15" t="s">
        <v>124</v>
      </c>
      <c r="E30" s="71"/>
      <c r="F30" s="17" t="s">
        <v>108</v>
      </c>
      <c r="G30" s="72" t="s">
        <v>156</v>
      </c>
      <c r="H30" s="73">
        <v>8</v>
      </c>
      <c r="I30" s="74"/>
      <c r="J30" s="74"/>
      <c r="K30" s="74"/>
      <c r="L30" s="75"/>
      <c r="M30" s="75"/>
      <c r="N30" s="75"/>
      <c r="O30" s="76">
        <f t="shared" si="2"/>
        <v>0</v>
      </c>
      <c r="P30" s="77">
        <v>13</v>
      </c>
      <c r="Q30" s="75">
        <v>13</v>
      </c>
      <c r="R30" s="75">
        <v>6</v>
      </c>
      <c r="S30" s="75">
        <v>7176.8</v>
      </c>
      <c r="T30" s="75">
        <v>5755.74</v>
      </c>
      <c r="U30" s="76">
        <f t="shared" si="3"/>
        <v>1421.0600000000004</v>
      </c>
      <c r="W30" s="88">
        <f t="shared" si="5"/>
        <v>7176.8</v>
      </c>
    </row>
    <row r="31" spans="1:23" ht="17.100000000000001" customHeight="1" x14ac:dyDescent="0.25">
      <c r="B31" s="70"/>
      <c r="C31" s="11" t="s">
        <v>242</v>
      </c>
      <c r="D31" s="15" t="s">
        <v>124</v>
      </c>
      <c r="E31" s="71"/>
      <c r="F31" s="17" t="s">
        <v>117</v>
      </c>
      <c r="G31" s="72"/>
      <c r="H31" s="73">
        <v>1</v>
      </c>
      <c r="I31" s="74"/>
      <c r="J31" s="74"/>
      <c r="K31" s="74"/>
      <c r="L31" s="75"/>
      <c r="M31" s="75"/>
      <c r="N31" s="75"/>
      <c r="O31" s="76"/>
      <c r="P31" s="77"/>
      <c r="Q31" s="75"/>
      <c r="R31" s="75"/>
      <c r="S31" s="75"/>
      <c r="T31" s="75"/>
      <c r="U31" s="76"/>
    </row>
    <row r="32" spans="1:23" ht="17.100000000000001" customHeight="1" x14ac:dyDescent="0.25">
      <c r="A32" s="90">
        <v>23</v>
      </c>
      <c r="B32" s="70">
        <f>B30+1</f>
        <v>22</v>
      </c>
      <c r="C32" s="11" t="s">
        <v>38</v>
      </c>
      <c r="D32" s="15" t="s">
        <v>124</v>
      </c>
      <c r="E32" s="71"/>
      <c r="F32" s="17" t="s">
        <v>106</v>
      </c>
      <c r="G32" s="72" t="s">
        <v>157</v>
      </c>
      <c r="H32" s="73">
        <v>4</v>
      </c>
      <c r="I32" s="74"/>
      <c r="J32" s="74"/>
      <c r="K32" s="74"/>
      <c r="L32" s="75"/>
      <c r="M32" s="75"/>
      <c r="N32" s="75"/>
      <c r="O32" s="76">
        <f t="shared" si="2"/>
        <v>0</v>
      </c>
      <c r="P32" s="77">
        <v>1</v>
      </c>
      <c r="Q32" s="75">
        <v>1</v>
      </c>
      <c r="R32" s="75">
        <v>1</v>
      </c>
      <c r="S32" s="75">
        <v>442.37</v>
      </c>
      <c r="T32" s="75">
        <v>442.37</v>
      </c>
      <c r="U32" s="76">
        <f t="shared" si="3"/>
        <v>0</v>
      </c>
      <c r="W32" s="88">
        <f t="shared" si="5"/>
        <v>442.37</v>
      </c>
    </row>
    <row r="33" spans="1:23" ht="17.100000000000001" customHeight="1" x14ac:dyDescent="0.25">
      <c r="B33" s="70">
        <f t="shared" si="4"/>
        <v>23</v>
      </c>
      <c r="C33" s="10" t="s">
        <v>39</v>
      </c>
      <c r="D33" s="15" t="s">
        <v>124</v>
      </c>
      <c r="E33" s="71"/>
      <c r="F33" s="10" t="s">
        <v>105</v>
      </c>
      <c r="G33" s="72" t="s">
        <v>220</v>
      </c>
      <c r="H33" s="73"/>
      <c r="I33" s="74"/>
      <c r="J33" s="74"/>
      <c r="K33" s="74"/>
      <c r="L33" s="75"/>
      <c r="M33" s="75"/>
      <c r="N33" s="75"/>
      <c r="O33" s="76">
        <f t="shared" si="2"/>
        <v>0</v>
      </c>
      <c r="P33" s="77"/>
      <c r="Q33" s="75"/>
      <c r="R33" s="75"/>
      <c r="S33" s="75"/>
      <c r="T33" s="75"/>
      <c r="U33" s="76">
        <f t="shared" si="3"/>
        <v>0</v>
      </c>
      <c r="W33" s="88">
        <f t="shared" si="5"/>
        <v>0</v>
      </c>
    </row>
    <row r="34" spans="1:23" ht="17.100000000000001" customHeight="1" x14ac:dyDescent="0.25">
      <c r="A34" s="90">
        <v>86</v>
      </c>
      <c r="B34" s="70">
        <f t="shared" si="4"/>
        <v>24</v>
      </c>
      <c r="C34" s="10" t="s">
        <v>137</v>
      </c>
      <c r="D34" s="15" t="s">
        <v>124</v>
      </c>
      <c r="E34" s="71"/>
      <c r="F34" s="17" t="s">
        <v>106</v>
      </c>
      <c r="G34" s="72" t="s">
        <v>158</v>
      </c>
      <c r="H34" s="73">
        <v>6</v>
      </c>
      <c r="I34" s="74"/>
      <c r="J34" s="74"/>
      <c r="K34" s="74"/>
      <c r="L34" s="75"/>
      <c r="M34" s="75"/>
      <c r="N34" s="75"/>
      <c r="O34" s="76">
        <f t="shared" si="2"/>
        <v>0</v>
      </c>
      <c r="P34" s="77"/>
      <c r="Q34" s="75"/>
      <c r="R34" s="75"/>
      <c r="S34" s="75"/>
      <c r="T34" s="75"/>
      <c r="U34" s="76">
        <f t="shared" si="3"/>
        <v>0</v>
      </c>
      <c r="W34" s="88">
        <f t="shared" si="5"/>
        <v>0</v>
      </c>
    </row>
    <row r="35" spans="1:23" ht="17.100000000000001" customHeight="1" x14ac:dyDescent="0.25">
      <c r="A35" s="90">
        <v>24</v>
      </c>
      <c r="B35" s="70">
        <f t="shared" si="4"/>
        <v>25</v>
      </c>
      <c r="C35" s="12" t="s">
        <v>40</v>
      </c>
      <c r="D35" s="15" t="s">
        <v>124</v>
      </c>
      <c r="E35" s="71"/>
      <c r="F35" s="19" t="s">
        <v>115</v>
      </c>
      <c r="G35" s="72" t="s">
        <v>159</v>
      </c>
      <c r="H35" s="73">
        <v>6</v>
      </c>
      <c r="I35" s="74">
        <v>2</v>
      </c>
      <c r="J35" s="74">
        <v>3</v>
      </c>
      <c r="K35" s="74">
        <v>3</v>
      </c>
      <c r="L35" s="75">
        <v>3</v>
      </c>
      <c r="M35" s="75">
        <v>1580.26</v>
      </c>
      <c r="N35" s="75">
        <v>1580.26</v>
      </c>
      <c r="O35" s="76">
        <f t="shared" si="2"/>
        <v>0</v>
      </c>
      <c r="P35" s="77">
        <v>2</v>
      </c>
      <c r="Q35" s="75">
        <v>2</v>
      </c>
      <c r="R35" s="75">
        <v>2</v>
      </c>
      <c r="S35" s="75">
        <v>872.59</v>
      </c>
      <c r="T35" s="75">
        <v>872.59</v>
      </c>
      <c r="U35" s="76">
        <f t="shared" si="3"/>
        <v>0</v>
      </c>
      <c r="W35" s="88">
        <f t="shared" si="5"/>
        <v>2452.85</v>
      </c>
    </row>
    <row r="36" spans="1:23" ht="17.100000000000001" customHeight="1" x14ac:dyDescent="0.25">
      <c r="A36" s="90">
        <v>25</v>
      </c>
      <c r="B36" s="70">
        <f t="shared" si="4"/>
        <v>26</v>
      </c>
      <c r="C36" s="11" t="s">
        <v>41</v>
      </c>
      <c r="D36" s="15" t="s">
        <v>124</v>
      </c>
      <c r="E36" s="71"/>
      <c r="F36" s="17" t="s">
        <v>106</v>
      </c>
      <c r="G36" s="72" t="s">
        <v>160</v>
      </c>
      <c r="H36" s="73">
        <v>4</v>
      </c>
      <c r="I36" s="74">
        <v>2</v>
      </c>
      <c r="J36" s="74">
        <v>3</v>
      </c>
      <c r="K36" s="74">
        <v>3</v>
      </c>
      <c r="L36" s="75">
        <v>2</v>
      </c>
      <c r="M36" s="75">
        <v>738.32</v>
      </c>
      <c r="N36" s="75"/>
      <c r="O36" s="76">
        <f t="shared" si="2"/>
        <v>738.32</v>
      </c>
      <c r="P36" s="77">
        <v>7</v>
      </c>
      <c r="Q36" s="75">
        <v>7</v>
      </c>
      <c r="R36" s="75">
        <v>6</v>
      </c>
      <c r="S36" s="75">
        <v>7876.12</v>
      </c>
      <c r="T36" s="75"/>
      <c r="U36" s="76">
        <f t="shared" si="3"/>
        <v>7876.12</v>
      </c>
      <c r="W36" s="88">
        <f t="shared" si="5"/>
        <v>8614.44</v>
      </c>
    </row>
    <row r="37" spans="1:23" ht="17.100000000000001" customHeight="1" x14ac:dyDescent="0.25">
      <c r="A37" s="90">
        <v>87</v>
      </c>
      <c r="B37" s="70">
        <f t="shared" si="4"/>
        <v>27</v>
      </c>
      <c r="C37" s="13" t="s">
        <v>42</v>
      </c>
      <c r="D37" s="15" t="s">
        <v>124</v>
      </c>
      <c r="E37" s="71"/>
      <c r="F37" s="17" t="s">
        <v>106</v>
      </c>
      <c r="G37" s="72" t="s">
        <v>221</v>
      </c>
      <c r="H37" s="73">
        <v>1</v>
      </c>
      <c r="I37" s="74"/>
      <c r="J37" s="74"/>
      <c r="K37" s="74"/>
      <c r="L37" s="75"/>
      <c r="M37" s="75"/>
      <c r="N37" s="75"/>
      <c r="O37" s="76">
        <f t="shared" si="2"/>
        <v>0</v>
      </c>
      <c r="P37" s="77">
        <v>4</v>
      </c>
      <c r="Q37" s="75">
        <v>4</v>
      </c>
      <c r="R37" s="75">
        <v>3</v>
      </c>
      <c r="S37" s="75">
        <v>1436.08</v>
      </c>
      <c r="T37" s="75">
        <v>1436.08</v>
      </c>
      <c r="U37" s="76">
        <f t="shared" si="3"/>
        <v>0</v>
      </c>
      <c r="W37" s="88">
        <f t="shared" si="5"/>
        <v>1436.08</v>
      </c>
    </row>
    <row r="38" spans="1:23" ht="17.100000000000001" customHeight="1" x14ac:dyDescent="0.25">
      <c r="A38" s="90">
        <v>26</v>
      </c>
      <c r="B38" s="70">
        <f t="shared" si="4"/>
        <v>28</v>
      </c>
      <c r="C38" s="13" t="s">
        <v>43</v>
      </c>
      <c r="D38" s="15" t="s">
        <v>124</v>
      </c>
      <c r="E38" s="71"/>
      <c r="F38" s="17" t="s">
        <v>106</v>
      </c>
      <c r="G38" s="72" t="s">
        <v>161</v>
      </c>
      <c r="H38" s="73">
        <v>5</v>
      </c>
      <c r="I38" s="74">
        <v>2</v>
      </c>
      <c r="J38" s="74">
        <v>2</v>
      </c>
      <c r="K38" s="74">
        <v>2</v>
      </c>
      <c r="L38" s="75">
        <v>2</v>
      </c>
      <c r="M38" s="75">
        <v>568.42999999999995</v>
      </c>
      <c r="N38" s="75"/>
      <c r="O38" s="76">
        <f t="shared" si="2"/>
        <v>568.42999999999995</v>
      </c>
      <c r="P38" s="77">
        <v>1</v>
      </c>
      <c r="Q38" s="75">
        <v>1</v>
      </c>
      <c r="R38" s="75">
        <v>1</v>
      </c>
      <c r="S38" s="75">
        <v>552.96</v>
      </c>
      <c r="T38" s="75"/>
      <c r="U38" s="76">
        <f t="shared" si="3"/>
        <v>552.96</v>
      </c>
      <c r="W38" s="88">
        <f t="shared" si="5"/>
        <v>1121.3899999999999</v>
      </c>
    </row>
    <row r="39" spans="1:23" ht="17.100000000000001" customHeight="1" x14ac:dyDescent="0.25">
      <c r="A39" s="90">
        <v>27</v>
      </c>
      <c r="B39" s="70">
        <f t="shared" si="4"/>
        <v>29</v>
      </c>
      <c r="C39" s="11" t="s">
        <v>44</v>
      </c>
      <c r="D39" s="15" t="s">
        <v>124</v>
      </c>
      <c r="E39" s="71"/>
      <c r="F39" s="17" t="s">
        <v>105</v>
      </c>
      <c r="G39" s="72" t="s">
        <v>162</v>
      </c>
      <c r="H39" s="73">
        <v>17</v>
      </c>
      <c r="I39" s="74">
        <v>2</v>
      </c>
      <c r="J39" s="74">
        <v>4</v>
      </c>
      <c r="K39" s="74">
        <v>4</v>
      </c>
      <c r="L39" s="75">
        <v>4</v>
      </c>
      <c r="M39" s="75">
        <v>1783.68</v>
      </c>
      <c r="N39" s="75"/>
      <c r="O39" s="76">
        <f t="shared" si="2"/>
        <v>1783.68</v>
      </c>
      <c r="P39" s="77">
        <v>15</v>
      </c>
      <c r="Q39" s="75">
        <v>15</v>
      </c>
      <c r="R39" s="75">
        <v>13</v>
      </c>
      <c r="S39" s="75">
        <v>12982.61</v>
      </c>
      <c r="T39" s="75">
        <v>10217.4</v>
      </c>
      <c r="U39" s="76">
        <f t="shared" si="3"/>
        <v>2765.2100000000009</v>
      </c>
      <c r="W39" s="88">
        <f t="shared" si="5"/>
        <v>14766.29</v>
      </c>
    </row>
    <row r="40" spans="1:23" ht="17.100000000000001" customHeight="1" x14ac:dyDescent="0.25">
      <c r="A40" s="90">
        <v>28</v>
      </c>
      <c r="B40" s="70">
        <f t="shared" si="4"/>
        <v>30</v>
      </c>
      <c r="C40" s="11" t="s">
        <v>45</v>
      </c>
      <c r="D40" s="15" t="s">
        <v>124</v>
      </c>
      <c r="E40" s="71"/>
      <c r="F40" s="17" t="s">
        <v>111</v>
      </c>
      <c r="G40" s="72" t="s">
        <v>163</v>
      </c>
      <c r="H40" s="73">
        <v>7</v>
      </c>
      <c r="I40" s="74">
        <v>3</v>
      </c>
      <c r="J40" s="74">
        <v>4</v>
      </c>
      <c r="K40" s="74">
        <v>2</v>
      </c>
      <c r="L40" s="75">
        <v>2</v>
      </c>
      <c r="M40" s="75">
        <v>821.67</v>
      </c>
      <c r="N40" s="75"/>
      <c r="O40" s="76">
        <f t="shared" si="2"/>
        <v>821.67</v>
      </c>
      <c r="P40" s="77"/>
      <c r="Q40" s="75"/>
      <c r="R40" s="75"/>
      <c r="S40" s="75"/>
      <c r="T40" s="75"/>
      <c r="U40" s="76">
        <f t="shared" si="3"/>
        <v>0</v>
      </c>
      <c r="W40" s="88">
        <f t="shared" si="5"/>
        <v>821.67</v>
      </c>
    </row>
    <row r="41" spans="1:23" ht="17.100000000000001" customHeight="1" x14ac:dyDescent="0.25">
      <c r="A41" s="90">
        <v>29</v>
      </c>
      <c r="B41" s="70">
        <f>B40+1</f>
        <v>31</v>
      </c>
      <c r="C41" s="10" t="s">
        <v>46</v>
      </c>
      <c r="D41" s="15" t="s">
        <v>124</v>
      </c>
      <c r="E41" s="71"/>
      <c r="F41" s="17" t="s">
        <v>106</v>
      </c>
      <c r="G41" s="72" t="s">
        <v>164</v>
      </c>
      <c r="H41" s="73">
        <v>5</v>
      </c>
      <c r="I41" s="74">
        <v>1</v>
      </c>
      <c r="J41" s="74">
        <v>1</v>
      </c>
      <c r="K41" s="74">
        <v>1</v>
      </c>
      <c r="L41" s="75">
        <v>1</v>
      </c>
      <c r="M41" s="75">
        <v>2273.6999999999998</v>
      </c>
      <c r="N41" s="75"/>
      <c r="O41" s="76">
        <f t="shared" si="2"/>
        <v>2273.6999999999998</v>
      </c>
      <c r="P41" s="77">
        <v>2</v>
      </c>
      <c r="Q41" s="75">
        <v>2</v>
      </c>
      <c r="R41" s="75">
        <v>2</v>
      </c>
      <c r="S41" s="75">
        <v>3996.7</v>
      </c>
      <c r="T41" s="75">
        <v>3996.7</v>
      </c>
      <c r="U41" s="76">
        <f t="shared" si="3"/>
        <v>0</v>
      </c>
      <c r="W41" s="88">
        <f t="shared" si="5"/>
        <v>6270.4</v>
      </c>
    </row>
    <row r="42" spans="1:23" ht="17.100000000000001" customHeight="1" x14ac:dyDescent="0.25">
      <c r="A42" s="90">
        <v>30</v>
      </c>
      <c r="B42" s="70">
        <f t="shared" si="4"/>
        <v>32</v>
      </c>
      <c r="C42" s="10" t="s">
        <v>47</v>
      </c>
      <c r="D42" s="15" t="s">
        <v>124</v>
      </c>
      <c r="E42" s="71"/>
      <c r="F42" s="17" t="s">
        <v>116</v>
      </c>
      <c r="G42" s="72" t="s">
        <v>165</v>
      </c>
      <c r="H42" s="73">
        <v>7</v>
      </c>
      <c r="I42" s="74">
        <v>3</v>
      </c>
      <c r="J42" s="74">
        <v>3</v>
      </c>
      <c r="K42" s="74">
        <v>1</v>
      </c>
      <c r="L42" s="75">
        <v>1</v>
      </c>
      <c r="M42" s="75">
        <v>1322.88</v>
      </c>
      <c r="N42" s="75">
        <v>1322.88</v>
      </c>
      <c r="O42" s="76">
        <f t="shared" si="2"/>
        <v>0</v>
      </c>
      <c r="P42" s="77">
        <v>2</v>
      </c>
      <c r="Q42" s="75">
        <v>2</v>
      </c>
      <c r="R42" s="75">
        <v>2</v>
      </c>
      <c r="S42" s="75">
        <v>1016.08</v>
      </c>
      <c r="T42" s="75"/>
      <c r="U42" s="76">
        <f t="shared" si="3"/>
        <v>1016.08</v>
      </c>
      <c r="W42" s="88">
        <f t="shared" si="5"/>
        <v>2338.96</v>
      </c>
    </row>
    <row r="43" spans="1:23" ht="17.100000000000001" customHeight="1" x14ac:dyDescent="0.25">
      <c r="A43" s="90">
        <v>32</v>
      </c>
      <c r="B43" s="70">
        <f t="shared" si="4"/>
        <v>33</v>
      </c>
      <c r="C43" s="13" t="s">
        <v>48</v>
      </c>
      <c r="D43" s="15" t="s">
        <v>124</v>
      </c>
      <c r="E43" s="71"/>
      <c r="F43" s="17" t="s">
        <v>106</v>
      </c>
      <c r="G43" s="72" t="s">
        <v>166</v>
      </c>
      <c r="H43" s="73">
        <v>4</v>
      </c>
      <c r="I43" s="74"/>
      <c r="J43" s="74"/>
      <c r="K43" s="74"/>
      <c r="L43" s="75"/>
      <c r="M43" s="75"/>
      <c r="N43" s="75"/>
      <c r="O43" s="76">
        <f t="shared" si="2"/>
        <v>0</v>
      </c>
      <c r="P43" s="77">
        <v>3</v>
      </c>
      <c r="Q43" s="75">
        <v>2</v>
      </c>
      <c r="R43" s="75">
        <v>2</v>
      </c>
      <c r="S43" s="75">
        <v>3907.41</v>
      </c>
      <c r="T43" s="75">
        <v>1733.58</v>
      </c>
      <c r="U43" s="76">
        <f t="shared" si="3"/>
        <v>2173.83</v>
      </c>
      <c r="W43" s="88">
        <f t="shared" si="5"/>
        <v>3907.41</v>
      </c>
    </row>
    <row r="44" spans="1:23" ht="17.100000000000001" customHeight="1" x14ac:dyDescent="0.25">
      <c r="A44" s="90">
        <v>33</v>
      </c>
      <c r="B44" s="70">
        <f t="shared" si="4"/>
        <v>34</v>
      </c>
      <c r="C44" s="10" t="s">
        <v>49</v>
      </c>
      <c r="D44" s="15" t="s">
        <v>124</v>
      </c>
      <c r="E44" s="71"/>
      <c r="F44" s="17" t="s">
        <v>106</v>
      </c>
      <c r="G44" s="72" t="s">
        <v>167</v>
      </c>
      <c r="H44" s="73">
        <v>4</v>
      </c>
      <c r="I44" s="74"/>
      <c r="J44" s="74"/>
      <c r="K44" s="74"/>
      <c r="L44" s="75"/>
      <c r="M44" s="75"/>
      <c r="N44" s="75"/>
      <c r="O44" s="76">
        <f t="shared" si="2"/>
        <v>0</v>
      </c>
      <c r="P44" s="77">
        <v>4</v>
      </c>
      <c r="Q44" s="75">
        <v>4</v>
      </c>
      <c r="R44" s="75">
        <v>4</v>
      </c>
      <c r="S44" s="75">
        <v>6437</v>
      </c>
      <c r="T44" s="75"/>
      <c r="U44" s="76">
        <f t="shared" si="3"/>
        <v>6437</v>
      </c>
      <c r="W44" s="88">
        <f t="shared" si="5"/>
        <v>6437</v>
      </c>
    </row>
    <row r="45" spans="1:23" ht="17.100000000000001" customHeight="1" x14ac:dyDescent="0.25">
      <c r="A45" s="90">
        <v>34</v>
      </c>
      <c r="B45" s="70">
        <f t="shared" si="4"/>
        <v>35</v>
      </c>
      <c r="C45" s="13" t="s">
        <v>50</v>
      </c>
      <c r="D45" s="15" t="s">
        <v>124</v>
      </c>
      <c r="E45" s="71"/>
      <c r="F45" s="17" t="s">
        <v>106</v>
      </c>
      <c r="G45" s="72" t="s">
        <v>168</v>
      </c>
      <c r="H45" s="73">
        <v>5</v>
      </c>
      <c r="I45" s="74">
        <v>2</v>
      </c>
      <c r="J45" s="74">
        <v>2</v>
      </c>
      <c r="K45" s="74">
        <v>2</v>
      </c>
      <c r="L45" s="75">
        <v>2</v>
      </c>
      <c r="M45" s="75">
        <v>1345.04</v>
      </c>
      <c r="N45" s="75"/>
      <c r="O45" s="76">
        <f t="shared" si="2"/>
        <v>1345.04</v>
      </c>
      <c r="P45" s="77">
        <v>3</v>
      </c>
      <c r="Q45" s="75">
        <v>3</v>
      </c>
      <c r="R45" s="75">
        <v>3</v>
      </c>
      <c r="S45" s="75">
        <v>3997.92</v>
      </c>
      <c r="T45" s="75"/>
      <c r="U45" s="76">
        <f t="shared" si="3"/>
        <v>3997.92</v>
      </c>
      <c r="W45" s="88">
        <f t="shared" si="5"/>
        <v>5342.96</v>
      </c>
    </row>
    <row r="46" spans="1:23" ht="17.100000000000001" customHeight="1" x14ac:dyDescent="0.25">
      <c r="B46" s="70">
        <f t="shared" si="4"/>
        <v>36</v>
      </c>
      <c r="C46" s="11" t="s">
        <v>51</v>
      </c>
      <c r="D46" s="15" t="s">
        <v>124</v>
      </c>
      <c r="E46" s="71"/>
      <c r="F46" s="22" t="s">
        <v>112</v>
      </c>
      <c r="G46" s="72"/>
      <c r="H46" s="73"/>
      <c r="I46" s="74"/>
      <c r="J46" s="74"/>
      <c r="K46" s="74"/>
      <c r="L46" s="75"/>
      <c r="M46" s="75"/>
      <c r="N46" s="75"/>
      <c r="O46" s="76">
        <f t="shared" si="2"/>
        <v>0</v>
      </c>
      <c r="P46" s="77"/>
      <c r="Q46" s="75"/>
      <c r="R46" s="75"/>
      <c r="S46" s="75"/>
      <c r="T46" s="75"/>
      <c r="U46" s="76">
        <f t="shared" si="3"/>
        <v>0</v>
      </c>
      <c r="W46" s="88">
        <f t="shared" si="5"/>
        <v>0</v>
      </c>
    </row>
    <row r="47" spans="1:23" ht="17.100000000000001" customHeight="1" x14ac:dyDescent="0.25">
      <c r="A47" s="90">
        <v>37</v>
      </c>
      <c r="B47" s="70">
        <f t="shared" si="4"/>
        <v>37</v>
      </c>
      <c r="C47" s="11" t="s">
        <v>131</v>
      </c>
      <c r="D47" s="15" t="s">
        <v>124</v>
      </c>
      <c r="E47" s="71"/>
      <c r="F47" s="22" t="s">
        <v>106</v>
      </c>
      <c r="G47" s="72" t="s">
        <v>222</v>
      </c>
      <c r="H47" s="73">
        <v>1</v>
      </c>
      <c r="I47" s="74"/>
      <c r="J47" s="74"/>
      <c r="K47" s="74"/>
      <c r="L47" s="75"/>
      <c r="M47" s="75"/>
      <c r="N47" s="75"/>
      <c r="O47" s="76">
        <f t="shared" si="2"/>
        <v>0</v>
      </c>
      <c r="P47" s="77">
        <v>1</v>
      </c>
      <c r="Q47" s="75">
        <v>1</v>
      </c>
      <c r="R47" s="75">
        <v>1</v>
      </c>
      <c r="S47" s="78">
        <v>11787.49</v>
      </c>
      <c r="T47" s="78">
        <v>11787.49</v>
      </c>
      <c r="U47" s="76">
        <f t="shared" si="3"/>
        <v>0</v>
      </c>
      <c r="W47" s="88">
        <f t="shared" si="5"/>
        <v>11787.49</v>
      </c>
    </row>
    <row r="48" spans="1:23" ht="17.100000000000001" customHeight="1" x14ac:dyDescent="0.25">
      <c r="A48" s="90">
        <v>35</v>
      </c>
      <c r="B48" s="70">
        <f t="shared" si="4"/>
        <v>38</v>
      </c>
      <c r="C48" s="13" t="s">
        <v>52</v>
      </c>
      <c r="D48" s="15" t="s">
        <v>124</v>
      </c>
      <c r="E48" s="71"/>
      <c r="F48" s="17" t="s">
        <v>106</v>
      </c>
      <c r="G48" s="72" t="s">
        <v>169</v>
      </c>
      <c r="H48" s="73">
        <v>7</v>
      </c>
      <c r="I48" s="74">
        <v>2</v>
      </c>
      <c r="J48" s="74">
        <v>3</v>
      </c>
      <c r="K48" s="74">
        <v>3</v>
      </c>
      <c r="L48" s="75">
        <v>3</v>
      </c>
      <c r="M48" s="75">
        <v>2714.54</v>
      </c>
      <c r="N48" s="75">
        <v>2335.59</v>
      </c>
      <c r="O48" s="76">
        <f t="shared" si="2"/>
        <v>378.94999999999982</v>
      </c>
      <c r="P48" s="77">
        <v>1</v>
      </c>
      <c r="Q48" s="75">
        <v>1</v>
      </c>
      <c r="R48" s="75">
        <v>1</v>
      </c>
      <c r="S48" s="75">
        <v>689</v>
      </c>
      <c r="T48" s="75"/>
      <c r="U48" s="76">
        <f t="shared" si="3"/>
        <v>689</v>
      </c>
      <c r="W48" s="88">
        <f t="shared" si="5"/>
        <v>3403.54</v>
      </c>
    </row>
    <row r="49" spans="1:23" ht="17.100000000000001" customHeight="1" x14ac:dyDescent="0.25">
      <c r="A49" s="90">
        <v>36</v>
      </c>
      <c r="B49" s="70">
        <f t="shared" si="4"/>
        <v>39</v>
      </c>
      <c r="C49" s="10" t="s">
        <v>53</v>
      </c>
      <c r="D49" s="15" t="s">
        <v>124</v>
      </c>
      <c r="E49" s="71"/>
      <c r="F49" s="17" t="s">
        <v>105</v>
      </c>
      <c r="G49" s="72" t="s">
        <v>171</v>
      </c>
      <c r="H49" s="73">
        <v>6</v>
      </c>
      <c r="I49" s="74">
        <v>1</v>
      </c>
      <c r="J49" s="74">
        <v>1</v>
      </c>
      <c r="K49" s="74"/>
      <c r="L49" s="75"/>
      <c r="M49" s="75"/>
      <c r="N49" s="75"/>
      <c r="O49" s="76">
        <f t="shared" si="2"/>
        <v>0</v>
      </c>
      <c r="P49" s="77">
        <v>3</v>
      </c>
      <c r="Q49" s="75">
        <v>2</v>
      </c>
      <c r="R49" s="75">
        <v>2</v>
      </c>
      <c r="S49" s="75">
        <v>2800.4</v>
      </c>
      <c r="T49" s="75"/>
      <c r="U49" s="76">
        <f t="shared" si="3"/>
        <v>2800.4</v>
      </c>
      <c r="W49" s="88">
        <f t="shared" si="5"/>
        <v>2800.4</v>
      </c>
    </row>
    <row r="50" spans="1:23" ht="17.100000000000001" customHeight="1" x14ac:dyDescent="0.25">
      <c r="A50" s="90">
        <v>38</v>
      </c>
      <c r="B50" s="70">
        <f t="shared" si="4"/>
        <v>40</v>
      </c>
      <c r="C50" s="10" t="s">
        <v>54</v>
      </c>
      <c r="D50" s="15" t="s">
        <v>124</v>
      </c>
      <c r="E50" s="71"/>
      <c r="F50" s="17" t="s">
        <v>106</v>
      </c>
      <c r="G50" s="72" t="s">
        <v>172</v>
      </c>
      <c r="H50" s="73">
        <v>6</v>
      </c>
      <c r="I50" s="74"/>
      <c r="J50" s="74"/>
      <c r="K50" s="74"/>
      <c r="L50" s="75"/>
      <c r="M50" s="75"/>
      <c r="N50" s="75"/>
      <c r="O50" s="76">
        <f t="shared" si="2"/>
        <v>0</v>
      </c>
      <c r="P50" s="77">
        <v>4</v>
      </c>
      <c r="Q50" s="75">
        <v>3</v>
      </c>
      <c r="R50" s="75">
        <v>3</v>
      </c>
      <c r="S50" s="75">
        <v>4105.0600000000004</v>
      </c>
      <c r="T50" s="75"/>
      <c r="U50" s="76">
        <f t="shared" si="3"/>
        <v>4105.0600000000004</v>
      </c>
      <c r="W50" s="88">
        <f t="shared" si="5"/>
        <v>4105.0600000000004</v>
      </c>
    </row>
    <row r="51" spans="1:23" ht="17.100000000000001" customHeight="1" x14ac:dyDescent="0.25">
      <c r="A51" s="90">
        <v>39</v>
      </c>
      <c r="B51" s="70">
        <f t="shared" si="4"/>
        <v>41</v>
      </c>
      <c r="C51" s="10" t="s">
        <v>55</v>
      </c>
      <c r="D51" s="15" t="s">
        <v>124</v>
      </c>
      <c r="E51" s="71"/>
      <c r="F51" s="17" t="s">
        <v>106</v>
      </c>
      <c r="G51" s="72" t="s">
        <v>173</v>
      </c>
      <c r="H51" s="73">
        <v>8</v>
      </c>
      <c r="I51" s="74">
        <v>3</v>
      </c>
      <c r="J51" s="74">
        <v>3</v>
      </c>
      <c r="K51" s="74">
        <v>3</v>
      </c>
      <c r="L51" s="75">
        <v>3</v>
      </c>
      <c r="M51" s="75">
        <v>2478.12</v>
      </c>
      <c r="N51" s="75"/>
      <c r="O51" s="76">
        <f t="shared" si="2"/>
        <v>2478.12</v>
      </c>
      <c r="P51" s="77">
        <v>6</v>
      </c>
      <c r="Q51" s="75">
        <v>4</v>
      </c>
      <c r="R51" s="75">
        <v>4</v>
      </c>
      <c r="S51" s="75">
        <v>2457.2800000000002</v>
      </c>
      <c r="T51" s="75"/>
      <c r="U51" s="76">
        <f t="shared" si="3"/>
        <v>2457.2800000000002</v>
      </c>
      <c r="W51" s="88">
        <f t="shared" si="5"/>
        <v>4935.3999999999996</v>
      </c>
    </row>
    <row r="52" spans="1:23" ht="17.100000000000001" customHeight="1" x14ac:dyDescent="0.25">
      <c r="A52" s="90">
        <v>40</v>
      </c>
      <c r="B52" s="70">
        <f t="shared" si="4"/>
        <v>42</v>
      </c>
      <c r="C52" s="10" t="s">
        <v>56</v>
      </c>
      <c r="D52" s="15" t="s">
        <v>124</v>
      </c>
      <c r="E52" s="71"/>
      <c r="F52" s="17" t="s">
        <v>106</v>
      </c>
      <c r="G52" s="72" t="s">
        <v>174</v>
      </c>
      <c r="H52" s="73">
        <v>6</v>
      </c>
      <c r="I52" s="74">
        <v>3</v>
      </c>
      <c r="J52" s="74">
        <v>3</v>
      </c>
      <c r="K52" s="74">
        <v>3</v>
      </c>
      <c r="L52" s="75">
        <v>3</v>
      </c>
      <c r="M52" s="75">
        <v>1308.27</v>
      </c>
      <c r="N52" s="75"/>
      <c r="O52" s="76">
        <f t="shared" si="2"/>
        <v>1308.27</v>
      </c>
      <c r="P52" s="77">
        <v>1</v>
      </c>
      <c r="Q52" s="75">
        <v>1</v>
      </c>
      <c r="R52" s="75">
        <v>1</v>
      </c>
      <c r="S52" s="75">
        <v>728.15</v>
      </c>
      <c r="T52" s="75"/>
      <c r="U52" s="76">
        <f t="shared" si="3"/>
        <v>728.15</v>
      </c>
      <c r="W52" s="88">
        <f t="shared" si="5"/>
        <v>2036.42</v>
      </c>
    </row>
    <row r="53" spans="1:23" ht="17.100000000000001" customHeight="1" x14ac:dyDescent="0.25">
      <c r="A53" s="90">
        <v>41</v>
      </c>
      <c r="B53" s="70">
        <f t="shared" si="4"/>
        <v>43</v>
      </c>
      <c r="C53" s="13" t="s">
        <v>57</v>
      </c>
      <c r="D53" s="15" t="s">
        <v>124</v>
      </c>
      <c r="E53" s="71"/>
      <c r="F53" s="17" t="s">
        <v>106</v>
      </c>
      <c r="G53" s="72" t="s">
        <v>175</v>
      </c>
      <c r="H53" s="73">
        <v>5</v>
      </c>
      <c r="I53" s="74">
        <v>2</v>
      </c>
      <c r="J53" s="74">
        <v>2</v>
      </c>
      <c r="K53" s="74">
        <v>2</v>
      </c>
      <c r="L53" s="75">
        <v>2</v>
      </c>
      <c r="M53" s="75">
        <v>613.9</v>
      </c>
      <c r="N53" s="75"/>
      <c r="O53" s="76">
        <f t="shared" si="2"/>
        <v>613.9</v>
      </c>
      <c r="P53" s="77">
        <v>3</v>
      </c>
      <c r="Q53" s="75">
        <v>3</v>
      </c>
      <c r="R53" s="75">
        <v>3</v>
      </c>
      <c r="S53" s="75">
        <v>1535.39</v>
      </c>
      <c r="T53" s="75"/>
      <c r="U53" s="76">
        <f t="shared" si="3"/>
        <v>1535.39</v>
      </c>
      <c r="W53" s="88">
        <f t="shared" si="5"/>
        <v>2149.29</v>
      </c>
    </row>
    <row r="54" spans="1:23" ht="17.100000000000001" customHeight="1" x14ac:dyDescent="0.25">
      <c r="A54" s="90">
        <v>42</v>
      </c>
      <c r="B54" s="70">
        <f t="shared" si="4"/>
        <v>44</v>
      </c>
      <c r="C54" s="13" t="s">
        <v>58</v>
      </c>
      <c r="D54" s="15" t="s">
        <v>124</v>
      </c>
      <c r="E54" s="71"/>
      <c r="F54" s="17" t="s">
        <v>106</v>
      </c>
      <c r="G54" s="72" t="s">
        <v>229</v>
      </c>
      <c r="H54" s="73">
        <v>1</v>
      </c>
      <c r="I54" s="74"/>
      <c r="J54" s="74"/>
      <c r="K54" s="74"/>
      <c r="L54" s="75"/>
      <c r="M54" s="75"/>
      <c r="N54" s="75"/>
      <c r="O54" s="76">
        <f t="shared" si="2"/>
        <v>0</v>
      </c>
      <c r="P54" s="77">
        <v>2</v>
      </c>
      <c r="Q54" s="75">
        <v>2</v>
      </c>
      <c r="R54" s="75">
        <v>2</v>
      </c>
      <c r="S54" s="75">
        <v>688</v>
      </c>
      <c r="T54" s="75"/>
      <c r="U54" s="76">
        <f t="shared" si="3"/>
        <v>688</v>
      </c>
      <c r="W54" s="88">
        <f t="shared" si="5"/>
        <v>688</v>
      </c>
    </row>
    <row r="55" spans="1:23" ht="17.100000000000001" customHeight="1" x14ac:dyDescent="0.25">
      <c r="A55" s="90">
        <v>43</v>
      </c>
      <c r="B55" s="70">
        <f t="shared" si="4"/>
        <v>45</v>
      </c>
      <c r="C55" s="13" t="s">
        <v>59</v>
      </c>
      <c r="D55" s="15" t="s">
        <v>124</v>
      </c>
      <c r="E55" s="71"/>
      <c r="F55" s="17" t="s">
        <v>112</v>
      </c>
      <c r="G55" s="72" t="s">
        <v>176</v>
      </c>
      <c r="H55" s="73">
        <v>18</v>
      </c>
      <c r="I55" s="74">
        <v>14</v>
      </c>
      <c r="J55" s="74">
        <v>15</v>
      </c>
      <c r="K55" s="74">
        <v>2</v>
      </c>
      <c r="L55" s="75">
        <v>2</v>
      </c>
      <c r="M55" s="75">
        <v>575.32000000000005</v>
      </c>
      <c r="N55" s="75"/>
      <c r="O55" s="76">
        <f t="shared" si="2"/>
        <v>575.32000000000005</v>
      </c>
      <c r="P55" s="77">
        <v>16</v>
      </c>
      <c r="Q55" s="75">
        <v>15</v>
      </c>
      <c r="R55" s="75">
        <v>15</v>
      </c>
      <c r="S55" s="75">
        <v>9629.7199999999993</v>
      </c>
      <c r="T55" s="75">
        <v>2632.7</v>
      </c>
      <c r="U55" s="76">
        <f t="shared" si="3"/>
        <v>6997.0199999999995</v>
      </c>
      <c r="W55" s="88">
        <f t="shared" si="5"/>
        <v>10205.039999999999</v>
      </c>
    </row>
    <row r="56" spans="1:23" ht="17.100000000000001" customHeight="1" x14ac:dyDescent="0.25">
      <c r="A56" s="90">
        <v>44</v>
      </c>
      <c r="B56" s="70">
        <f t="shared" si="4"/>
        <v>46</v>
      </c>
      <c r="C56" s="13" t="s">
        <v>60</v>
      </c>
      <c r="D56" s="15" t="s">
        <v>125</v>
      </c>
      <c r="E56" s="79" t="s">
        <v>126</v>
      </c>
      <c r="F56" s="17" t="s">
        <v>106</v>
      </c>
      <c r="G56" s="72" t="s">
        <v>177</v>
      </c>
      <c r="H56" s="73">
        <v>2</v>
      </c>
      <c r="I56" s="74"/>
      <c r="J56" s="74"/>
      <c r="K56" s="74"/>
      <c r="L56" s="75"/>
      <c r="M56" s="75">
        <v>1887.9</v>
      </c>
      <c r="N56" s="75"/>
      <c r="O56" s="76">
        <f t="shared" si="2"/>
        <v>1887.9</v>
      </c>
      <c r="P56" s="77">
        <v>3</v>
      </c>
      <c r="Q56" s="75">
        <v>3</v>
      </c>
      <c r="R56" s="75">
        <v>2</v>
      </c>
      <c r="S56" s="75">
        <v>757.9</v>
      </c>
      <c r="T56" s="75"/>
      <c r="U56" s="76">
        <f t="shared" si="3"/>
        <v>757.9</v>
      </c>
      <c r="W56" s="88">
        <f t="shared" si="5"/>
        <v>2645.8</v>
      </c>
    </row>
    <row r="57" spans="1:23" ht="17.100000000000001" customHeight="1" x14ac:dyDescent="0.25">
      <c r="A57" s="90">
        <v>45</v>
      </c>
      <c r="B57" s="70">
        <f t="shared" si="4"/>
        <v>47</v>
      </c>
      <c r="C57" s="11" t="s">
        <v>61</v>
      </c>
      <c r="D57" s="15" t="s">
        <v>124</v>
      </c>
      <c r="E57" s="71"/>
      <c r="F57" s="17" t="s">
        <v>107</v>
      </c>
      <c r="G57" s="72" t="s">
        <v>178</v>
      </c>
      <c r="H57" s="73">
        <v>13</v>
      </c>
      <c r="I57" s="74">
        <v>8</v>
      </c>
      <c r="J57" s="74">
        <v>9</v>
      </c>
      <c r="K57" s="74">
        <v>6</v>
      </c>
      <c r="L57" s="75">
        <v>4</v>
      </c>
      <c r="M57" s="75">
        <v>2880.54</v>
      </c>
      <c r="N57" s="75">
        <v>272.83999999999997</v>
      </c>
      <c r="O57" s="76">
        <f t="shared" si="2"/>
        <v>2607.6999999999998</v>
      </c>
      <c r="P57" s="77">
        <v>18</v>
      </c>
      <c r="Q57" s="75">
        <v>18</v>
      </c>
      <c r="R57" s="75">
        <v>18</v>
      </c>
      <c r="S57" s="75">
        <v>35028.07</v>
      </c>
      <c r="T57" s="75">
        <v>14478.7</v>
      </c>
      <c r="U57" s="76">
        <f t="shared" si="3"/>
        <v>20549.37</v>
      </c>
      <c r="W57" s="88">
        <f t="shared" si="5"/>
        <v>37908.61</v>
      </c>
    </row>
    <row r="58" spans="1:23" ht="17.100000000000001" customHeight="1" x14ac:dyDescent="0.25">
      <c r="A58" s="90">
        <v>46</v>
      </c>
      <c r="B58" s="70">
        <f t="shared" si="4"/>
        <v>48</v>
      </c>
      <c r="C58" s="11" t="s">
        <v>134</v>
      </c>
      <c r="D58" s="15" t="s">
        <v>124</v>
      </c>
      <c r="E58" s="71"/>
      <c r="F58" s="17" t="s">
        <v>112</v>
      </c>
      <c r="G58" s="72" t="s">
        <v>179</v>
      </c>
      <c r="H58" s="73">
        <v>5</v>
      </c>
      <c r="I58" s="74"/>
      <c r="J58" s="74"/>
      <c r="K58" s="74"/>
      <c r="L58" s="75"/>
      <c r="M58" s="75"/>
      <c r="N58" s="75"/>
      <c r="O58" s="76">
        <f t="shared" si="2"/>
        <v>0</v>
      </c>
      <c r="P58" s="77"/>
      <c r="Q58" s="75"/>
      <c r="R58" s="75"/>
      <c r="S58" s="75"/>
      <c r="T58" s="75"/>
      <c r="U58" s="76">
        <f t="shared" si="3"/>
        <v>0</v>
      </c>
      <c r="W58" s="88">
        <f t="shared" si="5"/>
        <v>0</v>
      </c>
    </row>
    <row r="59" spans="1:23" ht="17.100000000000001" customHeight="1" x14ac:dyDescent="0.25">
      <c r="B59" s="70">
        <f t="shared" si="4"/>
        <v>49</v>
      </c>
      <c r="C59" s="11" t="s">
        <v>62</v>
      </c>
      <c r="D59" s="15" t="s">
        <v>124</v>
      </c>
      <c r="E59" s="71"/>
      <c r="F59" s="17" t="s">
        <v>106</v>
      </c>
      <c r="G59" s="72" t="s">
        <v>230</v>
      </c>
      <c r="H59" s="73"/>
      <c r="I59" s="74"/>
      <c r="J59" s="74"/>
      <c r="K59" s="74"/>
      <c r="L59" s="75"/>
      <c r="M59" s="75"/>
      <c r="N59" s="75"/>
      <c r="O59" s="76">
        <f t="shared" si="2"/>
        <v>0</v>
      </c>
      <c r="P59" s="77"/>
      <c r="Q59" s="75"/>
      <c r="R59" s="75"/>
      <c r="S59" s="75"/>
      <c r="T59" s="75"/>
      <c r="U59" s="76">
        <f t="shared" si="3"/>
        <v>0</v>
      </c>
      <c r="W59" s="88">
        <f t="shared" si="5"/>
        <v>0</v>
      </c>
    </row>
    <row r="60" spans="1:23" ht="17.100000000000001" customHeight="1" x14ac:dyDescent="0.25">
      <c r="B60" s="70">
        <f t="shared" si="4"/>
        <v>50</v>
      </c>
      <c r="C60" s="11" t="s">
        <v>63</v>
      </c>
      <c r="D60" s="15" t="s">
        <v>124</v>
      </c>
      <c r="E60" s="71"/>
      <c r="F60" s="22" t="s">
        <v>112</v>
      </c>
      <c r="G60" s="72" t="s">
        <v>224</v>
      </c>
      <c r="H60" s="73"/>
      <c r="I60" s="74"/>
      <c r="J60" s="74"/>
      <c r="K60" s="74"/>
      <c r="L60" s="75"/>
      <c r="M60" s="75"/>
      <c r="N60" s="75"/>
      <c r="O60" s="76">
        <f t="shared" si="2"/>
        <v>0</v>
      </c>
      <c r="P60" s="77"/>
      <c r="Q60" s="75"/>
      <c r="R60" s="75"/>
      <c r="S60" s="75"/>
      <c r="T60" s="75"/>
      <c r="U60" s="76">
        <f t="shared" si="3"/>
        <v>0</v>
      </c>
      <c r="W60" s="88">
        <f t="shared" si="5"/>
        <v>0</v>
      </c>
    </row>
    <row r="61" spans="1:23" ht="17.100000000000001" customHeight="1" x14ac:dyDescent="0.25">
      <c r="A61" s="90">
        <v>48</v>
      </c>
      <c r="B61" s="70">
        <f t="shared" si="4"/>
        <v>51</v>
      </c>
      <c r="C61" s="11" t="s">
        <v>64</v>
      </c>
      <c r="D61" s="15" t="s">
        <v>124</v>
      </c>
      <c r="E61" s="71"/>
      <c r="F61" s="22" t="s">
        <v>107</v>
      </c>
      <c r="G61" s="72" t="s">
        <v>180</v>
      </c>
      <c r="H61" s="73">
        <v>19</v>
      </c>
      <c r="I61" s="74">
        <v>8</v>
      </c>
      <c r="J61" s="74">
        <v>8</v>
      </c>
      <c r="K61" s="74">
        <v>3</v>
      </c>
      <c r="L61" s="75">
        <v>3</v>
      </c>
      <c r="M61" s="75">
        <v>4967.08</v>
      </c>
      <c r="N61" s="75"/>
      <c r="O61" s="76">
        <f t="shared" si="2"/>
        <v>4967.08</v>
      </c>
      <c r="P61" s="77">
        <v>5</v>
      </c>
      <c r="Q61" s="75">
        <v>5</v>
      </c>
      <c r="R61" s="75">
        <v>5</v>
      </c>
      <c r="S61" s="75">
        <v>6524.72</v>
      </c>
      <c r="T61" s="75"/>
      <c r="U61" s="76">
        <f t="shared" si="3"/>
        <v>6524.72</v>
      </c>
      <c r="W61" s="88">
        <f t="shared" si="5"/>
        <v>11491.8</v>
      </c>
    </row>
    <row r="62" spans="1:23" ht="17.100000000000001" customHeight="1" x14ac:dyDescent="0.25">
      <c r="A62" s="90">
        <v>47</v>
      </c>
      <c r="B62" s="70">
        <f t="shared" si="4"/>
        <v>52</v>
      </c>
      <c r="C62" s="11" t="s">
        <v>135</v>
      </c>
      <c r="D62" s="15" t="s">
        <v>124</v>
      </c>
      <c r="E62" s="71"/>
      <c r="F62" s="22" t="s">
        <v>111</v>
      </c>
      <c r="G62" s="72" t="s">
        <v>181</v>
      </c>
      <c r="H62" s="73">
        <v>5</v>
      </c>
      <c r="I62" s="74">
        <v>1</v>
      </c>
      <c r="J62" s="74">
        <v>1</v>
      </c>
      <c r="K62" s="74"/>
      <c r="L62" s="75"/>
      <c r="M62" s="75"/>
      <c r="N62" s="75"/>
      <c r="O62" s="76">
        <f t="shared" si="2"/>
        <v>0</v>
      </c>
      <c r="P62" s="77"/>
      <c r="Q62" s="75"/>
      <c r="R62" s="75"/>
      <c r="S62" s="75"/>
      <c r="T62" s="75"/>
      <c r="U62" s="76">
        <f t="shared" si="3"/>
        <v>0</v>
      </c>
      <c r="W62" s="88">
        <f t="shared" si="5"/>
        <v>0</v>
      </c>
    </row>
    <row r="63" spans="1:23" ht="17.100000000000001" customHeight="1" x14ac:dyDescent="0.25">
      <c r="A63" s="90">
        <v>49</v>
      </c>
      <c r="B63" s="70">
        <f t="shared" si="4"/>
        <v>53</v>
      </c>
      <c r="C63" s="13" t="s">
        <v>65</v>
      </c>
      <c r="D63" s="15" t="s">
        <v>124</v>
      </c>
      <c r="E63" s="71"/>
      <c r="F63" s="17" t="s">
        <v>106</v>
      </c>
      <c r="G63" s="72" t="s">
        <v>182</v>
      </c>
      <c r="H63" s="73">
        <v>5</v>
      </c>
      <c r="I63" s="74">
        <v>1</v>
      </c>
      <c r="J63" s="74">
        <v>1</v>
      </c>
      <c r="K63" s="74">
        <v>1</v>
      </c>
      <c r="L63" s="75">
        <v>1</v>
      </c>
      <c r="M63" s="75">
        <v>1263.45</v>
      </c>
      <c r="N63" s="75"/>
      <c r="O63" s="76">
        <f t="shared" si="2"/>
        <v>1263.45</v>
      </c>
      <c r="P63" s="77">
        <v>2</v>
      </c>
      <c r="Q63" s="75">
        <v>2</v>
      </c>
      <c r="R63" s="75">
        <v>2</v>
      </c>
      <c r="S63" s="75">
        <v>740.14</v>
      </c>
      <c r="T63" s="75"/>
      <c r="U63" s="76">
        <f t="shared" si="3"/>
        <v>740.14</v>
      </c>
      <c r="W63" s="88">
        <f t="shared" si="5"/>
        <v>2003.5900000000001</v>
      </c>
    </row>
    <row r="64" spans="1:23" ht="17.100000000000001" customHeight="1" x14ac:dyDescent="0.25">
      <c r="B64" s="70">
        <f t="shared" si="4"/>
        <v>54</v>
      </c>
      <c r="C64" s="13" t="s">
        <v>66</v>
      </c>
      <c r="D64" s="15" t="s">
        <v>124</v>
      </c>
      <c r="E64" s="71"/>
      <c r="F64" s="17" t="s">
        <v>112</v>
      </c>
      <c r="G64" s="72" t="s">
        <v>227</v>
      </c>
      <c r="H64" s="73"/>
      <c r="I64" s="74"/>
      <c r="J64" s="74"/>
      <c r="K64" s="74"/>
      <c r="L64" s="75"/>
      <c r="M64" s="75"/>
      <c r="N64" s="75"/>
      <c r="O64" s="76">
        <f t="shared" si="2"/>
        <v>0</v>
      </c>
      <c r="P64" s="77">
        <v>8</v>
      </c>
      <c r="Q64" s="75">
        <v>8</v>
      </c>
      <c r="R64" s="75">
        <v>8</v>
      </c>
      <c r="S64" s="75">
        <v>3232.69</v>
      </c>
      <c r="T64" s="75">
        <v>3232.69</v>
      </c>
      <c r="U64" s="76">
        <f t="shared" si="3"/>
        <v>0</v>
      </c>
      <c r="W64" s="88">
        <f t="shared" si="5"/>
        <v>3232.69</v>
      </c>
    </row>
    <row r="65" spans="1:23" ht="17.100000000000001" customHeight="1" x14ac:dyDescent="0.25">
      <c r="A65" s="90">
        <v>50</v>
      </c>
      <c r="B65" s="70">
        <f t="shared" si="4"/>
        <v>55</v>
      </c>
      <c r="C65" s="10" t="s">
        <v>67</v>
      </c>
      <c r="D65" s="15" t="s">
        <v>124</v>
      </c>
      <c r="E65" s="71"/>
      <c r="F65" s="17" t="s">
        <v>106</v>
      </c>
      <c r="G65" s="72" t="s">
        <v>183</v>
      </c>
      <c r="H65" s="73">
        <v>8</v>
      </c>
      <c r="I65" s="74">
        <v>3</v>
      </c>
      <c r="J65" s="74">
        <v>4</v>
      </c>
      <c r="K65" s="74">
        <v>4</v>
      </c>
      <c r="L65" s="75">
        <v>4</v>
      </c>
      <c r="M65" s="75">
        <v>2495.13</v>
      </c>
      <c r="N65" s="75"/>
      <c r="O65" s="76">
        <f t="shared" si="2"/>
        <v>2495.13</v>
      </c>
      <c r="P65" s="77">
        <v>6</v>
      </c>
      <c r="Q65" s="75">
        <v>6</v>
      </c>
      <c r="R65" s="75">
        <v>6</v>
      </c>
      <c r="S65" s="75">
        <v>3377.96</v>
      </c>
      <c r="T65" s="75"/>
      <c r="U65" s="76">
        <f t="shared" si="3"/>
        <v>3377.96</v>
      </c>
      <c r="W65" s="88">
        <f t="shared" si="5"/>
        <v>5873.09</v>
      </c>
    </row>
    <row r="66" spans="1:23" ht="17.100000000000001" customHeight="1" x14ac:dyDescent="0.25">
      <c r="A66" s="90">
        <v>51</v>
      </c>
      <c r="B66" s="70">
        <f t="shared" si="4"/>
        <v>56</v>
      </c>
      <c r="C66" s="10" t="s">
        <v>68</v>
      </c>
      <c r="D66" s="15" t="s">
        <v>124</v>
      </c>
      <c r="E66" s="71"/>
      <c r="F66" s="17" t="s">
        <v>111</v>
      </c>
      <c r="G66" s="72" t="s">
        <v>184</v>
      </c>
      <c r="H66" s="73">
        <v>13</v>
      </c>
      <c r="I66" s="74">
        <v>6</v>
      </c>
      <c r="J66" s="74">
        <v>6</v>
      </c>
      <c r="K66" s="74">
        <v>4</v>
      </c>
      <c r="L66" s="75">
        <v>1</v>
      </c>
      <c r="M66" s="75">
        <v>620.1</v>
      </c>
      <c r="N66" s="75"/>
      <c r="O66" s="76">
        <f t="shared" si="2"/>
        <v>620.1</v>
      </c>
      <c r="P66" s="77">
        <v>8</v>
      </c>
      <c r="Q66" s="75">
        <v>7</v>
      </c>
      <c r="R66" s="75">
        <v>6</v>
      </c>
      <c r="S66" s="75">
        <v>5363.21</v>
      </c>
      <c r="T66" s="75"/>
      <c r="U66" s="76">
        <f t="shared" si="3"/>
        <v>5363.21</v>
      </c>
      <c r="W66" s="88">
        <f t="shared" si="5"/>
        <v>5983.31</v>
      </c>
    </row>
    <row r="67" spans="1:23" ht="17.100000000000001" customHeight="1" x14ac:dyDescent="0.25">
      <c r="A67" s="90">
        <v>52</v>
      </c>
      <c r="B67" s="70">
        <f t="shared" si="4"/>
        <v>57</v>
      </c>
      <c r="C67" s="13" t="s">
        <v>69</v>
      </c>
      <c r="D67" s="15" t="s">
        <v>124</v>
      </c>
      <c r="E67" s="71"/>
      <c r="F67" s="17" t="s">
        <v>106</v>
      </c>
      <c r="G67" s="72" t="s">
        <v>185</v>
      </c>
      <c r="H67" s="73">
        <v>2</v>
      </c>
      <c r="I67" s="74">
        <v>1</v>
      </c>
      <c r="J67" s="74">
        <v>1</v>
      </c>
      <c r="K67" s="74">
        <v>1</v>
      </c>
      <c r="L67" s="75">
        <v>1</v>
      </c>
      <c r="M67" s="75">
        <v>463.83</v>
      </c>
      <c r="N67" s="75"/>
      <c r="O67" s="76">
        <f t="shared" si="2"/>
        <v>463.83</v>
      </c>
      <c r="P67" s="77">
        <v>4</v>
      </c>
      <c r="Q67" s="75">
        <v>4</v>
      </c>
      <c r="R67" s="75">
        <v>4</v>
      </c>
      <c r="S67" s="75">
        <v>3148.1</v>
      </c>
      <c r="T67" s="75"/>
      <c r="U67" s="76">
        <f t="shared" si="3"/>
        <v>3148.1</v>
      </c>
      <c r="W67" s="88">
        <f t="shared" si="5"/>
        <v>3611.93</v>
      </c>
    </row>
    <row r="68" spans="1:23" ht="17.100000000000001" customHeight="1" x14ac:dyDescent="0.25">
      <c r="A68" s="90">
        <v>53</v>
      </c>
      <c r="B68" s="70">
        <f t="shared" si="4"/>
        <v>58</v>
      </c>
      <c r="C68" s="11" t="s">
        <v>70</v>
      </c>
      <c r="D68" s="15" t="s">
        <v>124</v>
      </c>
      <c r="E68" s="71"/>
      <c r="F68" s="17" t="s">
        <v>107</v>
      </c>
      <c r="G68" s="72" t="s">
        <v>186</v>
      </c>
      <c r="H68" s="73">
        <v>14</v>
      </c>
      <c r="I68" s="74">
        <v>10</v>
      </c>
      <c r="J68" s="74">
        <v>12</v>
      </c>
      <c r="K68" s="74">
        <v>12</v>
      </c>
      <c r="L68" s="75">
        <v>9</v>
      </c>
      <c r="M68" s="75">
        <v>6122.06</v>
      </c>
      <c r="N68" s="75">
        <v>1327.02</v>
      </c>
      <c r="O68" s="76">
        <f t="shared" si="2"/>
        <v>4795.0400000000009</v>
      </c>
      <c r="P68" s="77">
        <v>6</v>
      </c>
      <c r="Q68" s="75">
        <v>6</v>
      </c>
      <c r="R68" s="75">
        <v>3</v>
      </c>
      <c r="S68" s="75">
        <v>1207.07</v>
      </c>
      <c r="T68" s="75">
        <v>1207.07</v>
      </c>
      <c r="U68" s="76">
        <f t="shared" si="3"/>
        <v>0</v>
      </c>
      <c r="W68" s="88">
        <f t="shared" si="5"/>
        <v>7329.13</v>
      </c>
    </row>
    <row r="69" spans="1:23" ht="17.100000000000001" customHeight="1" x14ac:dyDescent="0.25">
      <c r="A69" s="90">
        <v>54</v>
      </c>
      <c r="B69" s="70">
        <f t="shared" si="4"/>
        <v>59</v>
      </c>
      <c r="C69" s="11" t="s">
        <v>71</v>
      </c>
      <c r="D69" s="15" t="s">
        <v>124</v>
      </c>
      <c r="E69" s="71"/>
      <c r="F69" s="17" t="s">
        <v>117</v>
      </c>
      <c r="G69" s="72" t="s">
        <v>187</v>
      </c>
      <c r="H69" s="73">
        <v>15</v>
      </c>
      <c r="I69" s="74">
        <v>5</v>
      </c>
      <c r="J69" s="74">
        <v>8</v>
      </c>
      <c r="K69" s="74">
        <v>8</v>
      </c>
      <c r="L69" s="75">
        <v>8</v>
      </c>
      <c r="M69" s="75">
        <v>4665.7</v>
      </c>
      <c r="N69" s="75">
        <v>992.16</v>
      </c>
      <c r="O69" s="76">
        <f t="shared" si="2"/>
        <v>3673.54</v>
      </c>
      <c r="P69" s="77">
        <v>10</v>
      </c>
      <c r="Q69" s="75">
        <v>10</v>
      </c>
      <c r="R69" s="75">
        <v>10</v>
      </c>
      <c r="S69" s="75">
        <v>6249.15</v>
      </c>
      <c r="T69" s="75">
        <v>3017.19</v>
      </c>
      <c r="U69" s="76">
        <f t="shared" si="3"/>
        <v>3231.9599999999996</v>
      </c>
      <c r="W69" s="88">
        <f t="shared" si="5"/>
        <v>10914.849999999999</v>
      </c>
    </row>
    <row r="70" spans="1:23" ht="17.100000000000001" customHeight="1" x14ac:dyDescent="0.25">
      <c r="A70" s="90">
        <v>55</v>
      </c>
      <c r="B70" s="70">
        <f t="shared" si="4"/>
        <v>60</v>
      </c>
      <c r="C70" s="11" t="s">
        <v>72</v>
      </c>
      <c r="D70" s="15" t="s">
        <v>125</v>
      </c>
      <c r="E70" s="79" t="s">
        <v>126</v>
      </c>
      <c r="F70" s="17" t="s">
        <v>106</v>
      </c>
      <c r="G70" s="72" t="s">
        <v>188</v>
      </c>
      <c r="H70" s="73">
        <v>2</v>
      </c>
      <c r="I70" s="74"/>
      <c r="J70" s="74"/>
      <c r="K70" s="74"/>
      <c r="L70" s="75"/>
      <c r="M70" s="75"/>
      <c r="N70" s="75"/>
      <c r="O70" s="76">
        <f t="shared" si="2"/>
        <v>0</v>
      </c>
      <c r="P70" s="77"/>
      <c r="Q70" s="75"/>
      <c r="R70" s="75"/>
      <c r="S70" s="75"/>
      <c r="T70" s="75"/>
      <c r="U70" s="76">
        <f t="shared" si="3"/>
        <v>0</v>
      </c>
      <c r="W70" s="88">
        <f t="shared" si="5"/>
        <v>0</v>
      </c>
    </row>
    <row r="71" spans="1:23" ht="17.100000000000001" customHeight="1" x14ac:dyDescent="0.25">
      <c r="A71" s="90">
        <v>56</v>
      </c>
      <c r="B71" s="70">
        <f t="shared" si="4"/>
        <v>61</v>
      </c>
      <c r="C71" s="10" t="s">
        <v>73</v>
      </c>
      <c r="D71" s="15" t="s">
        <v>124</v>
      </c>
      <c r="E71" s="71"/>
      <c r="F71" s="17" t="s">
        <v>106</v>
      </c>
      <c r="G71" s="72" t="s">
        <v>189</v>
      </c>
      <c r="H71" s="73">
        <v>3</v>
      </c>
      <c r="I71" s="74"/>
      <c r="J71" s="74"/>
      <c r="K71" s="74"/>
      <c r="L71" s="75"/>
      <c r="M71" s="75"/>
      <c r="N71" s="75"/>
      <c r="O71" s="76">
        <f t="shared" si="2"/>
        <v>0</v>
      </c>
      <c r="P71" s="77"/>
      <c r="Q71" s="75"/>
      <c r="R71" s="75"/>
      <c r="S71" s="75"/>
      <c r="T71" s="75"/>
      <c r="U71" s="76">
        <f t="shared" si="3"/>
        <v>0</v>
      </c>
      <c r="W71" s="88">
        <f t="shared" si="5"/>
        <v>0</v>
      </c>
    </row>
    <row r="72" spans="1:23" ht="17.100000000000001" customHeight="1" x14ac:dyDescent="0.25">
      <c r="A72" s="90">
        <v>57</v>
      </c>
      <c r="B72" s="70">
        <f t="shared" si="4"/>
        <v>62</v>
      </c>
      <c r="C72" s="11" t="s">
        <v>74</v>
      </c>
      <c r="D72" s="15" t="s">
        <v>124</v>
      </c>
      <c r="E72" s="71"/>
      <c r="F72" s="17" t="s">
        <v>111</v>
      </c>
      <c r="G72" s="72" t="s">
        <v>190</v>
      </c>
      <c r="H72" s="73">
        <v>5</v>
      </c>
      <c r="I72" s="74">
        <v>2</v>
      </c>
      <c r="J72" s="74">
        <v>2</v>
      </c>
      <c r="K72" s="74">
        <v>2</v>
      </c>
      <c r="L72" s="75">
        <v>2</v>
      </c>
      <c r="M72" s="75">
        <v>2228.5</v>
      </c>
      <c r="N72" s="75"/>
      <c r="O72" s="76">
        <f t="shared" si="2"/>
        <v>2228.5</v>
      </c>
      <c r="P72" s="77">
        <v>17</v>
      </c>
      <c r="Q72" s="75">
        <v>14</v>
      </c>
      <c r="R72" s="75">
        <v>12</v>
      </c>
      <c r="S72" s="75">
        <v>27744.560000000001</v>
      </c>
      <c r="T72" s="75"/>
      <c r="U72" s="76">
        <f t="shared" si="3"/>
        <v>27744.560000000001</v>
      </c>
      <c r="W72" s="88">
        <f t="shared" si="5"/>
        <v>29973.06</v>
      </c>
    </row>
    <row r="73" spans="1:23" ht="17.100000000000001" customHeight="1" x14ac:dyDescent="0.25">
      <c r="A73" s="90">
        <v>58</v>
      </c>
      <c r="B73" s="70">
        <f t="shared" si="4"/>
        <v>63</v>
      </c>
      <c r="C73" s="11" t="s">
        <v>75</v>
      </c>
      <c r="D73" s="15" t="s">
        <v>124</v>
      </c>
      <c r="E73" s="71"/>
      <c r="F73" s="17" t="s">
        <v>118</v>
      </c>
      <c r="G73" s="72" t="s">
        <v>191</v>
      </c>
      <c r="H73" s="73">
        <v>4</v>
      </c>
      <c r="I73" s="74">
        <v>2</v>
      </c>
      <c r="J73" s="74">
        <v>2</v>
      </c>
      <c r="K73" s="74">
        <v>1</v>
      </c>
      <c r="L73" s="75"/>
      <c r="M73" s="75"/>
      <c r="N73" s="75"/>
      <c r="O73" s="76">
        <f t="shared" si="2"/>
        <v>0</v>
      </c>
      <c r="P73" s="77">
        <v>5</v>
      </c>
      <c r="Q73" s="75">
        <v>5</v>
      </c>
      <c r="R73" s="75">
        <v>4</v>
      </c>
      <c r="S73" s="75">
        <v>3959.69</v>
      </c>
      <c r="T73" s="75"/>
      <c r="U73" s="76">
        <f t="shared" si="3"/>
        <v>3959.69</v>
      </c>
      <c r="W73" s="88">
        <f t="shared" si="5"/>
        <v>3959.69</v>
      </c>
    </row>
    <row r="74" spans="1:23" ht="17.100000000000001" customHeight="1" x14ac:dyDescent="0.25">
      <c r="A74" s="90">
        <v>59</v>
      </c>
      <c r="B74" s="70">
        <f t="shared" si="4"/>
        <v>64</v>
      </c>
      <c r="C74" s="10" t="s">
        <v>76</v>
      </c>
      <c r="D74" s="15" t="s">
        <v>124</v>
      </c>
      <c r="E74" s="71"/>
      <c r="F74" s="10" t="s">
        <v>105</v>
      </c>
      <c r="G74" s="72" t="s">
        <v>192</v>
      </c>
      <c r="H74" s="73">
        <v>6</v>
      </c>
      <c r="I74" s="74">
        <v>1</v>
      </c>
      <c r="J74" s="74">
        <v>1</v>
      </c>
      <c r="K74" s="74"/>
      <c r="L74" s="75"/>
      <c r="M74" s="75"/>
      <c r="N74" s="75"/>
      <c r="O74" s="76">
        <f t="shared" si="2"/>
        <v>0</v>
      </c>
      <c r="P74" s="77">
        <v>3</v>
      </c>
      <c r="Q74" s="75">
        <v>3</v>
      </c>
      <c r="R74" s="75">
        <v>3</v>
      </c>
      <c r="S74" s="75">
        <v>1821.06</v>
      </c>
      <c r="T74" s="75"/>
      <c r="U74" s="76">
        <f t="shared" si="3"/>
        <v>1821.06</v>
      </c>
      <c r="W74" s="88">
        <f t="shared" si="5"/>
        <v>1821.06</v>
      </c>
    </row>
    <row r="75" spans="1:23" ht="17.100000000000001" customHeight="1" x14ac:dyDescent="0.25">
      <c r="B75" s="70">
        <f t="shared" si="4"/>
        <v>65</v>
      </c>
      <c r="C75" s="11" t="s">
        <v>77</v>
      </c>
      <c r="D75" s="15" t="s">
        <v>124</v>
      </c>
      <c r="E75" s="71"/>
      <c r="F75" s="10" t="s">
        <v>111</v>
      </c>
      <c r="G75" s="72" t="s">
        <v>225</v>
      </c>
      <c r="H75" s="73"/>
      <c r="I75" s="74"/>
      <c r="J75" s="74"/>
      <c r="K75" s="74"/>
      <c r="L75" s="75"/>
      <c r="M75" s="75"/>
      <c r="N75" s="75"/>
      <c r="O75" s="76">
        <f t="shared" si="2"/>
        <v>0</v>
      </c>
      <c r="P75" s="77">
        <v>1</v>
      </c>
      <c r="Q75" s="75">
        <v>1</v>
      </c>
      <c r="R75" s="75">
        <v>1</v>
      </c>
      <c r="S75" s="75">
        <v>3278.32</v>
      </c>
      <c r="T75" s="75">
        <v>3278.32</v>
      </c>
      <c r="U75" s="76">
        <f t="shared" si="3"/>
        <v>0</v>
      </c>
      <c r="W75" s="88">
        <f t="shared" si="5"/>
        <v>3278.32</v>
      </c>
    </row>
    <row r="76" spans="1:23" ht="17.100000000000001" customHeight="1" x14ac:dyDescent="0.25">
      <c r="A76" s="90">
        <v>60</v>
      </c>
      <c r="B76" s="70">
        <f t="shared" si="4"/>
        <v>66</v>
      </c>
      <c r="C76" s="10" t="s">
        <v>78</v>
      </c>
      <c r="D76" s="15" t="s">
        <v>124</v>
      </c>
      <c r="E76" s="71"/>
      <c r="F76" s="23" t="s">
        <v>119</v>
      </c>
      <c r="G76" s="72" t="s">
        <v>193</v>
      </c>
      <c r="H76" s="73">
        <v>2</v>
      </c>
      <c r="I76" s="74"/>
      <c r="J76" s="74"/>
      <c r="K76" s="74"/>
      <c r="L76" s="75"/>
      <c r="M76" s="75"/>
      <c r="N76" s="75"/>
      <c r="O76" s="76">
        <f t="shared" ref="O76:O103" si="6" xml:space="preserve"> (M76-N76)</f>
        <v>0</v>
      </c>
      <c r="P76" s="77">
        <v>2</v>
      </c>
      <c r="Q76" s="75">
        <v>2</v>
      </c>
      <c r="R76" s="75">
        <v>2</v>
      </c>
      <c r="S76" s="75">
        <v>617.03</v>
      </c>
      <c r="T76" s="75"/>
      <c r="U76" s="76">
        <f t="shared" ref="U76:U103" si="7" xml:space="preserve"> (S76-T76)</f>
        <v>617.03</v>
      </c>
      <c r="W76" s="88">
        <f t="shared" si="5"/>
        <v>617.03</v>
      </c>
    </row>
    <row r="77" spans="1:23" ht="17.100000000000001" customHeight="1" x14ac:dyDescent="0.25">
      <c r="A77" s="90">
        <v>61</v>
      </c>
      <c r="B77" s="70">
        <f t="shared" ref="B77:B103" si="8">B76+1</f>
        <v>67</v>
      </c>
      <c r="C77" s="11" t="s">
        <v>79</v>
      </c>
      <c r="D77" s="15" t="s">
        <v>124</v>
      </c>
      <c r="E77" s="71"/>
      <c r="F77" s="17" t="s">
        <v>106</v>
      </c>
      <c r="G77" s="72" t="s">
        <v>194</v>
      </c>
      <c r="H77" s="73">
        <v>7</v>
      </c>
      <c r="I77" s="74">
        <v>5</v>
      </c>
      <c r="J77" s="74">
        <v>6</v>
      </c>
      <c r="K77" s="74">
        <v>6</v>
      </c>
      <c r="L77" s="75">
        <v>2</v>
      </c>
      <c r="M77" s="75">
        <v>1065.4000000000001</v>
      </c>
      <c r="N77" s="75"/>
      <c r="O77" s="76">
        <f t="shared" si="6"/>
        <v>1065.4000000000001</v>
      </c>
      <c r="P77" s="77">
        <v>4</v>
      </c>
      <c r="Q77" s="75">
        <v>4</v>
      </c>
      <c r="R77" s="75">
        <v>3</v>
      </c>
      <c r="S77" s="75">
        <v>2337.1</v>
      </c>
      <c r="T77" s="75"/>
      <c r="U77" s="76">
        <f t="shared" si="7"/>
        <v>2337.1</v>
      </c>
      <c r="W77" s="88">
        <f t="shared" si="5"/>
        <v>3402.5</v>
      </c>
    </row>
    <row r="78" spans="1:23" ht="17.100000000000001" customHeight="1" x14ac:dyDescent="0.25">
      <c r="A78" s="90">
        <v>62</v>
      </c>
      <c r="B78" s="70">
        <f t="shared" si="8"/>
        <v>68</v>
      </c>
      <c r="C78" s="11" t="s">
        <v>80</v>
      </c>
      <c r="D78" s="15" t="s">
        <v>124</v>
      </c>
      <c r="E78" s="71"/>
      <c r="F78" s="17" t="s">
        <v>106</v>
      </c>
      <c r="G78" s="72" t="s">
        <v>195</v>
      </c>
      <c r="H78" s="73">
        <v>3</v>
      </c>
      <c r="I78" s="74"/>
      <c r="J78" s="74"/>
      <c r="K78" s="74"/>
      <c r="L78" s="75"/>
      <c r="M78" s="75"/>
      <c r="N78" s="75"/>
      <c r="O78" s="76">
        <f t="shared" si="6"/>
        <v>0</v>
      </c>
      <c r="P78" s="77"/>
      <c r="Q78" s="75"/>
      <c r="R78" s="75"/>
      <c r="S78" s="75"/>
      <c r="T78" s="75"/>
      <c r="U78" s="76">
        <f t="shared" si="7"/>
        <v>0</v>
      </c>
      <c r="W78" s="88">
        <f t="shared" si="5"/>
        <v>0</v>
      </c>
    </row>
    <row r="79" spans="1:23" ht="17.100000000000001" customHeight="1" x14ac:dyDescent="0.25">
      <c r="B79" s="70">
        <f t="shared" si="8"/>
        <v>69</v>
      </c>
      <c r="C79" s="14" t="s">
        <v>81</v>
      </c>
      <c r="D79" s="15" t="s">
        <v>124</v>
      </c>
      <c r="E79" s="71"/>
      <c r="F79" s="10" t="s">
        <v>106</v>
      </c>
      <c r="G79" s="72" t="s">
        <v>226</v>
      </c>
      <c r="H79" s="73"/>
      <c r="I79" s="74"/>
      <c r="J79" s="74"/>
      <c r="K79" s="74"/>
      <c r="L79" s="75"/>
      <c r="M79" s="75"/>
      <c r="N79" s="75"/>
      <c r="O79" s="76">
        <f t="shared" si="6"/>
        <v>0</v>
      </c>
      <c r="P79" s="77">
        <v>8</v>
      </c>
      <c r="Q79" s="75">
        <v>8</v>
      </c>
      <c r="R79" s="75">
        <v>8</v>
      </c>
      <c r="S79" s="75">
        <v>3889.76</v>
      </c>
      <c r="T79" s="75">
        <v>852.2</v>
      </c>
      <c r="U79" s="76">
        <f t="shared" si="7"/>
        <v>3037.5600000000004</v>
      </c>
      <c r="W79" s="88">
        <f t="shared" si="5"/>
        <v>3889.76</v>
      </c>
    </row>
    <row r="80" spans="1:23" ht="17.100000000000001" customHeight="1" x14ac:dyDescent="0.25">
      <c r="A80" s="90">
        <v>63</v>
      </c>
      <c r="B80" s="70">
        <f t="shared" si="8"/>
        <v>70</v>
      </c>
      <c r="C80" s="14" t="s">
        <v>82</v>
      </c>
      <c r="D80" s="15" t="s">
        <v>124</v>
      </c>
      <c r="E80" s="71"/>
      <c r="F80" s="10" t="s">
        <v>106</v>
      </c>
      <c r="G80" s="72" t="s">
        <v>196</v>
      </c>
      <c r="H80" s="73">
        <v>7</v>
      </c>
      <c r="I80" s="74">
        <v>1</v>
      </c>
      <c r="J80" s="74">
        <v>1</v>
      </c>
      <c r="K80" s="74">
        <v>1</v>
      </c>
      <c r="L80" s="75">
        <v>1</v>
      </c>
      <c r="M80" s="75">
        <v>272.83999999999997</v>
      </c>
      <c r="N80" s="75"/>
      <c r="O80" s="76">
        <f t="shared" si="6"/>
        <v>272.83999999999997</v>
      </c>
      <c r="P80" s="77">
        <v>1</v>
      </c>
      <c r="Q80" s="75">
        <v>1</v>
      </c>
      <c r="R80" s="75">
        <v>1</v>
      </c>
      <c r="S80" s="75">
        <v>275.60000000000002</v>
      </c>
      <c r="T80" s="75"/>
      <c r="U80" s="76">
        <f t="shared" si="7"/>
        <v>275.60000000000002</v>
      </c>
      <c r="W80" s="88">
        <f t="shared" si="5"/>
        <v>548.44000000000005</v>
      </c>
    </row>
    <row r="81" spans="1:23" ht="17.100000000000001" customHeight="1" x14ac:dyDescent="0.25">
      <c r="A81" s="90">
        <v>64</v>
      </c>
      <c r="B81" s="70">
        <f t="shared" si="8"/>
        <v>71</v>
      </c>
      <c r="C81" s="14" t="s">
        <v>83</v>
      </c>
      <c r="D81" s="15" t="s">
        <v>124</v>
      </c>
      <c r="E81" s="71"/>
      <c r="F81" s="10" t="s">
        <v>106</v>
      </c>
      <c r="G81" s="72" t="s">
        <v>197</v>
      </c>
      <c r="H81" s="73">
        <v>9</v>
      </c>
      <c r="I81" s="74">
        <v>1</v>
      </c>
      <c r="J81" s="74">
        <v>1</v>
      </c>
      <c r="K81" s="74">
        <v>1</v>
      </c>
      <c r="L81" s="75">
        <v>1</v>
      </c>
      <c r="M81" s="75">
        <v>531.74</v>
      </c>
      <c r="N81" s="75">
        <v>531.74</v>
      </c>
      <c r="O81" s="76">
        <f t="shared" si="6"/>
        <v>0</v>
      </c>
      <c r="P81" s="77">
        <v>5</v>
      </c>
      <c r="Q81" s="75">
        <v>5</v>
      </c>
      <c r="R81" s="75">
        <v>5</v>
      </c>
      <c r="S81" s="75">
        <v>12327.43</v>
      </c>
      <c r="T81" s="75">
        <v>12327.43</v>
      </c>
      <c r="U81" s="76">
        <f t="shared" si="7"/>
        <v>0</v>
      </c>
      <c r="W81" s="88">
        <f t="shared" ref="W81:W104" si="9">M81+S81</f>
        <v>12859.17</v>
      </c>
    </row>
    <row r="82" spans="1:23" ht="17.100000000000001" customHeight="1" x14ac:dyDescent="0.25">
      <c r="A82" s="90">
        <v>65</v>
      </c>
      <c r="B82" s="70">
        <f t="shared" si="8"/>
        <v>72</v>
      </c>
      <c r="C82" s="11" t="s">
        <v>84</v>
      </c>
      <c r="D82" s="15" t="s">
        <v>124</v>
      </c>
      <c r="E82" s="71"/>
      <c r="F82" s="10" t="s">
        <v>120</v>
      </c>
      <c r="G82" s="72" t="s">
        <v>198</v>
      </c>
      <c r="H82" s="73"/>
      <c r="I82" s="74"/>
      <c r="J82" s="74"/>
      <c r="K82" s="74"/>
      <c r="L82" s="75"/>
      <c r="M82" s="75"/>
      <c r="N82" s="75"/>
      <c r="O82" s="76">
        <f t="shared" si="6"/>
        <v>0</v>
      </c>
      <c r="P82" s="77"/>
      <c r="Q82" s="75"/>
      <c r="R82" s="75"/>
      <c r="S82" s="75"/>
      <c r="T82" s="75"/>
      <c r="U82" s="76">
        <f t="shared" si="7"/>
        <v>0</v>
      </c>
      <c r="W82" s="88">
        <f t="shared" si="9"/>
        <v>0</v>
      </c>
    </row>
    <row r="83" spans="1:23" ht="17.100000000000001" customHeight="1" x14ac:dyDescent="0.25">
      <c r="A83" s="90">
        <v>66</v>
      </c>
      <c r="B83" s="70">
        <f t="shared" si="8"/>
        <v>73</v>
      </c>
      <c r="C83" s="13" t="s">
        <v>85</v>
      </c>
      <c r="D83" s="15" t="s">
        <v>124</v>
      </c>
      <c r="E83" s="71"/>
      <c r="F83" s="19" t="s">
        <v>106</v>
      </c>
      <c r="G83" s="72" t="s">
        <v>199</v>
      </c>
      <c r="H83" s="73">
        <v>9</v>
      </c>
      <c r="I83" s="74">
        <v>4</v>
      </c>
      <c r="J83" s="74">
        <v>4</v>
      </c>
      <c r="K83" s="74">
        <v>4</v>
      </c>
      <c r="L83" s="75">
        <v>4</v>
      </c>
      <c r="M83" s="75">
        <v>2282.25</v>
      </c>
      <c r="N83" s="75"/>
      <c r="O83" s="76">
        <f t="shared" si="6"/>
        <v>2282.25</v>
      </c>
      <c r="P83" s="77">
        <v>5</v>
      </c>
      <c r="Q83" s="75">
        <v>5</v>
      </c>
      <c r="R83" s="75">
        <v>5</v>
      </c>
      <c r="S83" s="75">
        <v>15948.19</v>
      </c>
      <c r="T83" s="75"/>
      <c r="U83" s="76">
        <f t="shared" si="7"/>
        <v>15948.19</v>
      </c>
      <c r="W83" s="88">
        <f t="shared" si="9"/>
        <v>18230.440000000002</v>
      </c>
    </row>
    <row r="84" spans="1:23" ht="17.100000000000001" customHeight="1" x14ac:dyDescent="0.25">
      <c r="A84" s="90">
        <v>67</v>
      </c>
      <c r="B84" s="70">
        <f t="shared" si="8"/>
        <v>74</v>
      </c>
      <c r="C84" s="10" t="s">
        <v>86</v>
      </c>
      <c r="D84" s="15" t="s">
        <v>124</v>
      </c>
      <c r="E84" s="71"/>
      <c r="F84" s="22" t="s">
        <v>118</v>
      </c>
      <c r="G84" s="72" t="s">
        <v>200</v>
      </c>
      <c r="H84" s="73">
        <v>7</v>
      </c>
      <c r="I84" s="74">
        <v>3</v>
      </c>
      <c r="J84" s="74">
        <v>3</v>
      </c>
      <c r="K84" s="74">
        <v>3</v>
      </c>
      <c r="L84" s="75">
        <v>3</v>
      </c>
      <c r="M84" s="75">
        <v>2803.04</v>
      </c>
      <c r="N84" s="75"/>
      <c r="O84" s="76">
        <f t="shared" si="6"/>
        <v>2803.04</v>
      </c>
      <c r="P84" s="77">
        <v>3</v>
      </c>
      <c r="Q84" s="75">
        <v>3</v>
      </c>
      <c r="R84" s="75">
        <v>3</v>
      </c>
      <c r="S84" s="75">
        <v>6465.89</v>
      </c>
      <c r="T84" s="75"/>
      <c r="U84" s="76">
        <f t="shared" si="7"/>
        <v>6465.89</v>
      </c>
      <c r="W84" s="88">
        <f t="shared" si="9"/>
        <v>9268.93</v>
      </c>
    </row>
    <row r="85" spans="1:23" ht="17.100000000000001" customHeight="1" x14ac:dyDescent="0.25">
      <c r="A85" s="90">
        <v>68</v>
      </c>
      <c r="B85" s="70">
        <f t="shared" si="8"/>
        <v>75</v>
      </c>
      <c r="C85" s="10" t="s">
        <v>87</v>
      </c>
      <c r="D85" s="15" t="s">
        <v>124</v>
      </c>
      <c r="E85" s="71"/>
      <c r="F85" s="22" t="s">
        <v>115</v>
      </c>
      <c r="G85" s="72" t="s">
        <v>201</v>
      </c>
      <c r="H85" s="73">
        <v>7</v>
      </c>
      <c r="I85" s="74">
        <v>1</v>
      </c>
      <c r="J85" s="74">
        <v>1</v>
      </c>
      <c r="K85" s="74">
        <v>1</v>
      </c>
      <c r="L85" s="75">
        <v>1</v>
      </c>
      <c r="M85" s="75">
        <v>409.27</v>
      </c>
      <c r="N85" s="75"/>
      <c r="O85" s="76">
        <f t="shared" si="6"/>
        <v>409.27</v>
      </c>
      <c r="P85" s="77">
        <v>1</v>
      </c>
      <c r="Q85" s="75">
        <v>1</v>
      </c>
      <c r="R85" s="75"/>
      <c r="S85" s="75"/>
      <c r="T85" s="75"/>
      <c r="U85" s="76">
        <f t="shared" si="7"/>
        <v>0</v>
      </c>
      <c r="W85" s="88">
        <f t="shared" si="9"/>
        <v>409.27</v>
      </c>
    </row>
    <row r="86" spans="1:23" ht="17.100000000000001" customHeight="1" x14ac:dyDescent="0.25">
      <c r="A86" s="90">
        <v>70</v>
      </c>
      <c r="B86" s="70">
        <f t="shared" si="8"/>
        <v>76</v>
      </c>
      <c r="C86" s="11" t="s">
        <v>88</v>
      </c>
      <c r="D86" s="15" t="s">
        <v>124</v>
      </c>
      <c r="E86" s="71"/>
      <c r="F86" s="17" t="s">
        <v>121</v>
      </c>
      <c r="G86" s="72" t="s">
        <v>203</v>
      </c>
      <c r="H86" s="73">
        <v>10</v>
      </c>
      <c r="I86" s="74">
        <v>4</v>
      </c>
      <c r="J86" s="74">
        <v>7</v>
      </c>
      <c r="K86" s="74">
        <v>7</v>
      </c>
      <c r="L86" s="75">
        <v>7</v>
      </c>
      <c r="M86" s="75">
        <v>4307.83</v>
      </c>
      <c r="N86" s="75"/>
      <c r="O86" s="76">
        <f t="shared" si="6"/>
        <v>4307.83</v>
      </c>
      <c r="P86" s="77">
        <v>5</v>
      </c>
      <c r="Q86" s="75">
        <v>4</v>
      </c>
      <c r="R86" s="75">
        <v>4</v>
      </c>
      <c r="S86" s="75">
        <v>2541.58</v>
      </c>
      <c r="T86" s="75"/>
      <c r="U86" s="76">
        <f t="shared" si="7"/>
        <v>2541.58</v>
      </c>
      <c r="W86" s="88">
        <f t="shared" si="9"/>
        <v>6849.41</v>
      </c>
    </row>
    <row r="87" spans="1:23" ht="17.100000000000001" customHeight="1" x14ac:dyDescent="0.25">
      <c r="A87" s="90">
        <v>69</v>
      </c>
      <c r="B87" s="70">
        <f t="shared" si="8"/>
        <v>77</v>
      </c>
      <c r="C87" s="14" t="s">
        <v>89</v>
      </c>
      <c r="D87" s="15" t="s">
        <v>124</v>
      </c>
      <c r="E87" s="71"/>
      <c r="F87" s="19" t="s">
        <v>106</v>
      </c>
      <c r="G87" s="72" t="s">
        <v>202</v>
      </c>
      <c r="H87" s="73">
        <v>2</v>
      </c>
      <c r="I87" s="74"/>
      <c r="J87" s="74"/>
      <c r="K87" s="74"/>
      <c r="L87" s="75"/>
      <c r="M87" s="75"/>
      <c r="N87" s="75"/>
      <c r="O87" s="76">
        <f t="shared" si="6"/>
        <v>0</v>
      </c>
      <c r="P87" s="77">
        <v>2</v>
      </c>
      <c r="Q87" s="75">
        <v>2</v>
      </c>
      <c r="R87" s="75">
        <v>2</v>
      </c>
      <c r="S87" s="75">
        <v>839.18</v>
      </c>
      <c r="T87" s="75"/>
      <c r="U87" s="76">
        <f t="shared" si="7"/>
        <v>839.18</v>
      </c>
      <c r="W87" s="88">
        <f t="shared" si="9"/>
        <v>839.18</v>
      </c>
    </row>
    <row r="88" spans="1:23" ht="17.100000000000001" customHeight="1" x14ac:dyDescent="0.25">
      <c r="A88" s="90">
        <v>71</v>
      </c>
      <c r="B88" s="70">
        <f t="shared" si="8"/>
        <v>78</v>
      </c>
      <c r="C88" s="14" t="s">
        <v>90</v>
      </c>
      <c r="D88" s="15" t="s">
        <v>124</v>
      </c>
      <c r="E88" s="71"/>
      <c r="F88" s="19" t="s">
        <v>106</v>
      </c>
      <c r="G88" s="72" t="s">
        <v>204</v>
      </c>
      <c r="H88" s="73">
        <v>3</v>
      </c>
      <c r="I88" s="74">
        <v>2</v>
      </c>
      <c r="J88" s="74">
        <v>2</v>
      </c>
      <c r="K88" s="74">
        <v>2</v>
      </c>
      <c r="L88" s="75">
        <v>2</v>
      </c>
      <c r="M88" s="75">
        <v>795.8</v>
      </c>
      <c r="N88" s="75">
        <v>250.11</v>
      </c>
      <c r="O88" s="76">
        <f t="shared" si="6"/>
        <v>545.68999999999994</v>
      </c>
      <c r="P88" s="77">
        <v>2</v>
      </c>
      <c r="Q88" s="75">
        <v>2</v>
      </c>
      <c r="R88" s="75">
        <v>2</v>
      </c>
      <c r="S88" s="75">
        <v>2723.78</v>
      </c>
      <c r="T88" s="75">
        <v>2723.78</v>
      </c>
      <c r="U88" s="76">
        <f t="shared" si="7"/>
        <v>0</v>
      </c>
      <c r="W88" s="88">
        <f t="shared" si="9"/>
        <v>3519.58</v>
      </c>
    </row>
    <row r="89" spans="1:23" ht="17.100000000000001" customHeight="1" x14ac:dyDescent="0.25">
      <c r="B89" s="70">
        <f t="shared" si="8"/>
        <v>79</v>
      </c>
      <c r="C89" s="10" t="s">
        <v>91</v>
      </c>
      <c r="D89" s="15" t="s">
        <v>124</v>
      </c>
      <c r="E89" s="71"/>
      <c r="F89" s="17" t="s">
        <v>111</v>
      </c>
      <c r="G89" s="72" t="s">
        <v>231</v>
      </c>
      <c r="H89" s="73">
        <v>1</v>
      </c>
      <c r="I89" s="74"/>
      <c r="J89" s="74"/>
      <c r="K89" s="74"/>
      <c r="L89" s="75"/>
      <c r="M89" s="75"/>
      <c r="N89" s="75"/>
      <c r="O89" s="76">
        <f t="shared" si="6"/>
        <v>0</v>
      </c>
      <c r="P89" s="77">
        <v>6</v>
      </c>
      <c r="Q89" s="75">
        <v>6</v>
      </c>
      <c r="R89" s="75">
        <v>6</v>
      </c>
      <c r="S89" s="75">
        <v>7502.29</v>
      </c>
      <c r="T89" s="75">
        <v>4474.76</v>
      </c>
      <c r="U89" s="76">
        <f t="shared" si="7"/>
        <v>3027.5299999999997</v>
      </c>
      <c r="W89" s="88">
        <f t="shared" si="9"/>
        <v>7502.29</v>
      </c>
    </row>
    <row r="90" spans="1:23" ht="17.100000000000001" customHeight="1" x14ac:dyDescent="0.25">
      <c r="A90" s="90">
        <v>72</v>
      </c>
      <c r="B90" s="70">
        <f t="shared" si="8"/>
        <v>80</v>
      </c>
      <c r="C90" s="10" t="s">
        <v>92</v>
      </c>
      <c r="D90" s="15" t="s">
        <v>124</v>
      </c>
      <c r="E90" s="71"/>
      <c r="F90" s="19" t="s">
        <v>106</v>
      </c>
      <c r="G90" s="72" t="s">
        <v>205</v>
      </c>
      <c r="H90" s="73">
        <v>2</v>
      </c>
      <c r="I90" s="74">
        <v>1</v>
      </c>
      <c r="J90" s="74">
        <v>1</v>
      </c>
      <c r="K90" s="74">
        <v>1</v>
      </c>
      <c r="L90" s="75">
        <v>1</v>
      </c>
      <c r="M90" s="75">
        <v>725.77</v>
      </c>
      <c r="N90" s="75"/>
      <c r="O90" s="76">
        <f t="shared" si="6"/>
        <v>725.77</v>
      </c>
      <c r="P90" s="77">
        <v>4</v>
      </c>
      <c r="Q90" s="75">
        <v>4</v>
      </c>
      <c r="R90" s="75">
        <v>2</v>
      </c>
      <c r="S90" s="75">
        <v>8161.92</v>
      </c>
      <c r="T90" s="75"/>
      <c r="U90" s="76">
        <f t="shared" si="7"/>
        <v>8161.92</v>
      </c>
      <c r="W90" s="88">
        <f t="shared" si="9"/>
        <v>8887.69</v>
      </c>
    </row>
    <row r="91" spans="1:23" ht="17.100000000000001" customHeight="1" x14ac:dyDescent="0.25">
      <c r="A91" s="90">
        <v>73</v>
      </c>
      <c r="B91" s="70">
        <f t="shared" si="8"/>
        <v>81</v>
      </c>
      <c r="C91" s="11" t="s">
        <v>93</v>
      </c>
      <c r="D91" s="15" t="s">
        <v>124</v>
      </c>
      <c r="E91" s="71"/>
      <c r="F91" s="17" t="s">
        <v>122</v>
      </c>
      <c r="G91" s="72" t="s">
        <v>206</v>
      </c>
      <c r="H91" s="73">
        <v>12</v>
      </c>
      <c r="I91" s="74">
        <v>9</v>
      </c>
      <c r="J91" s="74">
        <v>13</v>
      </c>
      <c r="K91" s="74">
        <v>13</v>
      </c>
      <c r="L91" s="75">
        <v>6</v>
      </c>
      <c r="M91" s="75">
        <v>2814.78</v>
      </c>
      <c r="N91" s="75"/>
      <c r="O91" s="76">
        <f t="shared" si="6"/>
        <v>2814.78</v>
      </c>
      <c r="P91" s="77">
        <v>4</v>
      </c>
      <c r="Q91" s="75">
        <v>4</v>
      </c>
      <c r="R91" s="75">
        <v>0</v>
      </c>
      <c r="S91" s="75"/>
      <c r="T91" s="75"/>
      <c r="U91" s="76">
        <f t="shared" si="7"/>
        <v>0</v>
      </c>
      <c r="W91" s="88">
        <f t="shared" si="9"/>
        <v>2814.78</v>
      </c>
    </row>
    <row r="92" spans="1:23" ht="17.100000000000001" customHeight="1" x14ac:dyDescent="0.25">
      <c r="A92" s="90">
        <v>74</v>
      </c>
      <c r="B92" s="70">
        <f t="shared" si="8"/>
        <v>82</v>
      </c>
      <c r="C92" s="11" t="s">
        <v>94</v>
      </c>
      <c r="D92" s="15" t="s">
        <v>124</v>
      </c>
      <c r="E92" s="71"/>
      <c r="F92" s="19" t="s">
        <v>106</v>
      </c>
      <c r="G92" s="72" t="s">
        <v>218</v>
      </c>
      <c r="H92" s="73">
        <v>7</v>
      </c>
      <c r="I92" s="74">
        <v>1</v>
      </c>
      <c r="J92" s="74">
        <v>1</v>
      </c>
      <c r="K92" s="74">
        <v>1</v>
      </c>
      <c r="L92" s="75">
        <v>1</v>
      </c>
      <c r="M92" s="75">
        <v>1255.05</v>
      </c>
      <c r="N92" s="75"/>
      <c r="O92" s="76">
        <f t="shared" si="6"/>
        <v>1255.05</v>
      </c>
      <c r="P92" s="77">
        <v>4</v>
      </c>
      <c r="Q92" s="75">
        <v>4</v>
      </c>
      <c r="R92" s="75">
        <v>4</v>
      </c>
      <c r="S92" s="75">
        <v>6219.66</v>
      </c>
      <c r="T92" s="75"/>
      <c r="U92" s="76">
        <f t="shared" si="7"/>
        <v>6219.66</v>
      </c>
      <c r="W92" s="88">
        <f t="shared" si="9"/>
        <v>7474.71</v>
      </c>
    </row>
    <row r="93" spans="1:23" ht="17.100000000000001" customHeight="1" x14ac:dyDescent="0.25">
      <c r="A93" s="90">
        <v>75</v>
      </c>
      <c r="B93" s="70">
        <f t="shared" si="8"/>
        <v>83</v>
      </c>
      <c r="C93" s="11" t="s">
        <v>95</v>
      </c>
      <c r="D93" s="15" t="s">
        <v>124</v>
      </c>
      <c r="E93" s="71"/>
      <c r="F93" s="19" t="s">
        <v>123</v>
      </c>
      <c r="G93" s="72" t="s">
        <v>217</v>
      </c>
      <c r="H93" s="73">
        <v>8</v>
      </c>
      <c r="I93" s="74">
        <v>4</v>
      </c>
      <c r="J93" s="74">
        <v>5</v>
      </c>
      <c r="K93" s="74">
        <v>5</v>
      </c>
      <c r="L93" s="75">
        <v>5</v>
      </c>
      <c r="M93" s="75">
        <v>2301.54</v>
      </c>
      <c r="N93" s="75"/>
      <c r="O93" s="76">
        <f t="shared" si="6"/>
        <v>2301.54</v>
      </c>
      <c r="P93" s="77">
        <v>1</v>
      </c>
      <c r="Q93" s="75">
        <v>1</v>
      </c>
      <c r="R93" s="75">
        <v>1</v>
      </c>
      <c r="S93" s="75">
        <v>206.7</v>
      </c>
      <c r="T93" s="75"/>
      <c r="U93" s="76">
        <f t="shared" si="7"/>
        <v>206.7</v>
      </c>
      <c r="W93" s="88">
        <f t="shared" si="9"/>
        <v>2508.2399999999998</v>
      </c>
    </row>
    <row r="94" spans="1:23" ht="17.100000000000001" customHeight="1" x14ac:dyDescent="0.25">
      <c r="A94" s="90">
        <v>76</v>
      </c>
      <c r="B94" s="70">
        <f t="shared" si="8"/>
        <v>84</v>
      </c>
      <c r="C94" s="11" t="s">
        <v>96</v>
      </c>
      <c r="D94" s="15" t="s">
        <v>124</v>
      </c>
      <c r="E94" s="71"/>
      <c r="F94" s="22" t="s">
        <v>112</v>
      </c>
      <c r="G94" s="72" t="s">
        <v>216</v>
      </c>
      <c r="H94" s="73">
        <v>19</v>
      </c>
      <c r="I94" s="74">
        <v>8</v>
      </c>
      <c r="J94" s="74">
        <v>10</v>
      </c>
      <c r="K94" s="74"/>
      <c r="L94" s="75"/>
      <c r="M94" s="75"/>
      <c r="N94" s="75"/>
      <c r="O94" s="76">
        <f t="shared" si="6"/>
        <v>0</v>
      </c>
      <c r="P94" s="77">
        <v>5</v>
      </c>
      <c r="Q94" s="75">
        <v>3</v>
      </c>
      <c r="R94" s="75">
        <v>3</v>
      </c>
      <c r="S94" s="75">
        <v>5838.31</v>
      </c>
      <c r="T94" s="75"/>
      <c r="U94" s="76">
        <f t="shared" si="7"/>
        <v>5838.31</v>
      </c>
      <c r="W94" s="88">
        <f t="shared" si="9"/>
        <v>5838.31</v>
      </c>
    </row>
    <row r="95" spans="1:23" ht="17.100000000000001" customHeight="1" x14ac:dyDescent="0.25">
      <c r="A95" s="90">
        <v>77</v>
      </c>
      <c r="B95" s="70">
        <f t="shared" si="8"/>
        <v>85</v>
      </c>
      <c r="C95" s="11" t="s">
        <v>97</v>
      </c>
      <c r="D95" s="15" t="s">
        <v>124</v>
      </c>
      <c r="E95" s="71"/>
      <c r="F95" s="17" t="s">
        <v>111</v>
      </c>
      <c r="G95" s="72" t="s">
        <v>215</v>
      </c>
      <c r="H95" s="73">
        <v>6</v>
      </c>
      <c r="I95" s="74">
        <v>1</v>
      </c>
      <c r="J95" s="74">
        <v>2</v>
      </c>
      <c r="K95" s="74">
        <v>1</v>
      </c>
      <c r="L95" s="75"/>
      <c r="M95" s="75"/>
      <c r="N95" s="75"/>
      <c r="O95" s="76">
        <f t="shared" si="6"/>
        <v>0</v>
      </c>
      <c r="P95" s="77">
        <v>19</v>
      </c>
      <c r="Q95" s="75">
        <v>18</v>
      </c>
      <c r="R95" s="75">
        <v>17</v>
      </c>
      <c r="S95" s="75">
        <v>18253.04</v>
      </c>
      <c r="T95" s="75"/>
      <c r="U95" s="76">
        <f t="shared" si="7"/>
        <v>18253.04</v>
      </c>
      <c r="W95" s="88">
        <f t="shared" si="9"/>
        <v>18253.04</v>
      </c>
    </row>
    <row r="96" spans="1:23" ht="17.100000000000001" customHeight="1" x14ac:dyDescent="0.25">
      <c r="A96" s="90">
        <v>78</v>
      </c>
      <c r="B96" s="70">
        <f t="shared" si="8"/>
        <v>86</v>
      </c>
      <c r="C96" s="10" t="s">
        <v>98</v>
      </c>
      <c r="D96" s="15" t="s">
        <v>124</v>
      </c>
      <c r="E96" s="71"/>
      <c r="F96" s="19" t="s">
        <v>106</v>
      </c>
      <c r="G96" s="72" t="s">
        <v>214</v>
      </c>
      <c r="H96" s="73">
        <v>10</v>
      </c>
      <c r="I96" s="74">
        <v>1</v>
      </c>
      <c r="J96" s="74">
        <v>1</v>
      </c>
      <c r="K96" s="74">
        <v>1</v>
      </c>
      <c r="L96" s="75">
        <v>1</v>
      </c>
      <c r="M96" s="75">
        <v>413.4</v>
      </c>
      <c r="N96" s="75"/>
      <c r="O96" s="76">
        <f t="shared" si="6"/>
        <v>413.4</v>
      </c>
      <c r="P96" s="77">
        <v>9</v>
      </c>
      <c r="Q96" s="75">
        <v>9</v>
      </c>
      <c r="R96" s="75">
        <v>9</v>
      </c>
      <c r="S96" s="75">
        <v>22276.25</v>
      </c>
      <c r="T96" s="75"/>
      <c r="U96" s="76">
        <f t="shared" si="7"/>
        <v>22276.25</v>
      </c>
      <c r="W96" s="88">
        <f t="shared" si="9"/>
        <v>22689.65</v>
      </c>
    </row>
    <row r="97" spans="1:25" ht="17.100000000000001" customHeight="1" x14ac:dyDescent="0.25">
      <c r="A97" s="90">
        <v>80</v>
      </c>
      <c r="B97" s="70">
        <f t="shared" si="8"/>
        <v>87</v>
      </c>
      <c r="C97" s="10" t="s">
        <v>129</v>
      </c>
      <c r="D97" s="15" t="s">
        <v>124</v>
      </c>
      <c r="E97" s="71"/>
      <c r="F97" s="19" t="s">
        <v>106</v>
      </c>
      <c r="G97" s="72" t="s">
        <v>212</v>
      </c>
      <c r="H97" s="73">
        <v>3</v>
      </c>
      <c r="I97" s="74"/>
      <c r="J97" s="74"/>
      <c r="K97" s="74"/>
      <c r="L97" s="75"/>
      <c r="M97" s="75"/>
      <c r="N97" s="75"/>
      <c r="O97" s="76">
        <f t="shared" si="6"/>
        <v>0</v>
      </c>
      <c r="P97" s="77"/>
      <c r="Q97" s="75"/>
      <c r="R97" s="75"/>
      <c r="S97" s="75"/>
      <c r="T97" s="75"/>
      <c r="U97" s="76">
        <f t="shared" si="7"/>
        <v>0</v>
      </c>
      <c r="W97" s="88">
        <f t="shared" si="9"/>
        <v>0</v>
      </c>
    </row>
    <row r="98" spans="1:25" ht="17.100000000000001" customHeight="1" x14ac:dyDescent="0.25">
      <c r="A98" s="90">
        <v>79</v>
      </c>
      <c r="B98" s="70">
        <f t="shared" si="8"/>
        <v>88</v>
      </c>
      <c r="C98" s="10" t="s">
        <v>99</v>
      </c>
      <c r="D98" s="15" t="s">
        <v>124</v>
      </c>
      <c r="E98" s="71"/>
      <c r="F98" s="19" t="s">
        <v>106</v>
      </c>
      <c r="G98" s="72" t="s">
        <v>213</v>
      </c>
      <c r="H98" s="73">
        <v>5</v>
      </c>
      <c r="I98" s="74">
        <v>2</v>
      </c>
      <c r="J98" s="74">
        <v>2</v>
      </c>
      <c r="K98" s="74">
        <v>2</v>
      </c>
      <c r="L98" s="75">
        <v>2</v>
      </c>
      <c r="M98" s="75">
        <v>1545.67</v>
      </c>
      <c r="N98" s="75"/>
      <c r="O98" s="76">
        <f t="shared" si="6"/>
        <v>1545.67</v>
      </c>
      <c r="P98" s="77">
        <v>4</v>
      </c>
      <c r="Q98" s="75">
        <v>4</v>
      </c>
      <c r="R98" s="75">
        <v>4</v>
      </c>
      <c r="S98" s="75">
        <v>1744.35</v>
      </c>
      <c r="T98" s="75"/>
      <c r="U98" s="76">
        <f t="shared" si="7"/>
        <v>1744.35</v>
      </c>
      <c r="W98" s="88">
        <f t="shared" si="9"/>
        <v>3290.02</v>
      </c>
    </row>
    <row r="99" spans="1:25" ht="17.100000000000001" customHeight="1" x14ac:dyDescent="0.25">
      <c r="A99" s="90">
        <v>81</v>
      </c>
      <c r="B99" s="70">
        <f t="shared" si="8"/>
        <v>89</v>
      </c>
      <c r="C99" s="13" t="s">
        <v>100</v>
      </c>
      <c r="D99" s="15" t="s">
        <v>124</v>
      </c>
      <c r="E99" s="71"/>
      <c r="F99" s="19" t="s">
        <v>106</v>
      </c>
      <c r="G99" s="72" t="s">
        <v>211</v>
      </c>
      <c r="H99" s="73">
        <v>6</v>
      </c>
      <c r="I99" s="74">
        <v>2</v>
      </c>
      <c r="J99" s="74">
        <v>2</v>
      </c>
      <c r="K99" s="74">
        <v>2</v>
      </c>
      <c r="L99" s="75"/>
      <c r="M99" s="75"/>
      <c r="N99" s="75"/>
      <c r="O99" s="76">
        <f t="shared" si="6"/>
        <v>0</v>
      </c>
      <c r="P99" s="77">
        <v>6</v>
      </c>
      <c r="Q99" s="75">
        <v>6</v>
      </c>
      <c r="R99" s="75">
        <v>5</v>
      </c>
      <c r="S99" s="75">
        <v>6457</v>
      </c>
      <c r="T99" s="75"/>
      <c r="U99" s="76">
        <f t="shared" si="7"/>
        <v>6457</v>
      </c>
      <c r="W99" s="88">
        <f t="shared" si="9"/>
        <v>6457</v>
      </c>
    </row>
    <row r="100" spans="1:25" ht="17.100000000000001" customHeight="1" x14ac:dyDescent="0.25">
      <c r="A100" s="90">
        <v>82</v>
      </c>
      <c r="B100" s="70">
        <f t="shared" si="8"/>
        <v>90</v>
      </c>
      <c r="C100" s="13" t="s">
        <v>101</v>
      </c>
      <c r="D100" s="15" t="s">
        <v>124</v>
      </c>
      <c r="E100" s="71"/>
      <c r="F100" s="17" t="s">
        <v>106</v>
      </c>
      <c r="G100" s="72" t="s">
        <v>210</v>
      </c>
      <c r="H100" s="73">
        <v>5</v>
      </c>
      <c r="I100" s="74">
        <v>1</v>
      </c>
      <c r="J100" s="74">
        <v>1</v>
      </c>
      <c r="K100" s="74">
        <v>1</v>
      </c>
      <c r="L100" s="75"/>
      <c r="M100" s="75"/>
      <c r="N100" s="75"/>
      <c r="O100" s="76">
        <f t="shared" si="6"/>
        <v>0</v>
      </c>
      <c r="P100" s="77">
        <v>6</v>
      </c>
      <c r="Q100" s="75">
        <v>6</v>
      </c>
      <c r="R100" s="75">
        <v>6</v>
      </c>
      <c r="S100" s="75">
        <v>5077.71</v>
      </c>
      <c r="T100" s="75"/>
      <c r="U100" s="76">
        <f t="shared" si="7"/>
        <v>5077.71</v>
      </c>
      <c r="W100" s="88">
        <f t="shared" si="9"/>
        <v>5077.71</v>
      </c>
    </row>
    <row r="101" spans="1:25" ht="17.100000000000001" customHeight="1" x14ac:dyDescent="0.25">
      <c r="A101" s="90">
        <v>83</v>
      </c>
      <c r="B101" s="70">
        <f t="shared" si="8"/>
        <v>91</v>
      </c>
      <c r="C101" s="13" t="s">
        <v>102</v>
      </c>
      <c r="D101" s="15" t="s">
        <v>124</v>
      </c>
      <c r="E101" s="71"/>
      <c r="F101" s="17" t="s">
        <v>106</v>
      </c>
      <c r="G101" s="72" t="s">
        <v>209</v>
      </c>
      <c r="H101" s="73">
        <v>9</v>
      </c>
      <c r="I101" s="74">
        <v>4</v>
      </c>
      <c r="J101" s="74">
        <v>5</v>
      </c>
      <c r="K101" s="74">
        <v>5</v>
      </c>
      <c r="L101" s="75">
        <v>4</v>
      </c>
      <c r="M101" s="75">
        <v>4459.37</v>
      </c>
      <c r="N101" s="75"/>
      <c r="O101" s="76">
        <f t="shared" si="6"/>
        <v>4459.37</v>
      </c>
      <c r="P101" s="77">
        <v>7</v>
      </c>
      <c r="Q101" s="75">
        <v>7</v>
      </c>
      <c r="R101" s="75">
        <v>7</v>
      </c>
      <c r="S101" s="75">
        <v>4232.91</v>
      </c>
      <c r="T101" s="75"/>
      <c r="U101" s="76">
        <f t="shared" si="7"/>
        <v>4232.91</v>
      </c>
      <c r="W101" s="88">
        <f t="shared" si="9"/>
        <v>8692.2799999999988</v>
      </c>
    </row>
    <row r="102" spans="1:25" ht="17.100000000000001" customHeight="1" x14ac:dyDescent="0.25">
      <c r="A102" s="90">
        <v>84</v>
      </c>
      <c r="B102" s="70">
        <f t="shared" si="8"/>
        <v>92</v>
      </c>
      <c r="C102" s="11" t="s">
        <v>103</v>
      </c>
      <c r="D102" s="15" t="s">
        <v>124</v>
      </c>
      <c r="E102" s="71"/>
      <c r="F102" s="22" t="s">
        <v>112</v>
      </c>
      <c r="G102" s="72" t="s">
        <v>208</v>
      </c>
      <c r="H102" s="73">
        <v>20</v>
      </c>
      <c r="I102" s="74">
        <v>2</v>
      </c>
      <c r="J102" s="74">
        <v>2</v>
      </c>
      <c r="K102" s="74">
        <v>2</v>
      </c>
      <c r="L102" s="75">
        <v>1</v>
      </c>
      <c r="M102" s="75">
        <v>234.26</v>
      </c>
      <c r="N102" s="75"/>
      <c r="O102" s="76">
        <f t="shared" si="6"/>
        <v>234.26</v>
      </c>
      <c r="P102" s="77">
        <v>15</v>
      </c>
      <c r="Q102" s="75">
        <v>13</v>
      </c>
      <c r="R102" s="75">
        <v>11</v>
      </c>
      <c r="S102" s="75">
        <v>16946.830000000002</v>
      </c>
      <c r="T102" s="75">
        <v>6585.82</v>
      </c>
      <c r="U102" s="76">
        <f t="shared" si="7"/>
        <v>10361.010000000002</v>
      </c>
      <c r="W102" s="88">
        <f t="shared" si="9"/>
        <v>17181.09</v>
      </c>
    </row>
    <row r="103" spans="1:25" ht="17.100000000000001" customHeight="1" thickBot="1" x14ac:dyDescent="0.3">
      <c r="A103" s="90">
        <v>85</v>
      </c>
      <c r="B103" s="70">
        <f t="shared" si="8"/>
        <v>93</v>
      </c>
      <c r="C103" s="30" t="s">
        <v>104</v>
      </c>
      <c r="D103" s="31" t="s">
        <v>124</v>
      </c>
      <c r="E103" s="80"/>
      <c r="F103" s="33" t="s">
        <v>106</v>
      </c>
      <c r="G103" s="72" t="s">
        <v>207</v>
      </c>
      <c r="H103" s="81">
        <v>3</v>
      </c>
      <c r="I103" s="82">
        <v>1</v>
      </c>
      <c r="J103" s="82">
        <v>1</v>
      </c>
      <c r="K103" s="82">
        <v>1</v>
      </c>
      <c r="L103" s="83">
        <v>1</v>
      </c>
      <c r="M103" s="83"/>
      <c r="N103" s="83"/>
      <c r="O103" s="76">
        <f t="shared" si="6"/>
        <v>0</v>
      </c>
      <c r="P103" s="84">
        <v>3</v>
      </c>
      <c r="Q103" s="83">
        <v>3</v>
      </c>
      <c r="R103" s="83">
        <v>3</v>
      </c>
      <c r="S103" s="83"/>
      <c r="T103" s="83"/>
      <c r="U103" s="76">
        <f t="shared" si="7"/>
        <v>0</v>
      </c>
      <c r="W103" s="88">
        <f t="shared" si="9"/>
        <v>0</v>
      </c>
    </row>
    <row r="104" spans="1:25" ht="15.75" x14ac:dyDescent="0.25">
      <c r="B104" s="325"/>
      <c r="C104" s="325"/>
      <c r="D104" s="325"/>
      <c r="E104" s="325"/>
      <c r="F104" s="325"/>
      <c r="G104" s="325"/>
      <c r="H104" s="85">
        <f t="shared" ref="H104:O104" si="10">SUM(H10:H103)</f>
        <v>578</v>
      </c>
      <c r="I104" s="85">
        <f t="shared" si="10"/>
        <v>198</v>
      </c>
      <c r="J104" s="85">
        <f t="shared" si="10"/>
        <v>235</v>
      </c>
      <c r="K104" s="85">
        <f t="shared" si="10"/>
        <v>175</v>
      </c>
      <c r="L104" s="86">
        <f t="shared" si="10"/>
        <v>136</v>
      </c>
      <c r="M104" s="86">
        <f t="shared" si="10"/>
        <v>90519.459999999977</v>
      </c>
      <c r="N104" s="86">
        <f t="shared" si="10"/>
        <v>15771.480000000001</v>
      </c>
      <c r="O104" s="86">
        <f t="shared" si="10"/>
        <v>74747.979999999967</v>
      </c>
      <c r="P104" s="86">
        <f>SUM(P10:P103)</f>
        <v>452</v>
      </c>
      <c r="Q104" s="86">
        <f>SUM(Q10:Q103)</f>
        <v>426</v>
      </c>
      <c r="R104" s="86">
        <f>SUM(R11:R103)</f>
        <v>377</v>
      </c>
      <c r="S104" s="86">
        <f>SUM(S10:S103)</f>
        <v>499246.33999999991</v>
      </c>
      <c r="T104" s="86">
        <f>SUM(T10:T103)</f>
        <v>178361.31000000003</v>
      </c>
      <c r="U104" s="87">
        <f>SUM(U10:U103)</f>
        <v>320885.03000000003</v>
      </c>
      <c r="W104" s="89">
        <f t="shared" si="9"/>
        <v>589765.79999999993</v>
      </c>
      <c r="Y104" s="59">
        <f>N104+T104</f>
        <v>194132.79000000004</v>
      </c>
    </row>
  </sheetData>
  <mergeCells count="8">
    <mergeCell ref="B104:G104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7:T47">
    <cfRule type="cellIs" dxfId="440" priority="3" stopIfTrue="1" operator="equal">
      <formula>0</formula>
    </cfRule>
  </conditionalFormatting>
  <conditionalFormatting sqref="S46">
    <cfRule type="cellIs" dxfId="439" priority="2" stopIfTrue="1" operator="equal">
      <formula>0</formula>
    </cfRule>
  </conditionalFormatting>
  <conditionalFormatting sqref="S47">
    <cfRule type="cellIs" dxfId="438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C1" workbookViewId="0">
      <selection activeCell="M74" sqref="M74"/>
    </sheetView>
  </sheetViews>
  <sheetFormatPr defaultRowHeight="15" x14ac:dyDescent="0.25"/>
  <cols>
    <col min="1" max="1" width="9.140625" hidden="1" customWidth="1"/>
    <col min="2" max="2" width="7.28515625" customWidth="1"/>
    <col min="3" max="3" width="37.28515625" customWidth="1"/>
    <col min="4" max="4" width="8.140625" customWidth="1"/>
    <col min="5" max="5" width="13.28515625" customWidth="1"/>
    <col min="6" max="6" width="24.85546875" customWidth="1"/>
    <col min="7" max="7" width="16.140625" customWidth="1"/>
    <col min="8" max="12" width="9.140625" customWidth="1"/>
    <col min="16" max="18" width="9.140625" customWidth="1"/>
    <col min="19" max="19" width="12.28515625" customWidth="1"/>
    <col min="20" max="20" width="14" customWidth="1"/>
    <col min="23" max="23" width="0" hidden="1" customWidth="1"/>
    <col min="24" max="24" width="9.5703125" hidden="1" customWidth="1"/>
  </cols>
  <sheetData>
    <row r="1" spans="1:21" ht="15.75" thickBot="1" x14ac:dyDescent="0.3">
      <c r="A1" s="90"/>
      <c r="B1" s="310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2"/>
      <c r="S1" s="313" t="s">
        <v>17</v>
      </c>
      <c r="T1" s="313"/>
      <c r="U1" s="313"/>
    </row>
    <row r="2" spans="1:21" x14ac:dyDescent="0.25">
      <c r="A2" s="90"/>
      <c r="B2" s="326" t="s">
        <v>245</v>
      </c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8"/>
    </row>
    <row r="3" spans="1:21" x14ac:dyDescent="0.25">
      <c r="A3" s="90"/>
      <c r="B3" s="329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1"/>
    </row>
    <row r="4" spans="1:21" x14ac:dyDescent="0.25">
      <c r="A4" s="90"/>
      <c r="B4" s="329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1"/>
    </row>
    <row r="5" spans="1:21" x14ac:dyDescent="0.25">
      <c r="A5" s="90"/>
      <c r="B5" s="329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1"/>
    </row>
    <row r="6" spans="1:21" ht="15.75" thickBot="1" x14ac:dyDescent="0.3">
      <c r="A6" s="90"/>
      <c r="B6" s="332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4"/>
    </row>
    <row r="7" spans="1:21" ht="55.5" customHeight="1" thickBot="1" x14ac:dyDescent="0.3">
      <c r="A7" s="90"/>
      <c r="B7" s="335" t="s">
        <v>0</v>
      </c>
      <c r="C7" s="337" t="s">
        <v>1</v>
      </c>
      <c r="D7" s="338"/>
      <c r="E7" s="338"/>
      <c r="F7" s="338"/>
      <c r="G7" s="339"/>
      <c r="H7" s="337" t="s">
        <v>2</v>
      </c>
      <c r="I7" s="338"/>
      <c r="J7" s="338"/>
      <c r="K7" s="338"/>
      <c r="L7" s="338"/>
      <c r="M7" s="338"/>
      <c r="N7" s="338"/>
      <c r="O7" s="339"/>
      <c r="P7" s="340" t="s">
        <v>246</v>
      </c>
      <c r="Q7" s="341"/>
      <c r="R7" s="341"/>
      <c r="S7" s="341"/>
      <c r="T7" s="341"/>
      <c r="U7" s="342"/>
    </row>
    <row r="8" spans="1:21" ht="362.25" x14ac:dyDescent="0.25">
      <c r="A8" s="90"/>
      <c r="B8" s="336"/>
      <c r="C8" s="60" t="s">
        <v>4</v>
      </c>
      <c r="D8" s="60" t="s">
        <v>5</v>
      </c>
      <c r="E8" s="60" t="s">
        <v>6</v>
      </c>
      <c r="F8" s="60" t="s">
        <v>7</v>
      </c>
      <c r="G8" s="61" t="s">
        <v>8</v>
      </c>
      <c r="H8" s="62" t="s">
        <v>9</v>
      </c>
      <c r="I8" s="60" t="s">
        <v>10</v>
      </c>
      <c r="J8" s="60" t="s">
        <v>11</v>
      </c>
      <c r="K8" s="60" t="s">
        <v>12</v>
      </c>
      <c r="L8" s="63" t="s">
        <v>13</v>
      </c>
      <c r="M8" s="63" t="s">
        <v>14</v>
      </c>
      <c r="N8" s="63" t="s">
        <v>15</v>
      </c>
      <c r="O8" s="61" t="s">
        <v>16</v>
      </c>
      <c r="P8" s="64" t="s">
        <v>11</v>
      </c>
      <c r="Q8" s="63" t="s">
        <v>12</v>
      </c>
      <c r="R8" s="63" t="s">
        <v>13</v>
      </c>
      <c r="S8" s="63" t="s">
        <v>14</v>
      </c>
      <c r="T8" s="63" t="s">
        <v>15</v>
      </c>
      <c r="U8" s="61" t="s">
        <v>16</v>
      </c>
    </row>
    <row r="9" spans="1:21" ht="15.75" x14ac:dyDescent="0.25">
      <c r="A9" s="90"/>
      <c r="B9" s="65">
        <v>1</v>
      </c>
      <c r="C9" s="66">
        <v>2</v>
      </c>
      <c r="D9" s="66">
        <v>3</v>
      </c>
      <c r="E9" s="66">
        <v>4</v>
      </c>
      <c r="F9" s="66">
        <v>5</v>
      </c>
      <c r="G9" s="67">
        <v>6</v>
      </c>
      <c r="H9" s="65">
        <f>G9+1</f>
        <v>7</v>
      </c>
      <c r="I9" s="66">
        <f t="shared" ref="I9:U9" si="0">H9+1</f>
        <v>8</v>
      </c>
      <c r="J9" s="66">
        <f t="shared" si="0"/>
        <v>9</v>
      </c>
      <c r="K9" s="66">
        <f t="shared" si="0"/>
        <v>10</v>
      </c>
      <c r="L9" s="68">
        <f t="shared" si="0"/>
        <v>11</v>
      </c>
      <c r="M9" s="68">
        <f t="shared" si="0"/>
        <v>12</v>
      </c>
      <c r="N9" s="68">
        <f t="shared" si="0"/>
        <v>13</v>
      </c>
      <c r="O9" s="67">
        <f t="shared" si="0"/>
        <v>14</v>
      </c>
      <c r="P9" s="69">
        <f t="shared" si="0"/>
        <v>15</v>
      </c>
      <c r="Q9" s="68">
        <f t="shared" si="0"/>
        <v>16</v>
      </c>
      <c r="R9" s="68">
        <f t="shared" si="0"/>
        <v>17</v>
      </c>
      <c r="S9" s="68">
        <f t="shared" si="0"/>
        <v>18</v>
      </c>
      <c r="T9" s="68">
        <f t="shared" si="0"/>
        <v>19</v>
      </c>
      <c r="U9" s="67">
        <f t="shared" si="0"/>
        <v>20</v>
      </c>
    </row>
    <row r="10" spans="1:21" ht="18" customHeight="1" x14ac:dyDescent="0.25">
      <c r="A10" s="90">
        <v>1</v>
      </c>
      <c r="B10" s="70">
        <v>1</v>
      </c>
      <c r="C10" s="10" t="s">
        <v>18</v>
      </c>
      <c r="D10" s="15" t="s">
        <v>124</v>
      </c>
      <c r="E10" s="71"/>
      <c r="F10" s="16" t="s">
        <v>105</v>
      </c>
      <c r="G10" s="72" t="s">
        <v>138</v>
      </c>
      <c r="H10" s="73">
        <v>11</v>
      </c>
      <c r="I10" s="74">
        <v>3</v>
      </c>
      <c r="J10" s="74">
        <v>3</v>
      </c>
      <c r="K10" s="74">
        <v>3</v>
      </c>
      <c r="L10" s="75">
        <v>3</v>
      </c>
      <c r="M10" s="75">
        <v>1033.5</v>
      </c>
      <c r="N10" s="75">
        <v>1033.5</v>
      </c>
      <c r="O10" s="76">
        <f xml:space="preserve"> (M10-N10)</f>
        <v>0</v>
      </c>
      <c r="P10" s="77">
        <v>6</v>
      </c>
      <c r="Q10" s="75">
        <v>6</v>
      </c>
      <c r="R10" s="75">
        <v>4</v>
      </c>
      <c r="S10" s="75">
        <v>4246.75</v>
      </c>
      <c r="T10" s="75">
        <v>3352.81</v>
      </c>
      <c r="U10" s="76">
        <f xml:space="preserve"> (S10-T10)</f>
        <v>893.94</v>
      </c>
    </row>
    <row r="11" spans="1:21" ht="18" customHeight="1" x14ac:dyDescent="0.25">
      <c r="A11" s="90">
        <v>2</v>
      </c>
      <c r="B11" s="70">
        <f>B10+1</f>
        <v>2</v>
      </c>
      <c r="C11" s="10" t="s">
        <v>19</v>
      </c>
      <c r="D11" s="15" t="s">
        <v>124</v>
      </c>
      <c r="E11" s="71"/>
      <c r="F11" s="17" t="s">
        <v>106</v>
      </c>
      <c r="G11" s="72" t="s">
        <v>139</v>
      </c>
      <c r="H11" s="73">
        <v>3</v>
      </c>
      <c r="I11" s="74"/>
      <c r="J11" s="74"/>
      <c r="K11" s="74"/>
      <c r="L11" s="75"/>
      <c r="M11" s="75"/>
      <c r="N11" s="75"/>
      <c r="O11" s="76">
        <f t="shared" ref="O11:O75" si="1" xml:space="preserve"> (M11-N11)</f>
        <v>0</v>
      </c>
      <c r="P11" s="77">
        <v>1</v>
      </c>
      <c r="Q11" s="75">
        <v>1</v>
      </c>
      <c r="R11" s="75">
        <v>1</v>
      </c>
      <c r="S11" s="75">
        <v>234.26</v>
      </c>
      <c r="T11" s="75">
        <v>234.26</v>
      </c>
      <c r="U11" s="76">
        <f t="shared" ref="U11:U75" si="2" xml:space="preserve"> (S11-T11)</f>
        <v>0</v>
      </c>
    </row>
    <row r="12" spans="1:21" ht="18" customHeight="1" x14ac:dyDescent="0.25">
      <c r="A12" s="90" t="s">
        <v>241</v>
      </c>
      <c r="B12" s="70">
        <f t="shared" ref="B12:B75" si="3">B11+1</f>
        <v>3</v>
      </c>
      <c r="C12" s="11" t="s">
        <v>20</v>
      </c>
      <c r="D12" s="15" t="s">
        <v>124</v>
      </c>
      <c r="E12" s="71"/>
      <c r="F12" s="17" t="s">
        <v>107</v>
      </c>
      <c r="G12" s="72" t="s">
        <v>223</v>
      </c>
      <c r="H12" s="73"/>
      <c r="I12" s="74"/>
      <c r="J12" s="74"/>
      <c r="K12" s="74"/>
      <c r="L12" s="75"/>
      <c r="M12" s="75"/>
      <c r="N12" s="75"/>
      <c r="O12" s="76">
        <f t="shared" si="1"/>
        <v>0</v>
      </c>
      <c r="P12" s="77">
        <v>3</v>
      </c>
      <c r="Q12" s="75">
        <v>3</v>
      </c>
      <c r="R12" s="75">
        <v>2</v>
      </c>
      <c r="S12" s="75">
        <v>1548.67</v>
      </c>
      <c r="T12" s="75">
        <v>1548.67</v>
      </c>
      <c r="U12" s="76">
        <f t="shared" si="2"/>
        <v>0</v>
      </c>
    </row>
    <row r="13" spans="1:21" ht="18" customHeight="1" x14ac:dyDescent="0.25">
      <c r="A13" s="90">
        <v>7</v>
      </c>
      <c r="B13" s="70">
        <f t="shared" si="3"/>
        <v>4</v>
      </c>
      <c r="C13" s="11" t="s">
        <v>21</v>
      </c>
      <c r="D13" s="15" t="s">
        <v>124</v>
      </c>
      <c r="E13" s="71"/>
      <c r="F13" s="17" t="s">
        <v>108</v>
      </c>
      <c r="G13" s="72" t="s">
        <v>140</v>
      </c>
      <c r="H13" s="73">
        <v>5</v>
      </c>
      <c r="I13" s="74">
        <v>4</v>
      </c>
      <c r="J13" s="74">
        <v>5</v>
      </c>
      <c r="K13" s="74">
        <v>5</v>
      </c>
      <c r="L13" s="75">
        <v>1</v>
      </c>
      <c r="M13" s="75">
        <v>272.83999999999997</v>
      </c>
      <c r="N13" s="75">
        <v>272.83999999999997</v>
      </c>
      <c r="O13" s="76">
        <f t="shared" si="1"/>
        <v>0</v>
      </c>
      <c r="P13" s="77">
        <v>4</v>
      </c>
      <c r="Q13" s="75">
        <v>4</v>
      </c>
      <c r="R13" s="75">
        <v>3</v>
      </c>
      <c r="S13" s="75">
        <v>7385.53</v>
      </c>
      <c r="T13" s="75">
        <v>7385.53</v>
      </c>
      <c r="U13" s="76">
        <f t="shared" si="2"/>
        <v>0</v>
      </c>
    </row>
    <row r="14" spans="1:21" ht="18" customHeight="1" x14ac:dyDescent="0.25">
      <c r="A14" s="90">
        <v>8</v>
      </c>
      <c r="B14" s="70">
        <f t="shared" si="3"/>
        <v>5</v>
      </c>
      <c r="C14" s="10" t="s">
        <v>22</v>
      </c>
      <c r="D14" s="15" t="s">
        <v>124</v>
      </c>
      <c r="E14" s="71"/>
      <c r="F14" s="17" t="s">
        <v>106</v>
      </c>
      <c r="G14" s="72" t="s">
        <v>141</v>
      </c>
      <c r="H14" s="73">
        <v>9</v>
      </c>
      <c r="I14" s="74">
        <v>3</v>
      </c>
      <c r="J14" s="74">
        <v>4</v>
      </c>
      <c r="K14" s="74">
        <v>3</v>
      </c>
      <c r="L14" s="75">
        <v>2</v>
      </c>
      <c r="M14" s="75">
        <v>2277.13</v>
      </c>
      <c r="N14" s="75"/>
      <c r="O14" s="76">
        <f t="shared" si="1"/>
        <v>2277.13</v>
      </c>
      <c r="P14" s="77">
        <v>4</v>
      </c>
      <c r="Q14" s="75">
        <v>4</v>
      </c>
      <c r="R14" s="75">
        <v>3</v>
      </c>
      <c r="S14" s="75">
        <v>1800.7</v>
      </c>
      <c r="T14" s="75"/>
      <c r="U14" s="76">
        <f t="shared" si="2"/>
        <v>1800.7</v>
      </c>
    </row>
    <row r="15" spans="1:21" ht="18" customHeight="1" x14ac:dyDescent="0.25">
      <c r="A15" s="90">
        <v>9</v>
      </c>
      <c r="B15" s="70">
        <f t="shared" si="3"/>
        <v>6</v>
      </c>
      <c r="C15" s="10" t="s">
        <v>23</v>
      </c>
      <c r="D15" s="15" t="s">
        <v>124</v>
      </c>
      <c r="E15" s="71"/>
      <c r="F15" s="17" t="s">
        <v>106</v>
      </c>
      <c r="G15" s="72" t="s">
        <v>142</v>
      </c>
      <c r="H15" s="73">
        <v>10</v>
      </c>
      <c r="I15" s="74">
        <v>5</v>
      </c>
      <c r="J15" s="74">
        <v>5</v>
      </c>
      <c r="K15" s="74">
        <v>5</v>
      </c>
      <c r="L15" s="75">
        <v>3</v>
      </c>
      <c r="M15" s="75">
        <v>3475.33</v>
      </c>
      <c r="N15" s="75"/>
      <c r="O15" s="76">
        <f t="shared" si="1"/>
        <v>3475.33</v>
      </c>
      <c r="P15" s="77">
        <v>10</v>
      </c>
      <c r="Q15" s="75">
        <v>10</v>
      </c>
      <c r="R15" s="75">
        <v>8</v>
      </c>
      <c r="S15" s="75">
        <v>9375.69</v>
      </c>
      <c r="T15" s="75">
        <v>4569.41</v>
      </c>
      <c r="U15" s="76">
        <f t="shared" si="2"/>
        <v>4806.2800000000007</v>
      </c>
    </row>
    <row r="16" spans="1:21" ht="18" customHeight="1" x14ac:dyDescent="0.25">
      <c r="A16" s="90">
        <v>3</v>
      </c>
      <c r="B16" s="70">
        <f t="shared" si="3"/>
        <v>7</v>
      </c>
      <c r="C16" s="10" t="s">
        <v>133</v>
      </c>
      <c r="D16" s="15" t="s">
        <v>124</v>
      </c>
      <c r="E16" s="71"/>
      <c r="F16" s="17" t="s">
        <v>106</v>
      </c>
      <c r="G16" s="72" t="s">
        <v>143</v>
      </c>
      <c r="H16" s="73"/>
      <c r="I16" s="74"/>
      <c r="J16" s="74"/>
      <c r="K16" s="74"/>
      <c r="L16" s="75"/>
      <c r="M16" s="75"/>
      <c r="N16" s="75"/>
      <c r="O16" s="76">
        <f t="shared" si="1"/>
        <v>0</v>
      </c>
      <c r="P16" s="77"/>
      <c r="Q16" s="75"/>
      <c r="R16" s="75"/>
      <c r="S16" s="75"/>
      <c r="T16" s="75"/>
      <c r="U16" s="76">
        <f t="shared" si="2"/>
        <v>0</v>
      </c>
    </row>
    <row r="17" spans="1:21" ht="18" customHeight="1" x14ac:dyDescent="0.25">
      <c r="A17" s="90">
        <v>5</v>
      </c>
      <c r="B17" s="70">
        <f t="shared" si="3"/>
        <v>8</v>
      </c>
      <c r="C17" s="10" t="s">
        <v>24</v>
      </c>
      <c r="D17" s="15" t="s">
        <v>124</v>
      </c>
      <c r="E17" s="71"/>
      <c r="F17" s="17" t="s">
        <v>109</v>
      </c>
      <c r="G17" s="72" t="s">
        <v>144</v>
      </c>
      <c r="H17" s="73">
        <v>5</v>
      </c>
      <c r="I17" s="74"/>
      <c r="J17" s="74"/>
      <c r="K17" s="74"/>
      <c r="L17" s="75"/>
      <c r="M17" s="75"/>
      <c r="N17" s="75"/>
      <c r="O17" s="76">
        <f t="shared" si="1"/>
        <v>0</v>
      </c>
      <c r="P17" s="77"/>
      <c r="Q17" s="75"/>
      <c r="R17" s="75"/>
      <c r="S17" s="75"/>
      <c r="T17" s="75"/>
      <c r="U17" s="76">
        <f t="shared" si="2"/>
        <v>0</v>
      </c>
    </row>
    <row r="18" spans="1:21" ht="18" customHeight="1" x14ac:dyDescent="0.25">
      <c r="A18" s="90">
        <v>10</v>
      </c>
      <c r="B18" s="70">
        <f t="shared" si="3"/>
        <v>9</v>
      </c>
      <c r="C18" s="10" t="s">
        <v>25</v>
      </c>
      <c r="D18" s="15" t="s">
        <v>124</v>
      </c>
      <c r="E18" s="71"/>
      <c r="F18" s="18" t="s">
        <v>110</v>
      </c>
      <c r="G18" s="72" t="s">
        <v>145</v>
      </c>
      <c r="H18" s="73">
        <v>1</v>
      </c>
      <c r="I18" s="74"/>
      <c r="J18" s="74"/>
      <c r="K18" s="74"/>
      <c r="L18" s="75"/>
      <c r="M18" s="75"/>
      <c r="N18" s="75"/>
      <c r="O18" s="76">
        <f t="shared" si="1"/>
        <v>0</v>
      </c>
      <c r="P18" s="77">
        <v>3</v>
      </c>
      <c r="Q18" s="75">
        <v>3</v>
      </c>
      <c r="R18" s="75">
        <v>3</v>
      </c>
      <c r="S18" s="75">
        <v>14748.55</v>
      </c>
      <c r="T18" s="75"/>
      <c r="U18" s="76">
        <f t="shared" si="2"/>
        <v>14748.55</v>
      </c>
    </row>
    <row r="19" spans="1:21" ht="18" customHeight="1" x14ac:dyDescent="0.25">
      <c r="A19" s="90">
        <v>11</v>
      </c>
      <c r="B19" s="70">
        <f t="shared" si="3"/>
        <v>10</v>
      </c>
      <c r="C19" s="12" t="s">
        <v>26</v>
      </c>
      <c r="D19" s="15" t="s">
        <v>124</v>
      </c>
      <c r="E19" s="71"/>
      <c r="F19" s="19" t="s">
        <v>107</v>
      </c>
      <c r="G19" s="72" t="s">
        <v>146</v>
      </c>
      <c r="H19" s="73">
        <v>13</v>
      </c>
      <c r="I19" s="74">
        <v>4</v>
      </c>
      <c r="J19" s="74">
        <v>6</v>
      </c>
      <c r="K19" s="74">
        <v>6</v>
      </c>
      <c r="L19" s="75">
        <v>5</v>
      </c>
      <c r="M19" s="75">
        <v>1744.9</v>
      </c>
      <c r="N19" s="75">
        <v>749.29</v>
      </c>
      <c r="O19" s="76">
        <f t="shared" si="1"/>
        <v>995.61000000000013</v>
      </c>
      <c r="P19" s="77">
        <v>10</v>
      </c>
      <c r="Q19" s="75">
        <v>10</v>
      </c>
      <c r="R19" s="75">
        <v>7</v>
      </c>
      <c r="S19" s="75">
        <v>12589.36</v>
      </c>
      <c r="T19" s="75">
        <v>9246.57</v>
      </c>
      <c r="U19" s="76">
        <f t="shared" si="2"/>
        <v>3342.7900000000009</v>
      </c>
    </row>
    <row r="20" spans="1:21" ht="18" customHeight="1" x14ac:dyDescent="0.25">
      <c r="A20" s="90">
        <v>12</v>
      </c>
      <c r="B20" s="70">
        <f t="shared" si="3"/>
        <v>11</v>
      </c>
      <c r="C20" s="11" t="s">
        <v>27</v>
      </c>
      <c r="D20" s="15" t="s">
        <v>124</v>
      </c>
      <c r="E20" s="71"/>
      <c r="F20" s="17" t="s">
        <v>111</v>
      </c>
      <c r="G20" s="72" t="s">
        <v>147</v>
      </c>
      <c r="H20" s="73">
        <v>7</v>
      </c>
      <c r="I20" s="74">
        <v>3</v>
      </c>
      <c r="J20" s="74">
        <v>3</v>
      </c>
      <c r="K20" s="74">
        <v>3</v>
      </c>
      <c r="L20" s="75"/>
      <c r="M20" s="75"/>
      <c r="N20" s="75"/>
      <c r="O20" s="76">
        <f t="shared" si="1"/>
        <v>0</v>
      </c>
      <c r="P20" s="77">
        <v>19</v>
      </c>
      <c r="Q20" s="75">
        <v>17</v>
      </c>
      <c r="R20" s="75">
        <v>13</v>
      </c>
      <c r="S20" s="75">
        <v>14391.07</v>
      </c>
      <c r="T20" s="75">
        <v>14391.07</v>
      </c>
      <c r="U20" s="76">
        <f t="shared" si="2"/>
        <v>0</v>
      </c>
    </row>
    <row r="21" spans="1:21" ht="18" customHeight="1" x14ac:dyDescent="0.25">
      <c r="A21" s="90">
        <v>13</v>
      </c>
      <c r="B21" s="70">
        <f t="shared" si="3"/>
        <v>12</v>
      </c>
      <c r="C21" s="10" t="s">
        <v>28</v>
      </c>
      <c r="D21" s="15" t="s">
        <v>124</v>
      </c>
      <c r="E21" s="71"/>
      <c r="F21" s="17" t="s">
        <v>106</v>
      </c>
      <c r="G21" s="72" t="s">
        <v>148</v>
      </c>
      <c r="H21" s="73">
        <v>4</v>
      </c>
      <c r="I21" s="74">
        <v>2</v>
      </c>
      <c r="J21" s="74">
        <v>2</v>
      </c>
      <c r="K21" s="74">
        <v>2</v>
      </c>
      <c r="L21" s="75">
        <v>1</v>
      </c>
      <c r="M21" s="75"/>
      <c r="N21" s="75"/>
      <c r="O21" s="76">
        <f t="shared" si="1"/>
        <v>0</v>
      </c>
      <c r="P21" s="77">
        <v>4</v>
      </c>
      <c r="Q21" s="75">
        <v>4</v>
      </c>
      <c r="R21" s="75">
        <v>2</v>
      </c>
      <c r="S21" s="75">
        <v>5005.45</v>
      </c>
      <c r="T21" s="75">
        <v>1928.2</v>
      </c>
      <c r="U21" s="76">
        <f t="shared" si="2"/>
        <v>3077.25</v>
      </c>
    </row>
    <row r="22" spans="1:21" ht="18" customHeight="1" x14ac:dyDescent="0.25">
      <c r="A22" s="90">
        <v>14</v>
      </c>
      <c r="B22" s="70">
        <f t="shared" si="3"/>
        <v>13</v>
      </c>
      <c r="C22" s="10" t="s">
        <v>29</v>
      </c>
      <c r="D22" s="15" t="s">
        <v>124</v>
      </c>
      <c r="E22" s="71"/>
      <c r="F22" s="20" t="s">
        <v>112</v>
      </c>
      <c r="G22" s="72" t="s">
        <v>149</v>
      </c>
      <c r="H22" s="73">
        <v>23</v>
      </c>
      <c r="I22" s="74">
        <v>8</v>
      </c>
      <c r="J22" s="74">
        <v>9</v>
      </c>
      <c r="K22" s="74">
        <v>9</v>
      </c>
      <c r="L22" s="75">
        <v>1</v>
      </c>
      <c r="M22" s="75">
        <v>910.39</v>
      </c>
      <c r="N22" s="75">
        <v>910.39</v>
      </c>
      <c r="O22" s="76">
        <f t="shared" si="1"/>
        <v>0</v>
      </c>
      <c r="P22" s="77">
        <v>15</v>
      </c>
      <c r="Q22" s="75">
        <v>15</v>
      </c>
      <c r="R22" s="75">
        <v>13</v>
      </c>
      <c r="S22" s="75">
        <v>16007.48</v>
      </c>
      <c r="T22" s="75">
        <v>14006.59</v>
      </c>
      <c r="U22" s="76">
        <f t="shared" si="2"/>
        <v>2000.8899999999994</v>
      </c>
    </row>
    <row r="23" spans="1:21" ht="18" customHeight="1" x14ac:dyDescent="0.25">
      <c r="A23" s="90">
        <v>15</v>
      </c>
      <c r="B23" s="70">
        <f t="shared" si="3"/>
        <v>14</v>
      </c>
      <c r="C23" s="12" t="s">
        <v>30</v>
      </c>
      <c r="D23" s="15" t="s">
        <v>124</v>
      </c>
      <c r="E23" s="71"/>
      <c r="F23" s="19" t="s">
        <v>111</v>
      </c>
      <c r="G23" s="72" t="s">
        <v>150</v>
      </c>
      <c r="H23" s="73">
        <v>5</v>
      </c>
      <c r="I23" s="74">
        <v>3</v>
      </c>
      <c r="J23" s="74">
        <v>3</v>
      </c>
      <c r="K23" s="74">
        <v>3</v>
      </c>
      <c r="L23" s="75">
        <v>2</v>
      </c>
      <c r="M23" s="75">
        <v>1852.03</v>
      </c>
      <c r="N23" s="75">
        <v>1852.03</v>
      </c>
      <c r="O23" s="76">
        <f t="shared" si="1"/>
        <v>0</v>
      </c>
      <c r="P23" s="77">
        <v>10</v>
      </c>
      <c r="Q23" s="75">
        <v>10</v>
      </c>
      <c r="R23" s="75">
        <v>9</v>
      </c>
      <c r="S23" s="75">
        <v>23953.14</v>
      </c>
      <c r="T23" s="75">
        <v>13330.21</v>
      </c>
      <c r="U23" s="76">
        <f t="shared" si="2"/>
        <v>10622.93</v>
      </c>
    </row>
    <row r="24" spans="1:21" ht="18" customHeight="1" x14ac:dyDescent="0.25">
      <c r="A24" s="90">
        <v>16</v>
      </c>
      <c r="B24" s="70">
        <f t="shared" si="3"/>
        <v>15</v>
      </c>
      <c r="C24" s="10" t="s">
        <v>31</v>
      </c>
      <c r="D24" s="15" t="s">
        <v>124</v>
      </c>
      <c r="E24" s="71"/>
      <c r="F24" s="21" t="s">
        <v>107</v>
      </c>
      <c r="G24" s="72" t="s">
        <v>151</v>
      </c>
      <c r="H24" s="73">
        <v>9</v>
      </c>
      <c r="I24" s="74">
        <v>6</v>
      </c>
      <c r="J24" s="74">
        <v>6</v>
      </c>
      <c r="K24" s="74">
        <v>5</v>
      </c>
      <c r="L24" s="75"/>
      <c r="M24" s="75"/>
      <c r="N24" s="75"/>
      <c r="O24" s="76">
        <f t="shared" si="1"/>
        <v>0</v>
      </c>
      <c r="P24" s="77">
        <v>6</v>
      </c>
      <c r="Q24" s="75">
        <v>6</v>
      </c>
      <c r="R24" s="75">
        <v>4</v>
      </c>
      <c r="S24" s="75">
        <v>5152.71</v>
      </c>
      <c r="T24" s="75">
        <v>274.60000000000002</v>
      </c>
      <c r="U24" s="76">
        <f t="shared" si="2"/>
        <v>4878.1099999999997</v>
      </c>
    </row>
    <row r="25" spans="1:21" ht="18" customHeight="1" x14ac:dyDescent="0.25">
      <c r="A25" s="90">
        <v>17</v>
      </c>
      <c r="B25" s="70">
        <f t="shared" si="3"/>
        <v>16</v>
      </c>
      <c r="C25" s="13" t="s">
        <v>32</v>
      </c>
      <c r="D25" s="15" t="s">
        <v>124</v>
      </c>
      <c r="E25" s="71"/>
      <c r="F25" s="17" t="s">
        <v>106</v>
      </c>
      <c r="G25" s="72" t="s">
        <v>152</v>
      </c>
      <c r="H25" s="73">
        <v>8</v>
      </c>
      <c r="I25" s="74">
        <v>2</v>
      </c>
      <c r="J25" s="74">
        <v>2</v>
      </c>
      <c r="K25" s="74">
        <v>2</v>
      </c>
      <c r="L25" s="75">
        <v>2</v>
      </c>
      <c r="M25" s="75">
        <v>2255.39</v>
      </c>
      <c r="N25" s="75">
        <v>2255.39</v>
      </c>
      <c r="O25" s="76">
        <f t="shared" si="1"/>
        <v>0</v>
      </c>
      <c r="P25" s="77">
        <v>15</v>
      </c>
      <c r="Q25" s="75">
        <v>15</v>
      </c>
      <c r="R25" s="75">
        <v>15</v>
      </c>
      <c r="S25" s="75">
        <v>17792.25</v>
      </c>
      <c r="T25" s="75">
        <v>14484.31</v>
      </c>
      <c r="U25" s="76">
        <f t="shared" si="2"/>
        <v>3307.9400000000005</v>
      </c>
    </row>
    <row r="26" spans="1:21" ht="18" customHeight="1" x14ac:dyDescent="0.25">
      <c r="A26" s="90">
        <v>18</v>
      </c>
      <c r="B26" s="70">
        <f t="shared" si="3"/>
        <v>17</v>
      </c>
      <c r="C26" s="10" t="s">
        <v>33</v>
      </c>
      <c r="D26" s="15" t="s">
        <v>124</v>
      </c>
      <c r="E26" s="71"/>
      <c r="F26" s="17" t="s">
        <v>106</v>
      </c>
      <c r="G26" s="72" t="s">
        <v>153</v>
      </c>
      <c r="H26" s="73">
        <v>8</v>
      </c>
      <c r="I26" s="74"/>
      <c r="J26" s="74"/>
      <c r="K26" s="74"/>
      <c r="L26" s="75"/>
      <c r="M26" s="75"/>
      <c r="N26" s="75"/>
      <c r="O26" s="76">
        <f t="shared" si="1"/>
        <v>0</v>
      </c>
      <c r="P26" s="77"/>
      <c r="Q26" s="75"/>
      <c r="R26" s="75"/>
      <c r="S26" s="75"/>
      <c r="T26" s="75"/>
      <c r="U26" s="76">
        <f t="shared" si="2"/>
        <v>0</v>
      </c>
    </row>
    <row r="27" spans="1:21" ht="18" customHeight="1" x14ac:dyDescent="0.25">
      <c r="A27" s="90">
        <v>19</v>
      </c>
      <c r="B27" s="70">
        <f t="shared" si="3"/>
        <v>18</v>
      </c>
      <c r="C27" s="10" t="s">
        <v>34</v>
      </c>
      <c r="D27" s="15" t="s">
        <v>124</v>
      </c>
      <c r="E27" s="71"/>
      <c r="F27" s="17" t="s">
        <v>113</v>
      </c>
      <c r="G27" s="72" t="s">
        <v>154</v>
      </c>
      <c r="H27" s="73">
        <v>10</v>
      </c>
      <c r="I27" s="74">
        <v>5</v>
      </c>
      <c r="J27" s="74">
        <v>9</v>
      </c>
      <c r="K27" s="74">
        <v>9</v>
      </c>
      <c r="L27" s="75">
        <v>6</v>
      </c>
      <c r="M27" s="75">
        <v>2738.38</v>
      </c>
      <c r="N27" s="75"/>
      <c r="O27" s="76">
        <f t="shared" si="1"/>
        <v>2738.38</v>
      </c>
      <c r="P27" s="77">
        <v>12</v>
      </c>
      <c r="Q27" s="75">
        <v>12</v>
      </c>
      <c r="R27" s="75">
        <v>11</v>
      </c>
      <c r="S27" s="75">
        <v>11399.36</v>
      </c>
      <c r="T27" s="75">
        <v>3370.97</v>
      </c>
      <c r="U27" s="76">
        <f t="shared" si="2"/>
        <v>8028.3900000000012</v>
      </c>
    </row>
    <row r="28" spans="1:21" ht="18" customHeight="1" x14ac:dyDescent="0.25">
      <c r="A28" s="90"/>
      <c r="B28" s="70">
        <f t="shared" si="3"/>
        <v>19</v>
      </c>
      <c r="C28" s="10" t="s">
        <v>35</v>
      </c>
      <c r="D28" s="15" t="s">
        <v>124</v>
      </c>
      <c r="E28" s="71"/>
      <c r="F28" s="17" t="s">
        <v>105</v>
      </c>
      <c r="G28" s="72" t="s">
        <v>228</v>
      </c>
      <c r="H28" s="73"/>
      <c r="I28" s="74"/>
      <c r="J28" s="74"/>
      <c r="K28" s="74"/>
      <c r="L28" s="75"/>
      <c r="M28" s="75"/>
      <c r="N28" s="75"/>
      <c r="O28" s="76">
        <f t="shared" si="1"/>
        <v>0</v>
      </c>
      <c r="P28" s="77"/>
      <c r="Q28" s="75"/>
      <c r="R28" s="75"/>
      <c r="S28" s="75"/>
      <c r="T28" s="75"/>
      <c r="U28" s="76">
        <f t="shared" si="2"/>
        <v>0</v>
      </c>
    </row>
    <row r="29" spans="1:21" ht="18" customHeight="1" x14ac:dyDescent="0.25">
      <c r="A29" s="90">
        <v>21</v>
      </c>
      <c r="B29" s="70">
        <f t="shared" si="3"/>
        <v>20</v>
      </c>
      <c r="C29" s="12" t="s">
        <v>36</v>
      </c>
      <c r="D29" s="15" t="s">
        <v>124</v>
      </c>
      <c r="E29" s="71"/>
      <c r="F29" s="19" t="s">
        <v>114</v>
      </c>
      <c r="G29" s="72" t="s">
        <v>155</v>
      </c>
      <c r="H29" s="73">
        <v>10</v>
      </c>
      <c r="I29" s="74">
        <v>7</v>
      </c>
      <c r="J29" s="74">
        <v>8</v>
      </c>
      <c r="K29" s="74">
        <v>8</v>
      </c>
      <c r="L29" s="75">
        <v>4</v>
      </c>
      <c r="M29" s="75">
        <v>2023.14</v>
      </c>
      <c r="N29" s="75">
        <v>358.28</v>
      </c>
      <c r="O29" s="76">
        <f t="shared" si="1"/>
        <v>1664.8600000000001</v>
      </c>
      <c r="P29" s="77">
        <v>11</v>
      </c>
      <c r="Q29" s="75">
        <v>10</v>
      </c>
      <c r="R29" s="75">
        <v>9</v>
      </c>
      <c r="S29" s="75">
        <v>15185.09</v>
      </c>
      <c r="T29" s="75">
        <v>15185.09</v>
      </c>
      <c r="U29" s="76">
        <f t="shared" si="2"/>
        <v>0</v>
      </c>
    </row>
    <row r="30" spans="1:21" ht="18" customHeight="1" x14ac:dyDescent="0.25">
      <c r="A30" s="90">
        <v>22</v>
      </c>
      <c r="B30" s="70">
        <f t="shared" si="3"/>
        <v>21</v>
      </c>
      <c r="C30" s="11" t="s">
        <v>37</v>
      </c>
      <c r="D30" s="15" t="s">
        <v>124</v>
      </c>
      <c r="E30" s="71"/>
      <c r="F30" s="17" t="s">
        <v>108</v>
      </c>
      <c r="G30" s="72" t="s">
        <v>156</v>
      </c>
      <c r="H30" s="73">
        <v>8</v>
      </c>
      <c r="I30" s="74">
        <v>4</v>
      </c>
      <c r="J30" s="74">
        <v>5</v>
      </c>
      <c r="K30" s="74">
        <v>5</v>
      </c>
      <c r="L30" s="75"/>
      <c r="M30" s="75"/>
      <c r="N30" s="75"/>
      <c r="O30" s="76">
        <f t="shared" si="1"/>
        <v>0</v>
      </c>
      <c r="P30" s="77">
        <v>14</v>
      </c>
      <c r="Q30" s="75">
        <v>14</v>
      </c>
      <c r="R30" s="75">
        <v>6</v>
      </c>
      <c r="S30" s="75">
        <v>7176.8</v>
      </c>
      <c r="T30" s="75">
        <v>5755.74</v>
      </c>
      <c r="U30" s="76">
        <f t="shared" si="2"/>
        <v>1421.0600000000004</v>
      </c>
    </row>
    <row r="31" spans="1:21" ht="18" customHeight="1" x14ac:dyDescent="0.25">
      <c r="A31" s="90"/>
      <c r="B31" s="70"/>
      <c r="C31" s="11" t="s">
        <v>242</v>
      </c>
      <c r="D31" s="15" t="s">
        <v>124</v>
      </c>
      <c r="E31" s="71"/>
      <c r="F31" s="17" t="s">
        <v>117</v>
      </c>
      <c r="G31" s="72"/>
      <c r="H31" s="73">
        <v>1</v>
      </c>
      <c r="I31" s="74"/>
      <c r="J31" s="74"/>
      <c r="K31" s="74"/>
      <c r="L31" s="75"/>
      <c r="M31" s="75"/>
      <c r="N31" s="75"/>
      <c r="O31" s="76"/>
      <c r="P31" s="77"/>
      <c r="Q31" s="75"/>
      <c r="R31" s="75"/>
      <c r="S31" s="75"/>
      <c r="T31" s="75"/>
      <c r="U31" s="76"/>
    </row>
    <row r="32" spans="1:21" ht="18" customHeight="1" x14ac:dyDescent="0.25">
      <c r="A32" s="90">
        <v>23</v>
      </c>
      <c r="B32" s="70">
        <f>B30+1</f>
        <v>22</v>
      </c>
      <c r="C32" s="11" t="s">
        <v>38</v>
      </c>
      <c r="D32" s="15" t="s">
        <v>124</v>
      </c>
      <c r="E32" s="71"/>
      <c r="F32" s="17" t="s">
        <v>106</v>
      </c>
      <c r="G32" s="72" t="s">
        <v>157</v>
      </c>
      <c r="H32" s="73">
        <v>4</v>
      </c>
      <c r="I32" s="74"/>
      <c r="J32" s="74"/>
      <c r="K32" s="74"/>
      <c r="L32" s="75"/>
      <c r="M32" s="75"/>
      <c r="N32" s="75"/>
      <c r="O32" s="76">
        <f t="shared" si="1"/>
        <v>0</v>
      </c>
      <c r="P32" s="77">
        <v>1</v>
      </c>
      <c r="Q32" s="75">
        <v>1</v>
      </c>
      <c r="R32" s="75">
        <v>1</v>
      </c>
      <c r="S32" s="75">
        <v>442.37</v>
      </c>
      <c r="T32" s="75">
        <v>442.37</v>
      </c>
      <c r="U32" s="76">
        <f t="shared" si="2"/>
        <v>0</v>
      </c>
    </row>
    <row r="33" spans="1:23" ht="18" customHeight="1" x14ac:dyDescent="0.25">
      <c r="A33" s="90"/>
      <c r="B33" s="70">
        <f t="shared" si="3"/>
        <v>23</v>
      </c>
      <c r="C33" s="10" t="s">
        <v>39</v>
      </c>
      <c r="D33" s="15" t="s">
        <v>124</v>
      </c>
      <c r="E33" s="71"/>
      <c r="F33" s="10" t="s">
        <v>105</v>
      </c>
      <c r="G33" s="72" t="s">
        <v>220</v>
      </c>
      <c r="H33" s="73"/>
      <c r="I33" s="74"/>
      <c r="J33" s="74"/>
      <c r="K33" s="74"/>
      <c r="L33" s="75"/>
      <c r="M33" s="75"/>
      <c r="N33" s="75"/>
      <c r="O33" s="76">
        <f t="shared" si="1"/>
        <v>0</v>
      </c>
      <c r="P33" s="77"/>
      <c r="Q33" s="75"/>
      <c r="R33" s="75"/>
      <c r="S33" s="75"/>
      <c r="T33" s="75"/>
      <c r="U33" s="76">
        <f t="shared" si="2"/>
        <v>0</v>
      </c>
    </row>
    <row r="34" spans="1:23" ht="18" customHeight="1" x14ac:dyDescent="0.25">
      <c r="A34" s="90">
        <v>86</v>
      </c>
      <c r="B34" s="70">
        <f t="shared" si="3"/>
        <v>24</v>
      </c>
      <c r="C34" s="10" t="s">
        <v>137</v>
      </c>
      <c r="D34" s="15" t="s">
        <v>124</v>
      </c>
      <c r="E34" s="71"/>
      <c r="F34" s="17" t="s">
        <v>106</v>
      </c>
      <c r="G34" s="72" t="s">
        <v>158</v>
      </c>
      <c r="H34" s="73">
        <v>6</v>
      </c>
      <c r="I34" s="74">
        <v>1</v>
      </c>
      <c r="J34" s="74">
        <v>1</v>
      </c>
      <c r="K34" s="74">
        <v>1</v>
      </c>
      <c r="L34" s="75"/>
      <c r="M34" s="75"/>
      <c r="N34" s="75"/>
      <c r="O34" s="76">
        <f t="shared" si="1"/>
        <v>0</v>
      </c>
      <c r="P34" s="77"/>
      <c r="Q34" s="75"/>
      <c r="R34" s="75"/>
      <c r="S34" s="75"/>
      <c r="T34" s="75"/>
      <c r="U34" s="76">
        <f t="shared" si="2"/>
        <v>0</v>
      </c>
    </row>
    <row r="35" spans="1:23" ht="18" customHeight="1" x14ac:dyDescent="0.25">
      <c r="A35" s="90">
        <v>24</v>
      </c>
      <c r="B35" s="70">
        <f t="shared" si="3"/>
        <v>25</v>
      </c>
      <c r="C35" s="12" t="s">
        <v>40</v>
      </c>
      <c r="D35" s="15" t="s">
        <v>124</v>
      </c>
      <c r="E35" s="71"/>
      <c r="F35" s="19" t="s">
        <v>115</v>
      </c>
      <c r="G35" s="72" t="s">
        <v>159</v>
      </c>
      <c r="H35" s="73">
        <v>7</v>
      </c>
      <c r="I35" s="74">
        <v>3</v>
      </c>
      <c r="J35" s="74">
        <v>6</v>
      </c>
      <c r="K35" s="74">
        <v>6</v>
      </c>
      <c r="L35" s="75">
        <v>3</v>
      </c>
      <c r="M35" s="75">
        <v>1580.26</v>
      </c>
      <c r="N35" s="75">
        <v>1580.26</v>
      </c>
      <c r="O35" s="76">
        <f t="shared" si="1"/>
        <v>0</v>
      </c>
      <c r="P35" s="77">
        <v>2</v>
      </c>
      <c r="Q35" s="75">
        <v>2</v>
      </c>
      <c r="R35" s="75">
        <v>2</v>
      </c>
      <c r="S35" s="75">
        <v>872.59</v>
      </c>
      <c r="T35" s="75">
        <v>872.59</v>
      </c>
      <c r="U35" s="76">
        <f t="shared" si="2"/>
        <v>0</v>
      </c>
    </row>
    <row r="36" spans="1:23" ht="18" customHeight="1" x14ac:dyDescent="0.25">
      <c r="A36" s="90">
        <v>25</v>
      </c>
      <c r="B36" s="70">
        <f t="shared" si="3"/>
        <v>26</v>
      </c>
      <c r="C36" s="11" t="s">
        <v>41</v>
      </c>
      <c r="D36" s="15" t="s">
        <v>124</v>
      </c>
      <c r="E36" s="71"/>
      <c r="F36" s="17" t="s">
        <v>106</v>
      </c>
      <c r="G36" s="72" t="s">
        <v>160</v>
      </c>
      <c r="H36" s="73">
        <v>5</v>
      </c>
      <c r="I36" s="74">
        <v>2</v>
      </c>
      <c r="J36" s="74">
        <v>3</v>
      </c>
      <c r="K36" s="74">
        <v>3</v>
      </c>
      <c r="L36" s="75">
        <v>2</v>
      </c>
      <c r="M36" s="75">
        <v>738.32</v>
      </c>
      <c r="N36" s="75"/>
      <c r="O36" s="76">
        <f t="shared" si="1"/>
        <v>738.32</v>
      </c>
      <c r="P36" s="77">
        <v>7</v>
      </c>
      <c r="Q36" s="75">
        <v>7</v>
      </c>
      <c r="R36" s="75">
        <v>6</v>
      </c>
      <c r="S36" s="75">
        <v>7876.12</v>
      </c>
      <c r="T36" s="75"/>
      <c r="U36" s="76">
        <f t="shared" si="2"/>
        <v>7876.12</v>
      </c>
    </row>
    <row r="37" spans="1:23" ht="18" customHeight="1" x14ac:dyDescent="0.25">
      <c r="A37" s="90">
        <v>87</v>
      </c>
      <c r="B37" s="70">
        <f t="shared" si="3"/>
        <v>27</v>
      </c>
      <c r="C37" s="13" t="s">
        <v>42</v>
      </c>
      <c r="D37" s="15" t="s">
        <v>124</v>
      </c>
      <c r="E37" s="71"/>
      <c r="F37" s="17" t="s">
        <v>106</v>
      </c>
      <c r="G37" s="72" t="s">
        <v>221</v>
      </c>
      <c r="H37" s="73">
        <v>1</v>
      </c>
      <c r="I37" s="74"/>
      <c r="J37" s="74"/>
      <c r="K37" s="74"/>
      <c r="L37" s="75"/>
      <c r="M37" s="75"/>
      <c r="N37" s="75"/>
      <c r="O37" s="76">
        <f t="shared" si="1"/>
        <v>0</v>
      </c>
      <c r="P37" s="77">
        <v>4</v>
      </c>
      <c r="Q37" s="75">
        <v>4</v>
      </c>
      <c r="R37" s="75">
        <v>3</v>
      </c>
      <c r="S37" s="75">
        <v>1436.08</v>
      </c>
      <c r="T37" s="75">
        <v>1436.08</v>
      </c>
      <c r="U37" s="76">
        <f t="shared" si="2"/>
        <v>0</v>
      </c>
    </row>
    <row r="38" spans="1:23" ht="18" customHeight="1" x14ac:dyDescent="0.25">
      <c r="A38" s="90">
        <v>26</v>
      </c>
      <c r="B38" s="70">
        <f t="shared" si="3"/>
        <v>28</v>
      </c>
      <c r="C38" s="13" t="s">
        <v>43</v>
      </c>
      <c r="D38" s="15" t="s">
        <v>124</v>
      </c>
      <c r="E38" s="71"/>
      <c r="F38" s="17" t="s">
        <v>106</v>
      </c>
      <c r="G38" s="72" t="s">
        <v>161</v>
      </c>
      <c r="H38" s="73">
        <v>5</v>
      </c>
      <c r="I38" s="74">
        <v>2</v>
      </c>
      <c r="J38" s="74">
        <v>2</v>
      </c>
      <c r="K38" s="74">
        <v>2</v>
      </c>
      <c r="L38" s="75">
        <v>2</v>
      </c>
      <c r="M38" s="75">
        <v>568.42999999999995</v>
      </c>
      <c r="N38" s="75">
        <v>568.42999999999995</v>
      </c>
      <c r="O38" s="76">
        <f t="shared" si="1"/>
        <v>0</v>
      </c>
      <c r="P38" s="77">
        <v>1</v>
      </c>
      <c r="Q38" s="75">
        <v>1</v>
      </c>
      <c r="R38" s="75">
        <v>1</v>
      </c>
      <c r="S38" s="75">
        <v>552.96</v>
      </c>
      <c r="T38" s="75">
        <v>552.96</v>
      </c>
      <c r="U38" s="76">
        <f t="shared" si="2"/>
        <v>0</v>
      </c>
    </row>
    <row r="39" spans="1:23" ht="18" customHeight="1" x14ac:dyDescent="0.25">
      <c r="A39" s="90">
        <v>27</v>
      </c>
      <c r="B39" s="70">
        <f t="shared" si="3"/>
        <v>29</v>
      </c>
      <c r="C39" s="11" t="s">
        <v>44</v>
      </c>
      <c r="D39" s="15" t="s">
        <v>124</v>
      </c>
      <c r="E39" s="71"/>
      <c r="F39" s="17" t="s">
        <v>105</v>
      </c>
      <c r="G39" s="72" t="s">
        <v>162</v>
      </c>
      <c r="H39" s="73">
        <v>19</v>
      </c>
      <c r="I39" s="74">
        <v>2</v>
      </c>
      <c r="J39" s="74">
        <v>4</v>
      </c>
      <c r="K39" s="74">
        <v>4</v>
      </c>
      <c r="L39" s="75">
        <v>4</v>
      </c>
      <c r="M39" s="75">
        <v>1783.68</v>
      </c>
      <c r="N39" s="75"/>
      <c r="O39" s="76">
        <f t="shared" si="1"/>
        <v>1783.68</v>
      </c>
      <c r="P39" s="77">
        <v>15</v>
      </c>
      <c r="Q39" s="75">
        <v>15</v>
      </c>
      <c r="R39" s="75">
        <v>13</v>
      </c>
      <c r="S39" s="75">
        <v>13233.81</v>
      </c>
      <c r="T39" s="75">
        <v>10213.92</v>
      </c>
      <c r="U39" s="76">
        <f t="shared" si="2"/>
        <v>3019.8899999999994</v>
      </c>
    </row>
    <row r="40" spans="1:23" ht="18" customHeight="1" x14ac:dyDescent="0.25">
      <c r="A40" s="90">
        <v>28</v>
      </c>
      <c r="B40" s="70">
        <f t="shared" si="3"/>
        <v>30</v>
      </c>
      <c r="C40" s="11" t="s">
        <v>45</v>
      </c>
      <c r="D40" s="15" t="s">
        <v>124</v>
      </c>
      <c r="E40" s="71"/>
      <c r="F40" s="17" t="s">
        <v>111</v>
      </c>
      <c r="G40" s="72" t="s">
        <v>163</v>
      </c>
      <c r="H40" s="73">
        <v>7</v>
      </c>
      <c r="I40" s="74">
        <v>3</v>
      </c>
      <c r="J40" s="74">
        <v>4</v>
      </c>
      <c r="K40" s="74">
        <v>4</v>
      </c>
      <c r="L40" s="75">
        <v>2</v>
      </c>
      <c r="M40" s="75">
        <v>821.67</v>
      </c>
      <c r="N40" s="75"/>
      <c r="O40" s="76">
        <f t="shared" si="1"/>
        <v>821.67</v>
      </c>
      <c r="P40" s="77"/>
      <c r="Q40" s="75"/>
      <c r="R40" s="75"/>
      <c r="S40" s="75"/>
      <c r="T40" s="75"/>
      <c r="U40" s="76">
        <f t="shared" si="2"/>
        <v>0</v>
      </c>
    </row>
    <row r="41" spans="1:23" ht="18" customHeight="1" x14ac:dyDescent="0.25">
      <c r="A41" s="90">
        <v>29</v>
      </c>
      <c r="B41" s="70">
        <f>B40+1</f>
        <v>31</v>
      </c>
      <c r="C41" s="10" t="s">
        <v>46</v>
      </c>
      <c r="D41" s="15" t="s">
        <v>124</v>
      </c>
      <c r="E41" s="71"/>
      <c r="F41" s="17" t="s">
        <v>106</v>
      </c>
      <c r="G41" s="72" t="s">
        <v>164</v>
      </c>
      <c r="H41" s="73">
        <v>5</v>
      </c>
      <c r="I41" s="74">
        <v>1</v>
      </c>
      <c r="J41" s="74">
        <v>1</v>
      </c>
      <c r="K41" s="74">
        <v>1</v>
      </c>
      <c r="L41" s="75">
        <v>1</v>
      </c>
      <c r="M41" s="75">
        <v>2273.6999999999998</v>
      </c>
      <c r="N41" s="75"/>
      <c r="O41" s="76">
        <f t="shared" si="1"/>
        <v>2273.6999999999998</v>
      </c>
      <c r="P41" s="77">
        <v>2</v>
      </c>
      <c r="Q41" s="75">
        <v>2</v>
      </c>
      <c r="R41" s="75">
        <v>2</v>
      </c>
      <c r="S41" s="75">
        <v>3996.7</v>
      </c>
      <c r="T41" s="75">
        <v>3996.7</v>
      </c>
      <c r="U41" s="76">
        <f t="shared" si="2"/>
        <v>0</v>
      </c>
    </row>
    <row r="42" spans="1:23" ht="18" customHeight="1" x14ac:dyDescent="0.25">
      <c r="A42" s="90">
        <v>30</v>
      </c>
      <c r="B42" s="70">
        <f t="shared" si="3"/>
        <v>32</v>
      </c>
      <c r="C42" s="10" t="s">
        <v>47</v>
      </c>
      <c r="D42" s="15" t="s">
        <v>124</v>
      </c>
      <c r="E42" s="71"/>
      <c r="F42" s="17" t="s">
        <v>116</v>
      </c>
      <c r="G42" s="72" t="s">
        <v>165</v>
      </c>
      <c r="H42" s="73">
        <v>7</v>
      </c>
      <c r="I42" s="74">
        <v>3</v>
      </c>
      <c r="J42" s="74">
        <v>3</v>
      </c>
      <c r="K42" s="74">
        <v>3</v>
      </c>
      <c r="L42" s="75">
        <v>1</v>
      </c>
      <c r="M42" s="75">
        <v>1322.88</v>
      </c>
      <c r="N42" s="75">
        <v>1322.88</v>
      </c>
      <c r="O42" s="76">
        <f t="shared" si="1"/>
        <v>0</v>
      </c>
      <c r="P42" s="77">
        <v>2</v>
      </c>
      <c r="Q42" s="75">
        <v>2</v>
      </c>
      <c r="R42" s="75">
        <v>2</v>
      </c>
      <c r="S42" s="75">
        <v>1016.08</v>
      </c>
      <c r="T42" s="75">
        <v>1016.08</v>
      </c>
      <c r="U42" s="76">
        <f t="shared" si="2"/>
        <v>0</v>
      </c>
      <c r="W42">
        <f>M42+S42</f>
        <v>2338.96</v>
      </c>
    </row>
    <row r="43" spans="1:23" ht="18" customHeight="1" x14ac:dyDescent="0.25">
      <c r="A43" s="90">
        <v>32</v>
      </c>
      <c r="B43" s="70">
        <f t="shared" si="3"/>
        <v>33</v>
      </c>
      <c r="C43" s="13" t="s">
        <v>48</v>
      </c>
      <c r="D43" s="15" t="s">
        <v>124</v>
      </c>
      <c r="E43" s="71"/>
      <c r="F43" s="17" t="s">
        <v>106</v>
      </c>
      <c r="G43" s="72" t="s">
        <v>166</v>
      </c>
      <c r="H43" s="73">
        <v>4</v>
      </c>
      <c r="I43" s="74">
        <v>2</v>
      </c>
      <c r="J43" s="74">
        <v>2</v>
      </c>
      <c r="K43" s="74">
        <v>2</v>
      </c>
      <c r="L43" s="75"/>
      <c r="M43" s="75"/>
      <c r="N43" s="75"/>
      <c r="O43" s="76">
        <f t="shared" si="1"/>
        <v>0</v>
      </c>
      <c r="P43" s="77">
        <v>3</v>
      </c>
      <c r="Q43" s="75">
        <v>2</v>
      </c>
      <c r="R43" s="75">
        <v>2</v>
      </c>
      <c r="S43" s="75">
        <v>3907.41</v>
      </c>
      <c r="T43" s="75">
        <v>1733.58</v>
      </c>
      <c r="U43" s="76">
        <f t="shared" si="2"/>
        <v>2173.83</v>
      </c>
      <c r="W43">
        <f t="shared" ref="W43:W103" si="4">M43+S43</f>
        <v>3907.41</v>
      </c>
    </row>
    <row r="44" spans="1:23" ht="18" customHeight="1" x14ac:dyDescent="0.25">
      <c r="A44" s="90">
        <v>33</v>
      </c>
      <c r="B44" s="70">
        <f t="shared" si="3"/>
        <v>34</v>
      </c>
      <c r="C44" s="10" t="s">
        <v>49</v>
      </c>
      <c r="D44" s="15" t="s">
        <v>124</v>
      </c>
      <c r="E44" s="71"/>
      <c r="F44" s="17" t="s">
        <v>106</v>
      </c>
      <c r="G44" s="72" t="s">
        <v>167</v>
      </c>
      <c r="H44" s="73">
        <v>4</v>
      </c>
      <c r="I44" s="74"/>
      <c r="J44" s="74"/>
      <c r="K44" s="74"/>
      <c r="L44" s="75"/>
      <c r="M44" s="75"/>
      <c r="N44" s="75"/>
      <c r="O44" s="76">
        <f t="shared" si="1"/>
        <v>0</v>
      </c>
      <c r="P44" s="77">
        <v>4</v>
      </c>
      <c r="Q44" s="75">
        <v>4</v>
      </c>
      <c r="R44" s="75">
        <v>4</v>
      </c>
      <c r="S44" s="75">
        <v>6437</v>
      </c>
      <c r="T44" s="75">
        <v>3957.6</v>
      </c>
      <c r="U44" s="76">
        <f t="shared" si="2"/>
        <v>2479.4</v>
      </c>
      <c r="W44">
        <f t="shared" si="4"/>
        <v>6437</v>
      </c>
    </row>
    <row r="45" spans="1:23" ht="18" customHeight="1" x14ac:dyDescent="0.25">
      <c r="A45" s="90">
        <v>34</v>
      </c>
      <c r="B45" s="70">
        <f t="shared" si="3"/>
        <v>35</v>
      </c>
      <c r="C45" s="13" t="s">
        <v>50</v>
      </c>
      <c r="D45" s="15" t="s">
        <v>124</v>
      </c>
      <c r="E45" s="71"/>
      <c r="F45" s="17" t="s">
        <v>106</v>
      </c>
      <c r="G45" s="72" t="s">
        <v>168</v>
      </c>
      <c r="H45" s="73">
        <v>5</v>
      </c>
      <c r="I45" s="74">
        <v>2</v>
      </c>
      <c r="J45" s="74">
        <v>2</v>
      </c>
      <c r="K45" s="74">
        <v>2</v>
      </c>
      <c r="L45" s="75">
        <v>2</v>
      </c>
      <c r="M45" s="75">
        <v>1345.04</v>
      </c>
      <c r="N45" s="75"/>
      <c r="O45" s="76">
        <f t="shared" si="1"/>
        <v>1345.04</v>
      </c>
      <c r="P45" s="77">
        <v>3</v>
      </c>
      <c r="Q45" s="75">
        <v>3</v>
      </c>
      <c r="R45" s="75">
        <v>3</v>
      </c>
      <c r="S45" s="75">
        <v>3997.92</v>
      </c>
      <c r="T45" s="75"/>
      <c r="U45" s="76">
        <f t="shared" si="2"/>
        <v>3997.92</v>
      </c>
      <c r="W45">
        <f t="shared" si="4"/>
        <v>5342.96</v>
      </c>
    </row>
    <row r="46" spans="1:23" ht="18" customHeight="1" x14ac:dyDescent="0.25">
      <c r="A46" s="90"/>
      <c r="B46" s="70">
        <f t="shared" si="3"/>
        <v>36</v>
      </c>
      <c r="C46" s="11" t="s">
        <v>51</v>
      </c>
      <c r="D46" s="15" t="s">
        <v>124</v>
      </c>
      <c r="E46" s="71"/>
      <c r="F46" s="22" t="s">
        <v>112</v>
      </c>
      <c r="G46" s="72"/>
      <c r="H46" s="73"/>
      <c r="I46" s="74"/>
      <c r="J46" s="74"/>
      <c r="K46" s="74"/>
      <c r="L46" s="75"/>
      <c r="M46" s="75"/>
      <c r="N46" s="75"/>
      <c r="O46" s="76">
        <f t="shared" si="1"/>
        <v>0</v>
      </c>
      <c r="P46" s="77"/>
      <c r="Q46" s="75"/>
      <c r="R46" s="75"/>
      <c r="S46" s="75"/>
      <c r="T46" s="75"/>
      <c r="U46" s="76">
        <f t="shared" si="2"/>
        <v>0</v>
      </c>
      <c r="W46">
        <f t="shared" si="4"/>
        <v>0</v>
      </c>
    </row>
    <row r="47" spans="1:23" ht="18" customHeight="1" x14ac:dyDescent="0.25">
      <c r="A47" s="90">
        <v>37</v>
      </c>
      <c r="B47" s="70">
        <f t="shared" si="3"/>
        <v>37</v>
      </c>
      <c r="C47" s="11" t="s">
        <v>131</v>
      </c>
      <c r="D47" s="15" t="s">
        <v>124</v>
      </c>
      <c r="E47" s="71"/>
      <c r="F47" s="22" t="s">
        <v>106</v>
      </c>
      <c r="G47" s="72" t="s">
        <v>222</v>
      </c>
      <c r="H47" s="73">
        <v>1</v>
      </c>
      <c r="I47" s="74"/>
      <c r="J47" s="74"/>
      <c r="K47" s="74"/>
      <c r="L47" s="75"/>
      <c r="M47" s="75"/>
      <c r="N47" s="75"/>
      <c r="O47" s="76">
        <f t="shared" si="1"/>
        <v>0</v>
      </c>
      <c r="P47" s="77">
        <v>1</v>
      </c>
      <c r="Q47" s="75">
        <v>1</v>
      </c>
      <c r="R47" s="75">
        <v>1</v>
      </c>
      <c r="S47" s="75">
        <v>11787.49</v>
      </c>
      <c r="T47" s="75">
        <v>11787.49</v>
      </c>
      <c r="U47" s="76">
        <f t="shared" si="2"/>
        <v>0</v>
      </c>
      <c r="W47">
        <f t="shared" si="4"/>
        <v>11787.49</v>
      </c>
    </row>
    <row r="48" spans="1:23" ht="18" customHeight="1" x14ac:dyDescent="0.25">
      <c r="A48" s="90">
        <v>35</v>
      </c>
      <c r="B48" s="70">
        <f t="shared" si="3"/>
        <v>38</v>
      </c>
      <c r="C48" s="13" t="s">
        <v>52</v>
      </c>
      <c r="D48" s="15" t="s">
        <v>124</v>
      </c>
      <c r="E48" s="71"/>
      <c r="F48" s="17" t="s">
        <v>106</v>
      </c>
      <c r="G48" s="72" t="s">
        <v>169</v>
      </c>
      <c r="H48" s="73">
        <v>9</v>
      </c>
      <c r="I48" s="74">
        <v>2</v>
      </c>
      <c r="J48" s="74">
        <v>3</v>
      </c>
      <c r="K48" s="74">
        <v>3</v>
      </c>
      <c r="L48" s="75">
        <v>3</v>
      </c>
      <c r="M48" s="75">
        <v>2714.54</v>
      </c>
      <c r="N48" s="75">
        <v>2335.59</v>
      </c>
      <c r="O48" s="76">
        <f t="shared" si="1"/>
        <v>378.94999999999982</v>
      </c>
      <c r="P48" s="77">
        <v>1</v>
      </c>
      <c r="Q48" s="75">
        <v>1</v>
      </c>
      <c r="R48" s="75">
        <v>1</v>
      </c>
      <c r="S48" s="75">
        <v>689</v>
      </c>
      <c r="T48" s="75"/>
      <c r="U48" s="76">
        <f t="shared" si="2"/>
        <v>689</v>
      </c>
      <c r="W48">
        <f t="shared" si="4"/>
        <v>3403.54</v>
      </c>
    </row>
    <row r="49" spans="1:23" ht="18" customHeight="1" x14ac:dyDescent="0.25">
      <c r="A49" s="90">
        <v>36</v>
      </c>
      <c r="B49" s="70">
        <f t="shared" si="3"/>
        <v>39</v>
      </c>
      <c r="C49" s="10" t="s">
        <v>53</v>
      </c>
      <c r="D49" s="15" t="s">
        <v>124</v>
      </c>
      <c r="E49" s="71"/>
      <c r="F49" s="17" t="s">
        <v>105</v>
      </c>
      <c r="G49" s="72" t="s">
        <v>171</v>
      </c>
      <c r="H49" s="73">
        <v>8</v>
      </c>
      <c r="I49" s="74">
        <v>1</v>
      </c>
      <c r="J49" s="74">
        <v>1</v>
      </c>
      <c r="K49" s="74">
        <v>1</v>
      </c>
      <c r="L49" s="75"/>
      <c r="M49" s="75"/>
      <c r="N49" s="75"/>
      <c r="O49" s="76">
        <f t="shared" si="1"/>
        <v>0</v>
      </c>
      <c r="P49" s="77">
        <v>3</v>
      </c>
      <c r="Q49" s="75">
        <v>3</v>
      </c>
      <c r="R49" s="75">
        <v>2</v>
      </c>
      <c r="S49" s="75">
        <v>2800.4</v>
      </c>
      <c r="T49" s="75"/>
      <c r="U49" s="76">
        <f t="shared" si="2"/>
        <v>2800.4</v>
      </c>
      <c r="W49">
        <f t="shared" si="4"/>
        <v>2800.4</v>
      </c>
    </row>
    <row r="50" spans="1:23" ht="18" customHeight="1" x14ac:dyDescent="0.25">
      <c r="A50" s="90">
        <v>38</v>
      </c>
      <c r="B50" s="70">
        <f t="shared" si="3"/>
        <v>40</v>
      </c>
      <c r="C50" s="10" t="s">
        <v>54</v>
      </c>
      <c r="D50" s="15" t="s">
        <v>124</v>
      </c>
      <c r="E50" s="71"/>
      <c r="F50" s="17" t="s">
        <v>106</v>
      </c>
      <c r="G50" s="72" t="s">
        <v>172</v>
      </c>
      <c r="H50" s="73">
        <v>6</v>
      </c>
      <c r="I50" s="74">
        <v>1</v>
      </c>
      <c r="J50" s="74">
        <v>1</v>
      </c>
      <c r="K50" s="74">
        <v>1</v>
      </c>
      <c r="L50" s="75"/>
      <c r="M50" s="75"/>
      <c r="N50" s="75"/>
      <c r="O50" s="76">
        <f t="shared" si="1"/>
        <v>0</v>
      </c>
      <c r="P50" s="77">
        <v>5</v>
      </c>
      <c r="Q50" s="75">
        <v>5</v>
      </c>
      <c r="R50" s="75">
        <v>3</v>
      </c>
      <c r="S50" s="75">
        <v>4105.0600000000004</v>
      </c>
      <c r="T50" s="75"/>
      <c r="U50" s="76">
        <f t="shared" si="2"/>
        <v>4105.0600000000004</v>
      </c>
      <c r="W50">
        <f t="shared" si="4"/>
        <v>4105.0600000000004</v>
      </c>
    </row>
    <row r="51" spans="1:23" ht="18" customHeight="1" x14ac:dyDescent="0.25">
      <c r="A51" s="90">
        <v>39</v>
      </c>
      <c r="B51" s="70">
        <f t="shared" si="3"/>
        <v>41</v>
      </c>
      <c r="C51" s="10" t="s">
        <v>55</v>
      </c>
      <c r="D51" s="15" t="s">
        <v>124</v>
      </c>
      <c r="E51" s="71"/>
      <c r="F51" s="17" t="s">
        <v>106</v>
      </c>
      <c r="G51" s="72" t="s">
        <v>173</v>
      </c>
      <c r="H51" s="73">
        <v>8</v>
      </c>
      <c r="I51" s="74">
        <v>3</v>
      </c>
      <c r="J51" s="74">
        <v>3</v>
      </c>
      <c r="K51" s="74">
        <v>3</v>
      </c>
      <c r="L51" s="75">
        <v>3</v>
      </c>
      <c r="M51" s="75">
        <v>2478.12</v>
      </c>
      <c r="N51" s="75">
        <v>2478.12</v>
      </c>
      <c r="O51" s="76">
        <f t="shared" si="1"/>
        <v>0</v>
      </c>
      <c r="P51" s="77">
        <v>6</v>
      </c>
      <c r="Q51" s="75">
        <v>4</v>
      </c>
      <c r="R51" s="75">
        <v>4</v>
      </c>
      <c r="S51" s="75">
        <v>2457.2800000000002</v>
      </c>
      <c r="T51" s="75"/>
      <c r="U51" s="76">
        <f t="shared" si="2"/>
        <v>2457.2800000000002</v>
      </c>
      <c r="W51">
        <f t="shared" si="4"/>
        <v>4935.3999999999996</v>
      </c>
    </row>
    <row r="52" spans="1:23" ht="18" customHeight="1" x14ac:dyDescent="0.25">
      <c r="A52" s="90">
        <v>40</v>
      </c>
      <c r="B52" s="70">
        <f t="shared" si="3"/>
        <v>42</v>
      </c>
      <c r="C52" s="10" t="s">
        <v>56</v>
      </c>
      <c r="D52" s="15" t="s">
        <v>124</v>
      </c>
      <c r="E52" s="71"/>
      <c r="F52" s="17" t="s">
        <v>106</v>
      </c>
      <c r="G52" s="72" t="s">
        <v>174</v>
      </c>
      <c r="H52" s="73">
        <v>6</v>
      </c>
      <c r="I52" s="74">
        <v>3</v>
      </c>
      <c r="J52" s="74">
        <v>3</v>
      </c>
      <c r="K52" s="74">
        <v>3</v>
      </c>
      <c r="L52" s="75">
        <v>3</v>
      </c>
      <c r="M52" s="75">
        <v>1308.27</v>
      </c>
      <c r="N52" s="75">
        <v>1308.27</v>
      </c>
      <c r="O52" s="76">
        <f t="shared" si="1"/>
        <v>0</v>
      </c>
      <c r="P52" s="77">
        <v>1</v>
      </c>
      <c r="Q52" s="75">
        <v>1</v>
      </c>
      <c r="R52" s="75">
        <v>1</v>
      </c>
      <c r="S52" s="75">
        <v>728.15</v>
      </c>
      <c r="T52" s="75">
        <v>728.15</v>
      </c>
      <c r="U52" s="76">
        <f t="shared" si="2"/>
        <v>0</v>
      </c>
      <c r="W52">
        <f t="shared" si="4"/>
        <v>2036.42</v>
      </c>
    </row>
    <row r="53" spans="1:23" ht="18" customHeight="1" x14ac:dyDescent="0.25">
      <c r="A53" s="90">
        <v>41</v>
      </c>
      <c r="B53" s="70">
        <f t="shared" si="3"/>
        <v>43</v>
      </c>
      <c r="C53" s="13" t="s">
        <v>57</v>
      </c>
      <c r="D53" s="15" t="s">
        <v>124</v>
      </c>
      <c r="E53" s="71"/>
      <c r="F53" s="17" t="s">
        <v>106</v>
      </c>
      <c r="G53" s="72" t="s">
        <v>175</v>
      </c>
      <c r="H53" s="73">
        <v>6</v>
      </c>
      <c r="I53" s="74">
        <v>3</v>
      </c>
      <c r="J53" s="74">
        <v>3</v>
      </c>
      <c r="K53" s="74">
        <v>3</v>
      </c>
      <c r="L53" s="75">
        <v>2</v>
      </c>
      <c r="M53" s="75">
        <v>613.9</v>
      </c>
      <c r="N53" s="75">
        <v>341.06</v>
      </c>
      <c r="O53" s="76">
        <f t="shared" si="1"/>
        <v>272.83999999999997</v>
      </c>
      <c r="P53" s="77">
        <v>3</v>
      </c>
      <c r="Q53" s="75">
        <v>3</v>
      </c>
      <c r="R53" s="75">
        <v>3</v>
      </c>
      <c r="S53" s="75">
        <v>1535.39</v>
      </c>
      <c r="T53" s="75">
        <v>530.53</v>
      </c>
      <c r="U53" s="76">
        <f t="shared" si="2"/>
        <v>1004.8600000000001</v>
      </c>
      <c r="W53">
        <f t="shared" si="4"/>
        <v>2149.29</v>
      </c>
    </row>
    <row r="54" spans="1:23" ht="18" customHeight="1" x14ac:dyDescent="0.25">
      <c r="A54" s="90">
        <v>42</v>
      </c>
      <c r="B54" s="70">
        <f t="shared" si="3"/>
        <v>44</v>
      </c>
      <c r="C54" s="13" t="s">
        <v>58</v>
      </c>
      <c r="D54" s="15" t="s">
        <v>124</v>
      </c>
      <c r="E54" s="71"/>
      <c r="F54" s="17" t="s">
        <v>106</v>
      </c>
      <c r="G54" s="72" t="s">
        <v>229</v>
      </c>
      <c r="H54" s="73">
        <v>1</v>
      </c>
      <c r="I54" s="74"/>
      <c r="J54" s="74"/>
      <c r="K54" s="74"/>
      <c r="L54" s="75"/>
      <c r="M54" s="75"/>
      <c r="N54" s="75"/>
      <c r="O54" s="76">
        <f t="shared" si="1"/>
        <v>0</v>
      </c>
      <c r="P54" s="77">
        <v>2</v>
      </c>
      <c r="Q54" s="75">
        <v>2</v>
      </c>
      <c r="R54" s="75">
        <v>2</v>
      </c>
      <c r="S54" s="75">
        <v>688</v>
      </c>
      <c r="T54" s="75"/>
      <c r="U54" s="76">
        <f t="shared" si="2"/>
        <v>688</v>
      </c>
      <c r="W54">
        <f t="shared" si="4"/>
        <v>688</v>
      </c>
    </row>
    <row r="55" spans="1:23" ht="18" customHeight="1" x14ac:dyDescent="0.25">
      <c r="A55" s="90">
        <v>43</v>
      </c>
      <c r="B55" s="70">
        <f t="shared" si="3"/>
        <v>45</v>
      </c>
      <c r="C55" s="13" t="s">
        <v>59</v>
      </c>
      <c r="D55" s="15" t="s">
        <v>124</v>
      </c>
      <c r="E55" s="71"/>
      <c r="F55" s="17" t="s">
        <v>112</v>
      </c>
      <c r="G55" s="72" t="s">
        <v>176</v>
      </c>
      <c r="H55" s="73">
        <v>20</v>
      </c>
      <c r="I55" s="74">
        <v>14</v>
      </c>
      <c r="J55" s="74">
        <v>15</v>
      </c>
      <c r="K55" s="74">
        <v>14</v>
      </c>
      <c r="L55" s="75">
        <v>2</v>
      </c>
      <c r="M55" s="75">
        <v>575.32000000000005</v>
      </c>
      <c r="N55" s="75">
        <v>413.4</v>
      </c>
      <c r="O55" s="76">
        <f t="shared" si="1"/>
        <v>161.92000000000007</v>
      </c>
      <c r="P55" s="77">
        <v>16</v>
      </c>
      <c r="Q55" s="75">
        <v>16</v>
      </c>
      <c r="R55" s="75">
        <v>15</v>
      </c>
      <c r="S55" s="75">
        <v>9629.7199999999993</v>
      </c>
      <c r="T55" s="75">
        <v>2632.7</v>
      </c>
      <c r="U55" s="76">
        <f t="shared" si="2"/>
        <v>6997.0199999999995</v>
      </c>
      <c r="W55">
        <f t="shared" si="4"/>
        <v>10205.039999999999</v>
      </c>
    </row>
    <row r="56" spans="1:23" ht="18" customHeight="1" x14ac:dyDescent="0.25">
      <c r="A56" s="90">
        <v>44</v>
      </c>
      <c r="B56" s="70">
        <f t="shared" si="3"/>
        <v>46</v>
      </c>
      <c r="C56" s="13" t="s">
        <v>60</v>
      </c>
      <c r="D56" s="15" t="s">
        <v>125</v>
      </c>
      <c r="E56" s="79" t="s">
        <v>126</v>
      </c>
      <c r="F56" s="17" t="s">
        <v>106</v>
      </c>
      <c r="G56" s="72" t="s">
        <v>177</v>
      </c>
      <c r="H56" s="73">
        <v>2</v>
      </c>
      <c r="I56" s="74"/>
      <c r="J56" s="74"/>
      <c r="K56" s="74"/>
      <c r="L56" s="75"/>
      <c r="M56" s="75">
        <v>1887.9</v>
      </c>
      <c r="N56" s="75">
        <v>1887.9</v>
      </c>
      <c r="O56" s="76">
        <f t="shared" si="1"/>
        <v>0</v>
      </c>
      <c r="P56" s="77">
        <v>3</v>
      </c>
      <c r="Q56" s="75">
        <v>3</v>
      </c>
      <c r="R56" s="75">
        <v>2</v>
      </c>
      <c r="S56" s="75">
        <v>757.9</v>
      </c>
      <c r="T56" s="75">
        <v>757.9</v>
      </c>
      <c r="U56" s="76">
        <f t="shared" si="2"/>
        <v>0</v>
      </c>
      <c r="W56">
        <f t="shared" si="4"/>
        <v>2645.8</v>
      </c>
    </row>
    <row r="57" spans="1:23" ht="18" customHeight="1" x14ac:dyDescent="0.25">
      <c r="A57" s="90">
        <v>45</v>
      </c>
      <c r="B57" s="70">
        <f t="shared" si="3"/>
        <v>47</v>
      </c>
      <c r="C57" s="11" t="s">
        <v>61</v>
      </c>
      <c r="D57" s="15" t="s">
        <v>124</v>
      </c>
      <c r="E57" s="71"/>
      <c r="F57" s="17" t="s">
        <v>107</v>
      </c>
      <c r="G57" s="72" t="s">
        <v>178</v>
      </c>
      <c r="H57" s="73">
        <v>16</v>
      </c>
      <c r="I57" s="74">
        <v>9</v>
      </c>
      <c r="J57" s="74">
        <v>10</v>
      </c>
      <c r="K57" s="74">
        <v>9</v>
      </c>
      <c r="L57" s="75">
        <v>4</v>
      </c>
      <c r="M57" s="75">
        <v>2880.54</v>
      </c>
      <c r="N57" s="75">
        <v>272.83999999999997</v>
      </c>
      <c r="O57" s="76">
        <f t="shared" si="1"/>
        <v>2607.6999999999998</v>
      </c>
      <c r="P57" s="77">
        <v>21</v>
      </c>
      <c r="Q57" s="75">
        <v>20</v>
      </c>
      <c r="R57" s="75">
        <v>18</v>
      </c>
      <c r="S57" s="75">
        <v>35028.07</v>
      </c>
      <c r="T57" s="75">
        <v>14478.7</v>
      </c>
      <c r="U57" s="76">
        <f t="shared" si="2"/>
        <v>20549.37</v>
      </c>
      <c r="W57">
        <f t="shared" si="4"/>
        <v>37908.61</v>
      </c>
    </row>
    <row r="58" spans="1:23" ht="18" customHeight="1" x14ac:dyDescent="0.25">
      <c r="A58" s="90">
        <v>46</v>
      </c>
      <c r="B58" s="70">
        <f t="shared" si="3"/>
        <v>48</v>
      </c>
      <c r="C58" s="11" t="s">
        <v>134</v>
      </c>
      <c r="D58" s="15" t="s">
        <v>124</v>
      </c>
      <c r="E58" s="71"/>
      <c r="F58" s="17" t="s">
        <v>112</v>
      </c>
      <c r="G58" s="72" t="s">
        <v>179</v>
      </c>
      <c r="H58" s="73">
        <v>5</v>
      </c>
      <c r="I58" s="74"/>
      <c r="J58" s="74"/>
      <c r="K58" s="74"/>
      <c r="L58" s="75"/>
      <c r="M58" s="75"/>
      <c r="N58" s="75"/>
      <c r="O58" s="76">
        <f t="shared" si="1"/>
        <v>0</v>
      </c>
      <c r="P58" s="77"/>
      <c r="Q58" s="75"/>
      <c r="R58" s="75"/>
      <c r="S58" s="75"/>
      <c r="T58" s="75"/>
      <c r="U58" s="76">
        <f t="shared" si="2"/>
        <v>0</v>
      </c>
      <c r="W58">
        <f t="shared" si="4"/>
        <v>0</v>
      </c>
    </row>
    <row r="59" spans="1:23" ht="18" customHeight="1" x14ac:dyDescent="0.25">
      <c r="A59" s="90"/>
      <c r="B59" s="70">
        <f t="shared" si="3"/>
        <v>49</v>
      </c>
      <c r="C59" s="11" t="s">
        <v>62</v>
      </c>
      <c r="D59" s="15" t="s">
        <v>124</v>
      </c>
      <c r="E59" s="71"/>
      <c r="F59" s="17" t="s">
        <v>106</v>
      </c>
      <c r="G59" s="72" t="s">
        <v>230</v>
      </c>
      <c r="H59" s="73"/>
      <c r="I59" s="74"/>
      <c r="J59" s="74"/>
      <c r="K59" s="74"/>
      <c r="L59" s="75"/>
      <c r="M59" s="75"/>
      <c r="N59" s="75"/>
      <c r="O59" s="76">
        <f t="shared" si="1"/>
        <v>0</v>
      </c>
      <c r="P59" s="77"/>
      <c r="Q59" s="75"/>
      <c r="R59" s="75"/>
      <c r="S59" s="75"/>
      <c r="T59" s="75"/>
      <c r="U59" s="76">
        <f t="shared" si="2"/>
        <v>0</v>
      </c>
      <c r="W59">
        <f t="shared" si="4"/>
        <v>0</v>
      </c>
    </row>
    <row r="60" spans="1:23" ht="18" customHeight="1" x14ac:dyDescent="0.25">
      <c r="A60" s="90"/>
      <c r="B60" s="70">
        <f t="shared" si="3"/>
        <v>50</v>
      </c>
      <c r="C60" s="11" t="s">
        <v>63</v>
      </c>
      <c r="D60" s="15" t="s">
        <v>124</v>
      </c>
      <c r="E60" s="71"/>
      <c r="F60" s="22" t="s">
        <v>112</v>
      </c>
      <c r="G60" s="72" t="s">
        <v>224</v>
      </c>
      <c r="H60" s="73"/>
      <c r="I60" s="74"/>
      <c r="J60" s="74"/>
      <c r="K60" s="74"/>
      <c r="L60" s="75"/>
      <c r="M60" s="75"/>
      <c r="N60" s="75"/>
      <c r="O60" s="76">
        <f t="shared" si="1"/>
        <v>0</v>
      </c>
      <c r="P60" s="77"/>
      <c r="Q60" s="75"/>
      <c r="R60" s="75"/>
      <c r="S60" s="75"/>
      <c r="T60" s="75"/>
      <c r="U60" s="76">
        <f t="shared" si="2"/>
        <v>0</v>
      </c>
      <c r="W60">
        <f t="shared" si="4"/>
        <v>0</v>
      </c>
    </row>
    <row r="61" spans="1:23" ht="18" customHeight="1" x14ac:dyDescent="0.25">
      <c r="A61" s="90">
        <v>48</v>
      </c>
      <c r="B61" s="70">
        <f t="shared" si="3"/>
        <v>51</v>
      </c>
      <c r="C61" s="11" t="s">
        <v>64</v>
      </c>
      <c r="D61" s="15" t="s">
        <v>124</v>
      </c>
      <c r="E61" s="71"/>
      <c r="F61" s="22" t="s">
        <v>107</v>
      </c>
      <c r="G61" s="72" t="s">
        <v>180</v>
      </c>
      <c r="H61" s="73">
        <v>21</v>
      </c>
      <c r="I61" s="74">
        <v>8</v>
      </c>
      <c r="J61" s="74">
        <v>8</v>
      </c>
      <c r="K61" s="74">
        <v>8</v>
      </c>
      <c r="L61" s="75">
        <v>3</v>
      </c>
      <c r="M61" s="75">
        <v>4967.08</v>
      </c>
      <c r="N61" s="75"/>
      <c r="O61" s="76">
        <f t="shared" si="1"/>
        <v>4967.08</v>
      </c>
      <c r="P61" s="77">
        <v>5</v>
      </c>
      <c r="Q61" s="75">
        <v>5</v>
      </c>
      <c r="R61" s="75">
        <v>5</v>
      </c>
      <c r="S61" s="75">
        <v>6524.72</v>
      </c>
      <c r="T61" s="75"/>
      <c r="U61" s="76">
        <f t="shared" si="2"/>
        <v>6524.72</v>
      </c>
      <c r="W61">
        <f t="shared" si="4"/>
        <v>11491.8</v>
      </c>
    </row>
    <row r="62" spans="1:23" ht="18" customHeight="1" x14ac:dyDescent="0.25">
      <c r="A62" s="90">
        <v>47</v>
      </c>
      <c r="B62" s="70">
        <f t="shared" si="3"/>
        <v>52</v>
      </c>
      <c r="C62" s="11" t="s">
        <v>135</v>
      </c>
      <c r="D62" s="15" t="s">
        <v>124</v>
      </c>
      <c r="E62" s="71"/>
      <c r="F62" s="22" t="s">
        <v>111</v>
      </c>
      <c r="G62" s="72" t="s">
        <v>181</v>
      </c>
      <c r="H62" s="73">
        <v>5</v>
      </c>
      <c r="I62" s="74">
        <v>2</v>
      </c>
      <c r="J62" s="74">
        <v>2</v>
      </c>
      <c r="K62" s="74">
        <v>1</v>
      </c>
      <c r="L62" s="75"/>
      <c r="M62" s="75"/>
      <c r="N62" s="75"/>
      <c r="O62" s="76">
        <f t="shared" si="1"/>
        <v>0</v>
      </c>
      <c r="P62" s="77"/>
      <c r="Q62" s="75"/>
      <c r="R62" s="75"/>
      <c r="S62" s="75"/>
      <c r="T62" s="75"/>
      <c r="U62" s="76">
        <f t="shared" si="2"/>
        <v>0</v>
      </c>
      <c r="W62">
        <f t="shared" si="4"/>
        <v>0</v>
      </c>
    </row>
    <row r="63" spans="1:23" ht="18" customHeight="1" x14ac:dyDescent="0.25">
      <c r="A63" s="90">
        <v>49</v>
      </c>
      <c r="B63" s="70">
        <f t="shared" si="3"/>
        <v>53</v>
      </c>
      <c r="C63" s="13" t="s">
        <v>65</v>
      </c>
      <c r="D63" s="15" t="s">
        <v>124</v>
      </c>
      <c r="E63" s="71"/>
      <c r="F63" s="17" t="s">
        <v>106</v>
      </c>
      <c r="G63" s="72" t="s">
        <v>182</v>
      </c>
      <c r="H63" s="73">
        <v>5</v>
      </c>
      <c r="I63" s="74">
        <v>1</v>
      </c>
      <c r="J63" s="74">
        <v>1</v>
      </c>
      <c r="K63" s="74">
        <v>1</v>
      </c>
      <c r="L63" s="75">
        <v>1</v>
      </c>
      <c r="M63" s="75">
        <v>1263.45</v>
      </c>
      <c r="N63" s="75">
        <v>1263.45</v>
      </c>
      <c r="O63" s="76">
        <f t="shared" si="1"/>
        <v>0</v>
      </c>
      <c r="P63" s="77">
        <v>2</v>
      </c>
      <c r="Q63" s="75">
        <v>2</v>
      </c>
      <c r="R63" s="75">
        <v>2</v>
      </c>
      <c r="S63" s="75">
        <v>740.14</v>
      </c>
      <c r="T63" s="75">
        <v>740.14</v>
      </c>
      <c r="U63" s="76">
        <f t="shared" si="2"/>
        <v>0</v>
      </c>
      <c r="W63">
        <f t="shared" si="4"/>
        <v>2003.5900000000001</v>
      </c>
    </row>
    <row r="64" spans="1:23" ht="18" customHeight="1" x14ac:dyDescent="0.25">
      <c r="A64" s="90"/>
      <c r="B64" s="70">
        <f t="shared" si="3"/>
        <v>54</v>
      </c>
      <c r="C64" s="13" t="s">
        <v>66</v>
      </c>
      <c r="D64" s="15" t="s">
        <v>124</v>
      </c>
      <c r="E64" s="71"/>
      <c r="F64" s="17" t="s">
        <v>112</v>
      </c>
      <c r="G64" s="72" t="s">
        <v>227</v>
      </c>
      <c r="H64" s="73"/>
      <c r="I64" s="74"/>
      <c r="J64" s="74"/>
      <c r="K64" s="74"/>
      <c r="L64" s="75"/>
      <c r="M64" s="75"/>
      <c r="N64" s="75"/>
      <c r="O64" s="76">
        <f t="shared" si="1"/>
        <v>0</v>
      </c>
      <c r="P64" s="77">
        <v>8</v>
      </c>
      <c r="Q64" s="75">
        <v>8</v>
      </c>
      <c r="R64" s="75">
        <v>8</v>
      </c>
      <c r="S64" s="75">
        <v>3232.69</v>
      </c>
      <c r="T64" s="75">
        <v>3232.69</v>
      </c>
      <c r="U64" s="76">
        <f t="shared" si="2"/>
        <v>0</v>
      </c>
      <c r="W64">
        <f t="shared" si="4"/>
        <v>3232.69</v>
      </c>
    </row>
    <row r="65" spans="1:23" ht="18" customHeight="1" x14ac:dyDescent="0.25">
      <c r="A65" s="90">
        <v>50</v>
      </c>
      <c r="B65" s="70">
        <f t="shared" si="3"/>
        <v>55</v>
      </c>
      <c r="C65" s="10" t="s">
        <v>67</v>
      </c>
      <c r="D65" s="15" t="s">
        <v>124</v>
      </c>
      <c r="E65" s="71"/>
      <c r="F65" s="17" t="s">
        <v>106</v>
      </c>
      <c r="G65" s="72" t="s">
        <v>183</v>
      </c>
      <c r="H65" s="73">
        <v>10</v>
      </c>
      <c r="I65" s="74">
        <v>3</v>
      </c>
      <c r="J65" s="74">
        <v>4</v>
      </c>
      <c r="K65" s="74">
        <v>4</v>
      </c>
      <c r="L65" s="75">
        <v>4</v>
      </c>
      <c r="M65" s="75">
        <v>2495.13</v>
      </c>
      <c r="N65" s="75"/>
      <c r="O65" s="76">
        <f t="shared" si="1"/>
        <v>2495.13</v>
      </c>
      <c r="P65" s="77">
        <v>7</v>
      </c>
      <c r="Q65" s="75">
        <v>7</v>
      </c>
      <c r="R65" s="75">
        <v>6</v>
      </c>
      <c r="S65" s="75">
        <v>3377.96</v>
      </c>
      <c r="T65" s="75"/>
      <c r="U65" s="76">
        <f t="shared" si="2"/>
        <v>3377.96</v>
      </c>
      <c r="W65">
        <f t="shared" si="4"/>
        <v>5873.09</v>
      </c>
    </row>
    <row r="66" spans="1:23" ht="18" customHeight="1" x14ac:dyDescent="0.25">
      <c r="A66" s="90">
        <v>51</v>
      </c>
      <c r="B66" s="70">
        <f t="shared" si="3"/>
        <v>56</v>
      </c>
      <c r="C66" s="10" t="s">
        <v>68</v>
      </c>
      <c r="D66" s="15" t="s">
        <v>124</v>
      </c>
      <c r="E66" s="71"/>
      <c r="F66" s="17" t="s">
        <v>111</v>
      </c>
      <c r="G66" s="72" t="s">
        <v>184</v>
      </c>
      <c r="H66" s="73">
        <v>15</v>
      </c>
      <c r="I66" s="74">
        <v>9</v>
      </c>
      <c r="J66" s="74">
        <v>9</v>
      </c>
      <c r="K66" s="74">
        <v>6</v>
      </c>
      <c r="L66" s="75">
        <v>1</v>
      </c>
      <c r="M66" s="75">
        <v>620.1</v>
      </c>
      <c r="N66" s="75">
        <v>620.1</v>
      </c>
      <c r="O66" s="76">
        <f t="shared" si="1"/>
        <v>0</v>
      </c>
      <c r="P66" s="77">
        <v>8</v>
      </c>
      <c r="Q66" s="75">
        <v>8</v>
      </c>
      <c r="R66" s="75">
        <v>6</v>
      </c>
      <c r="S66" s="75">
        <v>5363.21</v>
      </c>
      <c r="T66" s="75">
        <v>5363.21</v>
      </c>
      <c r="U66" s="76">
        <f t="shared" si="2"/>
        <v>0</v>
      </c>
      <c r="W66">
        <f t="shared" si="4"/>
        <v>5983.31</v>
      </c>
    </row>
    <row r="67" spans="1:23" ht="18" customHeight="1" x14ac:dyDescent="0.25">
      <c r="A67" s="90">
        <v>52</v>
      </c>
      <c r="B67" s="70">
        <f t="shared" si="3"/>
        <v>57</v>
      </c>
      <c r="C67" s="13" t="s">
        <v>69</v>
      </c>
      <c r="D67" s="15" t="s">
        <v>124</v>
      </c>
      <c r="E67" s="71"/>
      <c r="F67" s="17" t="s">
        <v>106</v>
      </c>
      <c r="G67" s="72" t="s">
        <v>185</v>
      </c>
      <c r="H67" s="73">
        <v>2</v>
      </c>
      <c r="I67" s="74">
        <v>2</v>
      </c>
      <c r="J67" s="74">
        <v>3</v>
      </c>
      <c r="K67" s="74">
        <v>3</v>
      </c>
      <c r="L67" s="75">
        <v>1</v>
      </c>
      <c r="M67" s="75">
        <v>463.83</v>
      </c>
      <c r="N67" s="75"/>
      <c r="O67" s="76">
        <f t="shared" si="1"/>
        <v>463.83</v>
      </c>
      <c r="P67" s="77">
        <v>4</v>
      </c>
      <c r="Q67" s="75">
        <v>4</v>
      </c>
      <c r="R67" s="75">
        <v>4</v>
      </c>
      <c r="S67" s="75">
        <v>3148.1</v>
      </c>
      <c r="T67" s="75">
        <v>2318.17</v>
      </c>
      <c r="U67" s="76">
        <f t="shared" si="2"/>
        <v>829.92999999999984</v>
      </c>
      <c r="W67">
        <f t="shared" si="4"/>
        <v>3611.93</v>
      </c>
    </row>
    <row r="68" spans="1:23" ht="18" customHeight="1" x14ac:dyDescent="0.25">
      <c r="A68" s="90">
        <v>53</v>
      </c>
      <c r="B68" s="70">
        <f t="shared" si="3"/>
        <v>58</v>
      </c>
      <c r="C68" s="11" t="s">
        <v>70</v>
      </c>
      <c r="D68" s="15" t="s">
        <v>124</v>
      </c>
      <c r="E68" s="71"/>
      <c r="F68" s="17" t="s">
        <v>107</v>
      </c>
      <c r="G68" s="72" t="s">
        <v>186</v>
      </c>
      <c r="H68" s="73">
        <v>14</v>
      </c>
      <c r="I68" s="74">
        <v>12</v>
      </c>
      <c r="J68" s="74">
        <v>14</v>
      </c>
      <c r="K68" s="74">
        <v>13</v>
      </c>
      <c r="L68" s="75">
        <v>9</v>
      </c>
      <c r="M68" s="75">
        <v>6122.06</v>
      </c>
      <c r="N68" s="75">
        <v>1327.02</v>
      </c>
      <c r="O68" s="76">
        <f t="shared" si="1"/>
        <v>4795.0400000000009</v>
      </c>
      <c r="P68" s="77">
        <v>7</v>
      </c>
      <c r="Q68" s="75">
        <v>7</v>
      </c>
      <c r="R68" s="75">
        <v>3</v>
      </c>
      <c r="S68" s="75">
        <v>1207.07</v>
      </c>
      <c r="T68" s="75">
        <v>1207.07</v>
      </c>
      <c r="U68" s="76">
        <f t="shared" si="2"/>
        <v>0</v>
      </c>
      <c r="W68">
        <f t="shared" si="4"/>
        <v>7329.13</v>
      </c>
    </row>
    <row r="69" spans="1:23" ht="18" customHeight="1" x14ac:dyDescent="0.25">
      <c r="A69" s="90">
        <v>54</v>
      </c>
      <c r="B69" s="70">
        <f t="shared" si="3"/>
        <v>59</v>
      </c>
      <c r="C69" s="11" t="s">
        <v>71</v>
      </c>
      <c r="D69" s="15" t="s">
        <v>124</v>
      </c>
      <c r="E69" s="71"/>
      <c r="F69" s="17" t="s">
        <v>117</v>
      </c>
      <c r="G69" s="72" t="s">
        <v>187</v>
      </c>
      <c r="H69" s="73">
        <v>15</v>
      </c>
      <c r="I69" s="74">
        <v>5</v>
      </c>
      <c r="J69" s="74">
        <v>8</v>
      </c>
      <c r="K69" s="74">
        <v>8</v>
      </c>
      <c r="L69" s="75">
        <v>8</v>
      </c>
      <c r="M69" s="75">
        <v>4665.7</v>
      </c>
      <c r="N69" s="75">
        <v>992.16</v>
      </c>
      <c r="O69" s="76">
        <f t="shared" si="1"/>
        <v>3673.54</v>
      </c>
      <c r="P69" s="77">
        <v>10</v>
      </c>
      <c r="Q69" s="75">
        <v>10</v>
      </c>
      <c r="R69" s="75">
        <v>10</v>
      </c>
      <c r="S69" s="75">
        <v>6249.15</v>
      </c>
      <c r="T69" s="75">
        <v>3017.19</v>
      </c>
      <c r="U69" s="76">
        <f t="shared" si="2"/>
        <v>3231.9599999999996</v>
      </c>
      <c r="W69">
        <f t="shared" si="4"/>
        <v>10914.849999999999</v>
      </c>
    </row>
    <row r="70" spans="1:23" ht="18" customHeight="1" x14ac:dyDescent="0.25">
      <c r="A70" s="90">
        <v>55</v>
      </c>
      <c r="B70" s="70">
        <f t="shared" si="3"/>
        <v>60</v>
      </c>
      <c r="C70" s="11" t="s">
        <v>72</v>
      </c>
      <c r="D70" s="15" t="s">
        <v>125</v>
      </c>
      <c r="E70" s="79" t="s">
        <v>126</v>
      </c>
      <c r="F70" s="17" t="s">
        <v>106</v>
      </c>
      <c r="G70" s="72" t="s">
        <v>188</v>
      </c>
      <c r="H70" s="73">
        <v>2</v>
      </c>
      <c r="I70" s="74"/>
      <c r="J70" s="74"/>
      <c r="K70" s="74"/>
      <c r="L70" s="75"/>
      <c r="M70" s="75"/>
      <c r="N70" s="75"/>
      <c r="O70" s="76">
        <f t="shared" si="1"/>
        <v>0</v>
      </c>
      <c r="P70" s="77"/>
      <c r="Q70" s="75"/>
      <c r="R70" s="75"/>
      <c r="S70" s="75"/>
      <c r="T70" s="75"/>
      <c r="U70" s="76">
        <f t="shared" si="2"/>
        <v>0</v>
      </c>
      <c r="W70">
        <f t="shared" si="4"/>
        <v>0</v>
      </c>
    </row>
    <row r="71" spans="1:23" ht="18" customHeight="1" x14ac:dyDescent="0.25">
      <c r="A71" s="90">
        <v>56</v>
      </c>
      <c r="B71" s="70">
        <f t="shared" si="3"/>
        <v>61</v>
      </c>
      <c r="C71" s="10" t="s">
        <v>73</v>
      </c>
      <c r="D71" s="15" t="s">
        <v>124</v>
      </c>
      <c r="E71" s="71"/>
      <c r="F71" s="17" t="s">
        <v>106</v>
      </c>
      <c r="G71" s="72" t="s">
        <v>189</v>
      </c>
      <c r="H71" s="73">
        <v>4</v>
      </c>
      <c r="I71" s="74"/>
      <c r="J71" s="74"/>
      <c r="K71" s="74"/>
      <c r="L71" s="75"/>
      <c r="M71" s="75"/>
      <c r="N71" s="75"/>
      <c r="O71" s="76">
        <f t="shared" si="1"/>
        <v>0</v>
      </c>
      <c r="P71" s="77">
        <v>1</v>
      </c>
      <c r="Q71" s="75">
        <v>1</v>
      </c>
      <c r="R71" s="75"/>
      <c r="S71" s="75"/>
      <c r="T71" s="75"/>
      <c r="U71" s="76">
        <f t="shared" si="2"/>
        <v>0</v>
      </c>
      <c r="W71">
        <f t="shared" si="4"/>
        <v>0</v>
      </c>
    </row>
    <row r="72" spans="1:23" ht="18" customHeight="1" x14ac:dyDescent="0.25">
      <c r="A72" s="90">
        <v>57</v>
      </c>
      <c r="B72" s="70">
        <f t="shared" si="3"/>
        <v>62</v>
      </c>
      <c r="C72" s="11" t="s">
        <v>74</v>
      </c>
      <c r="D72" s="15" t="s">
        <v>124</v>
      </c>
      <c r="E72" s="71"/>
      <c r="F72" s="17" t="s">
        <v>111</v>
      </c>
      <c r="G72" s="72" t="s">
        <v>190</v>
      </c>
      <c r="H72" s="73">
        <v>6</v>
      </c>
      <c r="I72" s="74">
        <v>2</v>
      </c>
      <c r="J72" s="74">
        <v>2</v>
      </c>
      <c r="K72" s="74">
        <v>2</v>
      </c>
      <c r="L72" s="75">
        <v>2</v>
      </c>
      <c r="M72" s="75">
        <v>2228.5</v>
      </c>
      <c r="N72" s="75">
        <v>2228.5</v>
      </c>
      <c r="O72" s="76">
        <f t="shared" si="1"/>
        <v>0</v>
      </c>
      <c r="P72" s="77">
        <v>17</v>
      </c>
      <c r="Q72" s="75">
        <v>17</v>
      </c>
      <c r="R72" s="75">
        <v>12</v>
      </c>
      <c r="S72" s="75">
        <v>27744.560000000001</v>
      </c>
      <c r="T72" s="75">
        <v>27744.560000000001</v>
      </c>
      <c r="U72" s="76">
        <f t="shared" si="2"/>
        <v>0</v>
      </c>
      <c r="W72">
        <f t="shared" si="4"/>
        <v>29973.06</v>
      </c>
    </row>
    <row r="73" spans="1:23" ht="18" customHeight="1" x14ac:dyDescent="0.25">
      <c r="A73" s="90">
        <v>58</v>
      </c>
      <c r="B73" s="70">
        <f t="shared" si="3"/>
        <v>63</v>
      </c>
      <c r="C73" s="11" t="s">
        <v>75</v>
      </c>
      <c r="D73" s="15" t="s">
        <v>124</v>
      </c>
      <c r="E73" s="71"/>
      <c r="F73" s="17" t="s">
        <v>118</v>
      </c>
      <c r="G73" s="72" t="s">
        <v>191</v>
      </c>
      <c r="H73" s="73">
        <v>5</v>
      </c>
      <c r="I73" s="74">
        <v>2</v>
      </c>
      <c r="J73" s="74">
        <v>2</v>
      </c>
      <c r="K73" s="74">
        <v>2</v>
      </c>
      <c r="L73" s="75"/>
      <c r="M73" s="75"/>
      <c r="N73" s="75"/>
      <c r="O73" s="76">
        <f t="shared" si="1"/>
        <v>0</v>
      </c>
      <c r="P73" s="77">
        <v>6</v>
      </c>
      <c r="Q73" s="75">
        <v>6</v>
      </c>
      <c r="R73" s="75">
        <v>4</v>
      </c>
      <c r="S73" s="75">
        <v>3959.69</v>
      </c>
      <c r="T73" s="75">
        <v>3959.69</v>
      </c>
      <c r="U73" s="76">
        <f t="shared" si="2"/>
        <v>0</v>
      </c>
      <c r="W73">
        <f t="shared" si="4"/>
        <v>3959.69</v>
      </c>
    </row>
    <row r="74" spans="1:23" ht="18" customHeight="1" x14ac:dyDescent="0.25">
      <c r="A74" s="90">
        <v>59</v>
      </c>
      <c r="B74" s="70">
        <f t="shared" si="3"/>
        <v>64</v>
      </c>
      <c r="C74" s="10" t="s">
        <v>76</v>
      </c>
      <c r="D74" s="15" t="s">
        <v>124</v>
      </c>
      <c r="E74" s="71"/>
      <c r="F74" s="10" t="s">
        <v>105</v>
      </c>
      <c r="G74" s="72" t="s">
        <v>192</v>
      </c>
      <c r="H74" s="73">
        <v>8</v>
      </c>
      <c r="I74" s="74">
        <v>1</v>
      </c>
      <c r="J74" s="74">
        <v>1</v>
      </c>
      <c r="K74" s="74">
        <v>1</v>
      </c>
      <c r="L74" s="75"/>
      <c r="M74" s="75"/>
      <c r="N74" s="75"/>
      <c r="O74" s="76">
        <f t="shared" si="1"/>
        <v>0</v>
      </c>
      <c r="P74" s="77">
        <v>3</v>
      </c>
      <c r="Q74" s="75">
        <v>3</v>
      </c>
      <c r="R74" s="75">
        <v>3</v>
      </c>
      <c r="S74" s="75">
        <v>1821.06</v>
      </c>
      <c r="T74" s="75">
        <v>1821.06</v>
      </c>
      <c r="U74" s="76">
        <f t="shared" si="2"/>
        <v>0</v>
      </c>
      <c r="W74">
        <f t="shared" si="4"/>
        <v>1821.06</v>
      </c>
    </row>
    <row r="75" spans="1:23" ht="18" customHeight="1" x14ac:dyDescent="0.25">
      <c r="A75" s="90"/>
      <c r="B75" s="70">
        <f t="shared" si="3"/>
        <v>65</v>
      </c>
      <c r="C75" s="11" t="s">
        <v>77</v>
      </c>
      <c r="D75" s="15" t="s">
        <v>124</v>
      </c>
      <c r="E75" s="71"/>
      <c r="F75" s="10" t="s">
        <v>111</v>
      </c>
      <c r="G75" s="72" t="s">
        <v>225</v>
      </c>
      <c r="H75" s="73"/>
      <c r="I75" s="74"/>
      <c r="J75" s="74"/>
      <c r="K75" s="74"/>
      <c r="L75" s="75"/>
      <c r="M75" s="75"/>
      <c r="N75" s="75"/>
      <c r="O75" s="76">
        <f t="shared" si="1"/>
        <v>0</v>
      </c>
      <c r="P75" s="77">
        <v>1</v>
      </c>
      <c r="Q75" s="75">
        <v>1</v>
      </c>
      <c r="R75" s="75">
        <v>1</v>
      </c>
      <c r="S75" s="75">
        <v>3278.32</v>
      </c>
      <c r="T75" s="75">
        <v>3278.32</v>
      </c>
      <c r="U75" s="76">
        <f t="shared" si="2"/>
        <v>0</v>
      </c>
      <c r="W75">
        <f t="shared" si="4"/>
        <v>3278.32</v>
      </c>
    </row>
    <row r="76" spans="1:23" ht="18" customHeight="1" x14ac:dyDescent="0.25">
      <c r="A76" s="90">
        <v>60</v>
      </c>
      <c r="B76" s="70">
        <f t="shared" ref="B76:B103" si="5">B75+1</f>
        <v>66</v>
      </c>
      <c r="C76" s="10" t="s">
        <v>78</v>
      </c>
      <c r="D76" s="15" t="s">
        <v>124</v>
      </c>
      <c r="E76" s="71"/>
      <c r="F76" s="23" t="s">
        <v>119</v>
      </c>
      <c r="G76" s="72" t="s">
        <v>193</v>
      </c>
      <c r="H76" s="73">
        <v>2</v>
      </c>
      <c r="I76" s="74"/>
      <c r="J76" s="74"/>
      <c r="K76" s="74"/>
      <c r="L76" s="75"/>
      <c r="M76" s="75"/>
      <c r="N76" s="75"/>
      <c r="O76" s="76">
        <f t="shared" ref="O76:O103" si="6" xml:space="preserve"> (M76-N76)</f>
        <v>0</v>
      </c>
      <c r="P76" s="77">
        <v>2</v>
      </c>
      <c r="Q76" s="75">
        <v>2</v>
      </c>
      <c r="R76" s="75">
        <v>2</v>
      </c>
      <c r="S76" s="75">
        <v>617.03</v>
      </c>
      <c r="T76" s="75"/>
      <c r="U76" s="76">
        <f t="shared" ref="U76:U103" si="7" xml:space="preserve"> (S76-T76)</f>
        <v>617.03</v>
      </c>
      <c r="W76">
        <f t="shared" si="4"/>
        <v>617.03</v>
      </c>
    </row>
    <row r="77" spans="1:23" ht="18" customHeight="1" x14ac:dyDescent="0.25">
      <c r="A77" s="90">
        <v>61</v>
      </c>
      <c r="B77" s="70">
        <f t="shared" si="5"/>
        <v>67</v>
      </c>
      <c r="C77" s="11" t="s">
        <v>79</v>
      </c>
      <c r="D77" s="15" t="s">
        <v>124</v>
      </c>
      <c r="E77" s="71"/>
      <c r="F77" s="17" t="s">
        <v>106</v>
      </c>
      <c r="G77" s="72" t="s">
        <v>194</v>
      </c>
      <c r="H77" s="73">
        <v>8</v>
      </c>
      <c r="I77" s="74">
        <v>5</v>
      </c>
      <c r="J77" s="74">
        <v>6</v>
      </c>
      <c r="K77" s="74">
        <v>6</v>
      </c>
      <c r="L77" s="75">
        <v>2</v>
      </c>
      <c r="M77" s="75">
        <v>1065.4000000000001</v>
      </c>
      <c r="N77" s="75">
        <v>522.80999999999995</v>
      </c>
      <c r="O77" s="76">
        <f t="shared" si="6"/>
        <v>542.59000000000015</v>
      </c>
      <c r="P77" s="77">
        <v>4</v>
      </c>
      <c r="Q77" s="75">
        <v>4</v>
      </c>
      <c r="R77" s="75">
        <v>3</v>
      </c>
      <c r="S77" s="75">
        <v>2337.1</v>
      </c>
      <c r="T77" s="75">
        <v>373.44</v>
      </c>
      <c r="U77" s="76">
        <f t="shared" si="7"/>
        <v>1963.6599999999999</v>
      </c>
      <c r="W77">
        <f t="shared" si="4"/>
        <v>3402.5</v>
      </c>
    </row>
    <row r="78" spans="1:23" ht="18" customHeight="1" x14ac:dyDescent="0.25">
      <c r="A78" s="90">
        <v>62</v>
      </c>
      <c r="B78" s="70">
        <f t="shared" si="5"/>
        <v>68</v>
      </c>
      <c r="C78" s="11" t="s">
        <v>80</v>
      </c>
      <c r="D78" s="15" t="s">
        <v>124</v>
      </c>
      <c r="E78" s="71"/>
      <c r="F78" s="17" t="s">
        <v>106</v>
      </c>
      <c r="G78" s="72" t="s">
        <v>195</v>
      </c>
      <c r="H78" s="73">
        <v>3</v>
      </c>
      <c r="I78" s="74">
        <v>2</v>
      </c>
      <c r="J78" s="74">
        <v>2</v>
      </c>
      <c r="K78" s="74">
        <v>2</v>
      </c>
      <c r="L78" s="75"/>
      <c r="M78" s="75"/>
      <c r="N78" s="75"/>
      <c r="O78" s="76">
        <f t="shared" si="6"/>
        <v>0</v>
      </c>
      <c r="P78" s="77"/>
      <c r="Q78" s="75"/>
      <c r="R78" s="75"/>
      <c r="S78" s="75"/>
      <c r="T78" s="75"/>
      <c r="U78" s="76">
        <f t="shared" si="7"/>
        <v>0</v>
      </c>
      <c r="W78">
        <f t="shared" si="4"/>
        <v>0</v>
      </c>
    </row>
    <row r="79" spans="1:23" ht="18" customHeight="1" x14ac:dyDescent="0.25">
      <c r="A79" s="90"/>
      <c r="B79" s="70">
        <f t="shared" si="5"/>
        <v>69</v>
      </c>
      <c r="C79" s="14" t="s">
        <v>81</v>
      </c>
      <c r="D79" s="15" t="s">
        <v>124</v>
      </c>
      <c r="E79" s="71"/>
      <c r="F79" s="10" t="s">
        <v>106</v>
      </c>
      <c r="G79" s="72" t="s">
        <v>226</v>
      </c>
      <c r="H79" s="73"/>
      <c r="I79" s="74"/>
      <c r="J79" s="74"/>
      <c r="K79" s="74"/>
      <c r="L79" s="75"/>
      <c r="M79" s="75"/>
      <c r="N79" s="75"/>
      <c r="O79" s="76">
        <f t="shared" si="6"/>
        <v>0</v>
      </c>
      <c r="P79" s="77">
        <v>8</v>
      </c>
      <c r="Q79" s="75">
        <v>8</v>
      </c>
      <c r="R79" s="75">
        <v>8</v>
      </c>
      <c r="S79" s="75">
        <v>3889.76</v>
      </c>
      <c r="T79" s="75">
        <v>852.2</v>
      </c>
      <c r="U79" s="76">
        <f t="shared" si="7"/>
        <v>3037.5600000000004</v>
      </c>
      <c r="W79">
        <f t="shared" si="4"/>
        <v>3889.76</v>
      </c>
    </row>
    <row r="80" spans="1:23" ht="18" customHeight="1" x14ac:dyDescent="0.25">
      <c r="A80" s="90">
        <v>63</v>
      </c>
      <c r="B80" s="70">
        <f t="shared" si="5"/>
        <v>70</v>
      </c>
      <c r="C80" s="14" t="s">
        <v>82</v>
      </c>
      <c r="D80" s="15" t="s">
        <v>124</v>
      </c>
      <c r="E80" s="71"/>
      <c r="F80" s="10" t="s">
        <v>106</v>
      </c>
      <c r="G80" s="72" t="s">
        <v>196</v>
      </c>
      <c r="H80" s="73">
        <v>7</v>
      </c>
      <c r="I80" s="74">
        <v>1</v>
      </c>
      <c r="J80" s="74">
        <v>1</v>
      </c>
      <c r="K80" s="74">
        <v>1</v>
      </c>
      <c r="L80" s="75">
        <v>1</v>
      </c>
      <c r="M80" s="75">
        <v>272.83999999999997</v>
      </c>
      <c r="N80" s="75">
        <v>272.83999999999997</v>
      </c>
      <c r="O80" s="76">
        <f t="shared" si="6"/>
        <v>0</v>
      </c>
      <c r="P80" s="77">
        <v>1</v>
      </c>
      <c r="Q80" s="75">
        <v>1</v>
      </c>
      <c r="R80" s="75">
        <v>1</v>
      </c>
      <c r="S80" s="75">
        <v>275.60000000000002</v>
      </c>
      <c r="T80" s="75">
        <v>275.60000000000002</v>
      </c>
      <c r="U80" s="76">
        <f t="shared" si="7"/>
        <v>0</v>
      </c>
      <c r="W80">
        <f t="shared" si="4"/>
        <v>548.44000000000005</v>
      </c>
    </row>
    <row r="81" spans="1:23" ht="18" customHeight="1" x14ac:dyDescent="0.25">
      <c r="A81" s="90">
        <v>64</v>
      </c>
      <c r="B81" s="70">
        <f t="shared" si="5"/>
        <v>71</v>
      </c>
      <c r="C81" s="14" t="s">
        <v>83</v>
      </c>
      <c r="D81" s="15" t="s">
        <v>124</v>
      </c>
      <c r="E81" s="71"/>
      <c r="F81" s="10" t="s">
        <v>106</v>
      </c>
      <c r="G81" s="72" t="s">
        <v>197</v>
      </c>
      <c r="H81" s="73">
        <v>9</v>
      </c>
      <c r="I81" s="74">
        <v>1</v>
      </c>
      <c r="J81" s="74">
        <v>1</v>
      </c>
      <c r="K81" s="74">
        <v>1</v>
      </c>
      <c r="L81" s="75">
        <v>1</v>
      </c>
      <c r="M81" s="75">
        <v>531.74</v>
      </c>
      <c r="N81" s="75">
        <v>531.74</v>
      </c>
      <c r="O81" s="76">
        <f t="shared" si="6"/>
        <v>0</v>
      </c>
      <c r="P81" s="77">
        <v>5</v>
      </c>
      <c r="Q81" s="75">
        <v>5</v>
      </c>
      <c r="R81" s="75">
        <v>5</v>
      </c>
      <c r="S81" s="75">
        <v>12327.43</v>
      </c>
      <c r="T81" s="75">
        <v>12327.43</v>
      </c>
      <c r="U81" s="76">
        <f t="shared" si="7"/>
        <v>0</v>
      </c>
      <c r="W81">
        <f t="shared" si="4"/>
        <v>12859.17</v>
      </c>
    </row>
    <row r="82" spans="1:23" ht="18" customHeight="1" x14ac:dyDescent="0.25">
      <c r="A82" s="90">
        <v>65</v>
      </c>
      <c r="B82" s="70">
        <f t="shared" si="5"/>
        <v>72</v>
      </c>
      <c r="C82" s="11" t="s">
        <v>84</v>
      </c>
      <c r="D82" s="15" t="s">
        <v>124</v>
      </c>
      <c r="E82" s="71"/>
      <c r="F82" s="10" t="s">
        <v>120</v>
      </c>
      <c r="G82" s="72" t="s">
        <v>198</v>
      </c>
      <c r="H82" s="73">
        <v>1</v>
      </c>
      <c r="I82" s="74"/>
      <c r="J82" s="74"/>
      <c r="K82" s="74"/>
      <c r="L82" s="75"/>
      <c r="M82" s="75"/>
      <c r="N82" s="75"/>
      <c r="O82" s="76">
        <f t="shared" si="6"/>
        <v>0</v>
      </c>
      <c r="P82" s="77"/>
      <c r="Q82" s="75"/>
      <c r="R82" s="75"/>
      <c r="S82" s="75"/>
      <c r="T82" s="75"/>
      <c r="U82" s="76">
        <f t="shared" si="7"/>
        <v>0</v>
      </c>
      <c r="W82">
        <f t="shared" si="4"/>
        <v>0</v>
      </c>
    </row>
    <row r="83" spans="1:23" ht="18" customHeight="1" x14ac:dyDescent="0.25">
      <c r="A83" s="90">
        <v>66</v>
      </c>
      <c r="B83" s="70">
        <f t="shared" si="5"/>
        <v>73</v>
      </c>
      <c r="C83" s="13" t="s">
        <v>85</v>
      </c>
      <c r="D83" s="15" t="s">
        <v>124</v>
      </c>
      <c r="E83" s="71"/>
      <c r="F83" s="19" t="s">
        <v>106</v>
      </c>
      <c r="G83" s="72" t="s">
        <v>199</v>
      </c>
      <c r="H83" s="73">
        <v>9</v>
      </c>
      <c r="I83" s="74">
        <v>4</v>
      </c>
      <c r="J83" s="74">
        <v>4</v>
      </c>
      <c r="K83" s="74">
        <v>4</v>
      </c>
      <c r="L83" s="75">
        <v>4</v>
      </c>
      <c r="M83" s="75">
        <v>2282.25</v>
      </c>
      <c r="N83" s="75"/>
      <c r="O83" s="76">
        <f t="shared" si="6"/>
        <v>2282.25</v>
      </c>
      <c r="P83" s="77">
        <v>5</v>
      </c>
      <c r="Q83" s="75">
        <v>5</v>
      </c>
      <c r="R83" s="75">
        <v>5</v>
      </c>
      <c r="S83" s="75">
        <v>15935.59</v>
      </c>
      <c r="T83" s="75">
        <v>5274.97</v>
      </c>
      <c r="U83" s="76">
        <f t="shared" si="7"/>
        <v>10660.619999999999</v>
      </c>
      <c r="W83">
        <f t="shared" si="4"/>
        <v>18217.84</v>
      </c>
    </row>
    <row r="84" spans="1:23" ht="18" customHeight="1" x14ac:dyDescent="0.25">
      <c r="A84" s="90">
        <v>67</v>
      </c>
      <c r="B84" s="70">
        <f t="shared" si="5"/>
        <v>74</v>
      </c>
      <c r="C84" s="10" t="s">
        <v>86</v>
      </c>
      <c r="D84" s="15" t="s">
        <v>124</v>
      </c>
      <c r="E84" s="71"/>
      <c r="F84" s="22" t="s">
        <v>118</v>
      </c>
      <c r="G84" s="72" t="s">
        <v>200</v>
      </c>
      <c r="H84" s="73">
        <v>7</v>
      </c>
      <c r="I84" s="74">
        <v>3</v>
      </c>
      <c r="J84" s="74">
        <v>3</v>
      </c>
      <c r="K84" s="74">
        <v>3</v>
      </c>
      <c r="L84" s="75">
        <v>3</v>
      </c>
      <c r="M84" s="75">
        <v>2803.04</v>
      </c>
      <c r="N84" s="75">
        <v>2803.04</v>
      </c>
      <c r="O84" s="76">
        <f t="shared" si="6"/>
        <v>0</v>
      </c>
      <c r="P84" s="77">
        <v>3</v>
      </c>
      <c r="Q84" s="75">
        <v>3</v>
      </c>
      <c r="R84" s="75">
        <v>3</v>
      </c>
      <c r="S84" s="75">
        <v>6465.89</v>
      </c>
      <c r="T84" s="75">
        <v>6465.89</v>
      </c>
      <c r="U84" s="76">
        <f t="shared" si="7"/>
        <v>0</v>
      </c>
      <c r="W84">
        <f t="shared" si="4"/>
        <v>9268.93</v>
      </c>
    </row>
    <row r="85" spans="1:23" ht="18" customHeight="1" x14ac:dyDescent="0.25">
      <c r="A85" s="90">
        <v>68</v>
      </c>
      <c r="B85" s="70">
        <f t="shared" si="5"/>
        <v>75</v>
      </c>
      <c r="C85" s="10" t="s">
        <v>87</v>
      </c>
      <c r="D85" s="15" t="s">
        <v>124</v>
      </c>
      <c r="E85" s="71"/>
      <c r="F85" s="22" t="s">
        <v>115</v>
      </c>
      <c r="G85" s="72" t="s">
        <v>201</v>
      </c>
      <c r="H85" s="73">
        <v>8</v>
      </c>
      <c r="I85" s="74">
        <v>1</v>
      </c>
      <c r="J85" s="74">
        <v>1</v>
      </c>
      <c r="K85" s="74">
        <v>1</v>
      </c>
      <c r="L85" s="75">
        <v>1</v>
      </c>
      <c r="M85" s="75">
        <v>409.27</v>
      </c>
      <c r="N85" s="75"/>
      <c r="O85" s="76">
        <f t="shared" si="6"/>
        <v>409.27</v>
      </c>
      <c r="P85" s="77">
        <v>1</v>
      </c>
      <c r="Q85" s="75">
        <v>1</v>
      </c>
      <c r="R85" s="75"/>
      <c r="S85" s="75"/>
      <c r="T85" s="75"/>
      <c r="U85" s="76">
        <f t="shared" si="7"/>
        <v>0</v>
      </c>
      <c r="W85">
        <f t="shared" si="4"/>
        <v>409.27</v>
      </c>
    </row>
    <row r="86" spans="1:23" ht="18" customHeight="1" x14ac:dyDescent="0.25">
      <c r="A86" s="90">
        <v>70</v>
      </c>
      <c r="B86" s="70">
        <f t="shared" si="5"/>
        <v>76</v>
      </c>
      <c r="C86" s="11" t="s">
        <v>88</v>
      </c>
      <c r="D86" s="15" t="s">
        <v>124</v>
      </c>
      <c r="E86" s="71"/>
      <c r="F86" s="17" t="s">
        <v>121</v>
      </c>
      <c r="G86" s="72" t="s">
        <v>203</v>
      </c>
      <c r="H86" s="73">
        <v>10</v>
      </c>
      <c r="I86" s="74">
        <v>8</v>
      </c>
      <c r="J86" s="74">
        <v>13</v>
      </c>
      <c r="K86" s="74">
        <v>13</v>
      </c>
      <c r="L86" s="75">
        <v>7</v>
      </c>
      <c r="M86" s="75">
        <v>4781.9399999999996</v>
      </c>
      <c r="N86" s="75"/>
      <c r="O86" s="76">
        <f t="shared" si="6"/>
        <v>4781.9399999999996</v>
      </c>
      <c r="P86" s="77">
        <v>6</v>
      </c>
      <c r="Q86" s="75">
        <v>5</v>
      </c>
      <c r="R86" s="75">
        <v>4</v>
      </c>
      <c r="S86" s="75">
        <v>2068.4699999999998</v>
      </c>
      <c r="T86" s="75"/>
      <c r="U86" s="76">
        <f t="shared" si="7"/>
        <v>2068.4699999999998</v>
      </c>
      <c r="W86">
        <f t="shared" si="4"/>
        <v>6850.41</v>
      </c>
    </row>
    <row r="87" spans="1:23" ht="18" customHeight="1" x14ac:dyDescent="0.25">
      <c r="A87" s="90">
        <v>69</v>
      </c>
      <c r="B87" s="70">
        <f t="shared" si="5"/>
        <v>77</v>
      </c>
      <c r="C87" s="14" t="s">
        <v>89</v>
      </c>
      <c r="D87" s="15" t="s">
        <v>124</v>
      </c>
      <c r="E87" s="71"/>
      <c r="F87" s="19" t="s">
        <v>106</v>
      </c>
      <c r="G87" s="72" t="s">
        <v>202</v>
      </c>
      <c r="H87" s="73">
        <v>2</v>
      </c>
      <c r="I87" s="74"/>
      <c r="J87" s="74"/>
      <c r="K87" s="74"/>
      <c r="L87" s="75"/>
      <c r="M87" s="75"/>
      <c r="N87" s="75"/>
      <c r="O87" s="76">
        <f t="shared" si="6"/>
        <v>0</v>
      </c>
      <c r="P87" s="77">
        <v>2</v>
      </c>
      <c r="Q87" s="75">
        <v>2</v>
      </c>
      <c r="R87" s="75">
        <v>2</v>
      </c>
      <c r="S87" s="75">
        <v>839.18</v>
      </c>
      <c r="T87" s="75"/>
      <c r="U87" s="76">
        <f t="shared" si="7"/>
        <v>839.18</v>
      </c>
      <c r="W87">
        <f t="shared" si="4"/>
        <v>839.18</v>
      </c>
    </row>
    <row r="88" spans="1:23" ht="18" customHeight="1" x14ac:dyDescent="0.25">
      <c r="A88" s="90">
        <v>71</v>
      </c>
      <c r="B88" s="70">
        <f t="shared" si="5"/>
        <v>78</v>
      </c>
      <c r="C88" s="14" t="s">
        <v>90</v>
      </c>
      <c r="D88" s="15" t="s">
        <v>124</v>
      </c>
      <c r="E88" s="71"/>
      <c r="F88" s="19" t="s">
        <v>106</v>
      </c>
      <c r="G88" s="72" t="s">
        <v>204</v>
      </c>
      <c r="H88" s="73">
        <v>3</v>
      </c>
      <c r="I88" s="74">
        <v>2</v>
      </c>
      <c r="J88" s="74">
        <v>2</v>
      </c>
      <c r="K88" s="74">
        <v>2</v>
      </c>
      <c r="L88" s="75">
        <v>2</v>
      </c>
      <c r="M88" s="75">
        <v>795.8</v>
      </c>
      <c r="N88" s="75">
        <v>250.11</v>
      </c>
      <c r="O88" s="76">
        <f t="shared" si="6"/>
        <v>545.68999999999994</v>
      </c>
      <c r="P88" s="77">
        <v>2</v>
      </c>
      <c r="Q88" s="75">
        <v>2</v>
      </c>
      <c r="R88" s="75">
        <v>2</v>
      </c>
      <c r="S88" s="75">
        <v>2723.78</v>
      </c>
      <c r="T88" s="75">
        <v>2723.78</v>
      </c>
      <c r="U88" s="76">
        <f t="shared" si="7"/>
        <v>0</v>
      </c>
      <c r="W88">
        <f t="shared" si="4"/>
        <v>3519.58</v>
      </c>
    </row>
    <row r="89" spans="1:23" ht="18" customHeight="1" x14ac:dyDescent="0.25">
      <c r="A89" s="90"/>
      <c r="B89" s="70">
        <f t="shared" si="5"/>
        <v>79</v>
      </c>
      <c r="C89" s="10" t="s">
        <v>91</v>
      </c>
      <c r="D89" s="15" t="s">
        <v>124</v>
      </c>
      <c r="E89" s="71"/>
      <c r="F89" s="17" t="s">
        <v>111</v>
      </c>
      <c r="G89" s="72" t="s">
        <v>231</v>
      </c>
      <c r="H89" s="73">
        <v>1</v>
      </c>
      <c r="I89" s="74"/>
      <c r="J89" s="74"/>
      <c r="K89" s="74"/>
      <c r="L89" s="75"/>
      <c r="M89" s="75"/>
      <c r="N89" s="75"/>
      <c r="O89" s="76">
        <f t="shared" si="6"/>
        <v>0</v>
      </c>
      <c r="P89" s="77">
        <v>6</v>
      </c>
      <c r="Q89" s="75">
        <v>6</v>
      </c>
      <c r="R89" s="75">
        <v>6</v>
      </c>
      <c r="S89" s="75">
        <v>7502.29</v>
      </c>
      <c r="T89" s="75">
        <v>4474.76</v>
      </c>
      <c r="U89" s="76">
        <f t="shared" si="7"/>
        <v>3027.5299999999997</v>
      </c>
      <c r="W89">
        <f t="shared" si="4"/>
        <v>7502.29</v>
      </c>
    </row>
    <row r="90" spans="1:23" ht="18" customHeight="1" x14ac:dyDescent="0.25">
      <c r="A90" s="90">
        <v>72</v>
      </c>
      <c r="B90" s="70">
        <f t="shared" si="5"/>
        <v>80</v>
      </c>
      <c r="C90" s="10" t="s">
        <v>92</v>
      </c>
      <c r="D90" s="15" t="s">
        <v>124</v>
      </c>
      <c r="E90" s="71"/>
      <c r="F90" s="19" t="s">
        <v>106</v>
      </c>
      <c r="G90" s="72" t="s">
        <v>205</v>
      </c>
      <c r="H90" s="73">
        <v>2</v>
      </c>
      <c r="I90" s="74">
        <v>1</v>
      </c>
      <c r="J90" s="74">
        <v>1</v>
      </c>
      <c r="K90" s="74">
        <v>1</v>
      </c>
      <c r="L90" s="75">
        <v>1</v>
      </c>
      <c r="M90" s="75">
        <v>725.77</v>
      </c>
      <c r="N90" s="75"/>
      <c r="O90" s="76">
        <f t="shared" si="6"/>
        <v>725.77</v>
      </c>
      <c r="P90" s="77">
        <v>4</v>
      </c>
      <c r="Q90" s="75">
        <v>4</v>
      </c>
      <c r="R90" s="75">
        <v>2</v>
      </c>
      <c r="S90" s="75">
        <v>8161.92</v>
      </c>
      <c r="T90" s="75">
        <v>5032.46</v>
      </c>
      <c r="U90" s="76">
        <f t="shared" si="7"/>
        <v>3129.46</v>
      </c>
      <c r="W90">
        <f t="shared" si="4"/>
        <v>8887.69</v>
      </c>
    </row>
    <row r="91" spans="1:23" ht="18" customHeight="1" x14ac:dyDescent="0.25">
      <c r="A91" s="90">
        <v>73</v>
      </c>
      <c r="B91" s="70">
        <f t="shared" si="5"/>
        <v>81</v>
      </c>
      <c r="C91" s="11" t="s">
        <v>93</v>
      </c>
      <c r="D91" s="15" t="s">
        <v>124</v>
      </c>
      <c r="E91" s="71"/>
      <c r="F91" s="17" t="s">
        <v>122</v>
      </c>
      <c r="G91" s="72" t="s">
        <v>206</v>
      </c>
      <c r="H91" s="73">
        <v>12</v>
      </c>
      <c r="I91" s="74">
        <v>9</v>
      </c>
      <c r="J91" s="74">
        <v>13</v>
      </c>
      <c r="K91" s="74">
        <v>13</v>
      </c>
      <c r="L91" s="75">
        <v>6</v>
      </c>
      <c r="M91" s="75">
        <v>2814.78</v>
      </c>
      <c r="N91" s="75"/>
      <c r="O91" s="76">
        <f t="shared" si="6"/>
        <v>2814.78</v>
      </c>
      <c r="P91" s="77">
        <v>4</v>
      </c>
      <c r="Q91" s="75">
        <v>4</v>
      </c>
      <c r="R91" s="75">
        <v>0</v>
      </c>
      <c r="S91" s="75"/>
      <c r="T91" s="75"/>
      <c r="U91" s="76">
        <f t="shared" si="7"/>
        <v>0</v>
      </c>
      <c r="W91">
        <f t="shared" si="4"/>
        <v>2814.78</v>
      </c>
    </row>
    <row r="92" spans="1:23" ht="18" customHeight="1" x14ac:dyDescent="0.25">
      <c r="A92" s="90">
        <v>74</v>
      </c>
      <c r="B92" s="70">
        <f t="shared" si="5"/>
        <v>82</v>
      </c>
      <c r="C92" s="11" t="s">
        <v>94</v>
      </c>
      <c r="D92" s="15" t="s">
        <v>124</v>
      </c>
      <c r="E92" s="71"/>
      <c r="F92" s="19" t="s">
        <v>106</v>
      </c>
      <c r="G92" s="72" t="s">
        <v>218</v>
      </c>
      <c r="H92" s="73">
        <v>7</v>
      </c>
      <c r="I92" s="74">
        <v>4</v>
      </c>
      <c r="J92" s="74">
        <v>5</v>
      </c>
      <c r="K92" s="74">
        <v>5</v>
      </c>
      <c r="L92" s="75">
        <v>1</v>
      </c>
      <c r="M92" s="75">
        <v>1255.05</v>
      </c>
      <c r="N92" s="75"/>
      <c r="O92" s="76">
        <f t="shared" si="6"/>
        <v>1255.05</v>
      </c>
      <c r="P92" s="77">
        <v>6</v>
      </c>
      <c r="Q92" s="75">
        <v>6</v>
      </c>
      <c r="R92" s="75">
        <v>4</v>
      </c>
      <c r="S92" s="75">
        <v>6219.66</v>
      </c>
      <c r="T92" s="75"/>
      <c r="U92" s="76">
        <f t="shared" si="7"/>
        <v>6219.66</v>
      </c>
      <c r="W92">
        <f t="shared" si="4"/>
        <v>7474.71</v>
      </c>
    </row>
    <row r="93" spans="1:23" ht="18" customHeight="1" x14ac:dyDescent="0.25">
      <c r="A93" s="90">
        <v>75</v>
      </c>
      <c r="B93" s="70">
        <f t="shared" si="5"/>
        <v>83</v>
      </c>
      <c r="C93" s="11" t="s">
        <v>95</v>
      </c>
      <c r="D93" s="15" t="s">
        <v>124</v>
      </c>
      <c r="E93" s="71"/>
      <c r="F93" s="19" t="s">
        <v>123</v>
      </c>
      <c r="G93" s="72" t="s">
        <v>217</v>
      </c>
      <c r="H93" s="73">
        <v>9</v>
      </c>
      <c r="I93" s="74">
        <v>4</v>
      </c>
      <c r="J93" s="74">
        <v>5</v>
      </c>
      <c r="K93" s="74">
        <v>5</v>
      </c>
      <c r="L93" s="75">
        <v>5</v>
      </c>
      <c r="M93" s="75">
        <v>2301.54</v>
      </c>
      <c r="N93" s="75"/>
      <c r="O93" s="76">
        <f t="shared" si="6"/>
        <v>2301.54</v>
      </c>
      <c r="P93" s="77">
        <v>1</v>
      </c>
      <c r="Q93" s="75">
        <v>1</v>
      </c>
      <c r="R93" s="75">
        <v>1</v>
      </c>
      <c r="S93" s="75">
        <v>206.7</v>
      </c>
      <c r="T93" s="75">
        <v>206.7</v>
      </c>
      <c r="U93" s="76">
        <f t="shared" si="7"/>
        <v>0</v>
      </c>
      <c r="W93">
        <f t="shared" si="4"/>
        <v>2508.2399999999998</v>
      </c>
    </row>
    <row r="94" spans="1:23" ht="18" customHeight="1" x14ac:dyDescent="0.25">
      <c r="A94" s="90">
        <v>76</v>
      </c>
      <c r="B94" s="70">
        <f t="shared" si="5"/>
        <v>84</v>
      </c>
      <c r="C94" s="11" t="s">
        <v>96</v>
      </c>
      <c r="D94" s="15" t="s">
        <v>124</v>
      </c>
      <c r="E94" s="71"/>
      <c r="F94" s="22" t="s">
        <v>112</v>
      </c>
      <c r="G94" s="72" t="s">
        <v>216</v>
      </c>
      <c r="H94" s="73">
        <v>19</v>
      </c>
      <c r="I94" s="74">
        <v>8</v>
      </c>
      <c r="J94" s="74">
        <v>10</v>
      </c>
      <c r="K94" s="74">
        <v>10</v>
      </c>
      <c r="L94" s="75"/>
      <c r="M94" s="75"/>
      <c r="N94" s="75"/>
      <c r="O94" s="76">
        <f t="shared" si="6"/>
        <v>0</v>
      </c>
      <c r="P94" s="77">
        <v>5</v>
      </c>
      <c r="Q94" s="75">
        <v>5</v>
      </c>
      <c r="R94" s="75">
        <v>3</v>
      </c>
      <c r="S94" s="75">
        <v>5838.31</v>
      </c>
      <c r="T94" s="75">
        <v>5838.31</v>
      </c>
      <c r="U94" s="76">
        <f t="shared" si="7"/>
        <v>0</v>
      </c>
      <c r="W94">
        <f t="shared" si="4"/>
        <v>5838.31</v>
      </c>
    </row>
    <row r="95" spans="1:23" ht="18" customHeight="1" x14ac:dyDescent="0.25">
      <c r="A95" s="90">
        <v>77</v>
      </c>
      <c r="B95" s="70">
        <f t="shared" si="5"/>
        <v>85</v>
      </c>
      <c r="C95" s="11" t="s">
        <v>97</v>
      </c>
      <c r="D95" s="15" t="s">
        <v>124</v>
      </c>
      <c r="E95" s="71"/>
      <c r="F95" s="17" t="s">
        <v>111</v>
      </c>
      <c r="G95" s="72" t="s">
        <v>215</v>
      </c>
      <c r="H95" s="73">
        <v>9</v>
      </c>
      <c r="I95" s="74">
        <v>1</v>
      </c>
      <c r="J95" s="74">
        <v>2</v>
      </c>
      <c r="K95" s="74">
        <v>2</v>
      </c>
      <c r="L95" s="75"/>
      <c r="M95" s="75"/>
      <c r="N95" s="75"/>
      <c r="O95" s="76">
        <f t="shared" si="6"/>
        <v>0</v>
      </c>
      <c r="P95" s="77">
        <v>19</v>
      </c>
      <c r="Q95" s="75">
        <v>19</v>
      </c>
      <c r="R95" s="75">
        <v>17</v>
      </c>
      <c r="S95" s="75">
        <v>18253.04</v>
      </c>
      <c r="T95" s="75">
        <v>18253.04</v>
      </c>
      <c r="U95" s="76">
        <f t="shared" si="7"/>
        <v>0</v>
      </c>
      <c r="W95">
        <f t="shared" si="4"/>
        <v>18253.04</v>
      </c>
    </row>
    <row r="96" spans="1:23" ht="18" customHeight="1" x14ac:dyDescent="0.25">
      <c r="A96" s="90">
        <v>78</v>
      </c>
      <c r="B96" s="70">
        <f t="shared" si="5"/>
        <v>86</v>
      </c>
      <c r="C96" s="10" t="s">
        <v>98</v>
      </c>
      <c r="D96" s="15" t="s">
        <v>124</v>
      </c>
      <c r="E96" s="71"/>
      <c r="F96" s="19" t="s">
        <v>106</v>
      </c>
      <c r="G96" s="72" t="s">
        <v>214</v>
      </c>
      <c r="H96" s="73">
        <v>12</v>
      </c>
      <c r="I96" s="74">
        <v>1</v>
      </c>
      <c r="J96" s="74">
        <v>1</v>
      </c>
      <c r="K96" s="74">
        <v>1</v>
      </c>
      <c r="L96" s="75">
        <v>1</v>
      </c>
      <c r="M96" s="75">
        <v>413.4</v>
      </c>
      <c r="N96" s="75">
        <v>413.4</v>
      </c>
      <c r="O96" s="76">
        <f t="shared" si="6"/>
        <v>0</v>
      </c>
      <c r="P96" s="77">
        <v>9</v>
      </c>
      <c r="Q96" s="75">
        <v>9</v>
      </c>
      <c r="R96" s="75">
        <v>9</v>
      </c>
      <c r="S96" s="75">
        <v>22276.25</v>
      </c>
      <c r="T96" s="75">
        <v>22276.25</v>
      </c>
      <c r="U96" s="76">
        <f t="shared" si="7"/>
        <v>0</v>
      </c>
      <c r="W96">
        <f t="shared" si="4"/>
        <v>22689.65</v>
      </c>
    </row>
    <row r="97" spans="1:26" ht="18" customHeight="1" x14ac:dyDescent="0.25">
      <c r="A97" s="90">
        <v>80</v>
      </c>
      <c r="B97" s="70">
        <f t="shared" si="5"/>
        <v>87</v>
      </c>
      <c r="C97" s="10" t="s">
        <v>129</v>
      </c>
      <c r="D97" s="15" t="s">
        <v>124</v>
      </c>
      <c r="E97" s="71"/>
      <c r="F97" s="19" t="s">
        <v>106</v>
      </c>
      <c r="G97" s="72" t="s">
        <v>212</v>
      </c>
      <c r="H97" s="73">
        <v>3</v>
      </c>
      <c r="I97" s="74"/>
      <c r="J97" s="74"/>
      <c r="K97" s="74"/>
      <c r="L97" s="75"/>
      <c r="M97" s="75"/>
      <c r="N97" s="75"/>
      <c r="O97" s="76">
        <f t="shared" si="6"/>
        <v>0</v>
      </c>
      <c r="P97" s="77"/>
      <c r="Q97" s="75"/>
      <c r="R97" s="75"/>
      <c r="S97" s="75"/>
      <c r="T97" s="75"/>
      <c r="U97" s="76">
        <f t="shared" si="7"/>
        <v>0</v>
      </c>
      <c r="W97">
        <f t="shared" si="4"/>
        <v>0</v>
      </c>
    </row>
    <row r="98" spans="1:26" ht="18" customHeight="1" x14ac:dyDescent="0.25">
      <c r="A98" s="90">
        <v>79</v>
      </c>
      <c r="B98" s="70">
        <f t="shared" si="5"/>
        <v>88</v>
      </c>
      <c r="C98" s="10" t="s">
        <v>99</v>
      </c>
      <c r="D98" s="15" t="s">
        <v>124</v>
      </c>
      <c r="E98" s="71"/>
      <c r="F98" s="19" t="s">
        <v>106</v>
      </c>
      <c r="G98" s="72" t="s">
        <v>213</v>
      </c>
      <c r="H98" s="73">
        <v>6</v>
      </c>
      <c r="I98" s="74">
        <v>2</v>
      </c>
      <c r="J98" s="74">
        <v>2</v>
      </c>
      <c r="K98" s="74">
        <v>2</v>
      </c>
      <c r="L98" s="75">
        <v>2</v>
      </c>
      <c r="M98" s="75">
        <v>1545.67</v>
      </c>
      <c r="N98" s="75">
        <v>408.82</v>
      </c>
      <c r="O98" s="76">
        <f t="shared" si="6"/>
        <v>1136.8500000000001</v>
      </c>
      <c r="P98" s="77">
        <v>4</v>
      </c>
      <c r="Q98" s="75">
        <v>4</v>
      </c>
      <c r="R98" s="75">
        <v>4</v>
      </c>
      <c r="S98" s="75">
        <v>1744.35</v>
      </c>
      <c r="T98" s="75">
        <v>822.22</v>
      </c>
      <c r="U98" s="76">
        <f t="shared" si="7"/>
        <v>922.12999999999988</v>
      </c>
      <c r="W98">
        <f t="shared" si="4"/>
        <v>3290.02</v>
      </c>
    </row>
    <row r="99" spans="1:26" ht="18" customHeight="1" x14ac:dyDescent="0.25">
      <c r="A99" s="90">
        <v>81</v>
      </c>
      <c r="B99" s="70">
        <f t="shared" si="5"/>
        <v>89</v>
      </c>
      <c r="C99" s="13" t="s">
        <v>100</v>
      </c>
      <c r="D99" s="15" t="s">
        <v>124</v>
      </c>
      <c r="E99" s="71"/>
      <c r="F99" s="19" t="s">
        <v>106</v>
      </c>
      <c r="G99" s="72" t="s">
        <v>211</v>
      </c>
      <c r="H99" s="73">
        <v>6</v>
      </c>
      <c r="I99" s="74">
        <v>2</v>
      </c>
      <c r="J99" s="74">
        <v>2</v>
      </c>
      <c r="K99" s="74">
        <v>2</v>
      </c>
      <c r="L99" s="75"/>
      <c r="M99" s="75"/>
      <c r="N99" s="75"/>
      <c r="O99" s="76">
        <f t="shared" si="6"/>
        <v>0</v>
      </c>
      <c r="P99" s="77">
        <v>6</v>
      </c>
      <c r="Q99" s="75">
        <v>6</v>
      </c>
      <c r="R99" s="75">
        <v>5</v>
      </c>
      <c r="S99" s="75">
        <v>6457</v>
      </c>
      <c r="T99" s="75">
        <v>6457</v>
      </c>
      <c r="U99" s="76">
        <f t="shared" si="7"/>
        <v>0</v>
      </c>
      <c r="W99">
        <f t="shared" si="4"/>
        <v>6457</v>
      </c>
    </row>
    <row r="100" spans="1:26" ht="18" customHeight="1" x14ac:dyDescent="0.25">
      <c r="A100" s="90">
        <v>82</v>
      </c>
      <c r="B100" s="70">
        <f t="shared" si="5"/>
        <v>90</v>
      </c>
      <c r="C100" s="13" t="s">
        <v>101</v>
      </c>
      <c r="D100" s="15" t="s">
        <v>124</v>
      </c>
      <c r="E100" s="71"/>
      <c r="F100" s="17" t="s">
        <v>106</v>
      </c>
      <c r="G100" s="72" t="s">
        <v>210</v>
      </c>
      <c r="H100" s="73">
        <v>6</v>
      </c>
      <c r="I100" s="74">
        <v>1</v>
      </c>
      <c r="J100" s="74">
        <v>1</v>
      </c>
      <c r="K100" s="74">
        <v>1</v>
      </c>
      <c r="L100" s="75"/>
      <c r="M100" s="75"/>
      <c r="N100" s="75"/>
      <c r="O100" s="76">
        <f t="shared" si="6"/>
        <v>0</v>
      </c>
      <c r="P100" s="77">
        <v>6</v>
      </c>
      <c r="Q100" s="75">
        <v>6</v>
      </c>
      <c r="R100" s="75">
        <v>6</v>
      </c>
      <c r="S100" s="75">
        <v>5077.71</v>
      </c>
      <c r="T100" s="75">
        <v>2190.71</v>
      </c>
      <c r="U100" s="76">
        <f t="shared" si="7"/>
        <v>2887</v>
      </c>
      <c r="W100">
        <f t="shared" si="4"/>
        <v>5077.71</v>
      </c>
    </row>
    <row r="101" spans="1:26" ht="18" customHeight="1" x14ac:dyDescent="0.25">
      <c r="A101" s="90">
        <v>83</v>
      </c>
      <c r="B101" s="70">
        <f t="shared" si="5"/>
        <v>91</v>
      </c>
      <c r="C101" s="13" t="s">
        <v>102</v>
      </c>
      <c r="D101" s="15" t="s">
        <v>124</v>
      </c>
      <c r="E101" s="71"/>
      <c r="F101" s="17" t="s">
        <v>106</v>
      </c>
      <c r="G101" s="72" t="s">
        <v>209</v>
      </c>
      <c r="H101" s="73">
        <v>10</v>
      </c>
      <c r="I101" s="74">
        <v>5</v>
      </c>
      <c r="J101" s="74">
        <v>6</v>
      </c>
      <c r="K101" s="74">
        <v>6</v>
      </c>
      <c r="L101" s="75">
        <v>4</v>
      </c>
      <c r="M101" s="75">
        <v>4459.37</v>
      </c>
      <c r="N101" s="75">
        <v>2669.35</v>
      </c>
      <c r="O101" s="76">
        <f t="shared" si="6"/>
        <v>1790.02</v>
      </c>
      <c r="P101" s="77">
        <v>7</v>
      </c>
      <c r="Q101" s="75">
        <v>7</v>
      </c>
      <c r="R101" s="75">
        <v>7</v>
      </c>
      <c r="S101" s="75">
        <v>4232.91</v>
      </c>
      <c r="T101" s="75">
        <v>2274.39</v>
      </c>
      <c r="U101" s="76">
        <f t="shared" si="7"/>
        <v>1958.52</v>
      </c>
      <c r="W101">
        <f t="shared" si="4"/>
        <v>8692.2799999999988</v>
      </c>
    </row>
    <row r="102" spans="1:26" ht="18" customHeight="1" x14ac:dyDescent="0.25">
      <c r="A102" s="90">
        <v>84</v>
      </c>
      <c r="B102" s="70">
        <f t="shared" si="5"/>
        <v>92</v>
      </c>
      <c r="C102" s="11" t="s">
        <v>103</v>
      </c>
      <c r="D102" s="15" t="s">
        <v>124</v>
      </c>
      <c r="E102" s="71"/>
      <c r="F102" s="22" t="s">
        <v>112</v>
      </c>
      <c r="G102" s="72" t="s">
        <v>208</v>
      </c>
      <c r="H102" s="73">
        <v>21</v>
      </c>
      <c r="I102" s="74">
        <v>5</v>
      </c>
      <c r="J102" s="74">
        <v>6</v>
      </c>
      <c r="K102" s="74">
        <v>2</v>
      </c>
      <c r="L102" s="75">
        <v>1</v>
      </c>
      <c r="M102" s="75">
        <v>234.26</v>
      </c>
      <c r="N102" s="75"/>
      <c r="O102" s="76">
        <f t="shared" si="6"/>
        <v>234.26</v>
      </c>
      <c r="P102" s="77">
        <v>15</v>
      </c>
      <c r="Q102" s="75">
        <v>13</v>
      </c>
      <c r="R102" s="75">
        <v>11</v>
      </c>
      <c r="S102" s="75">
        <v>16946.830000000002</v>
      </c>
      <c r="T102" s="75">
        <v>6585.82</v>
      </c>
      <c r="U102" s="76">
        <f t="shared" si="7"/>
        <v>10361.010000000002</v>
      </c>
      <c r="W102">
        <f t="shared" si="4"/>
        <v>17181.09</v>
      </c>
    </row>
    <row r="103" spans="1:26" ht="18" customHeight="1" thickBot="1" x14ac:dyDescent="0.3">
      <c r="A103" s="90">
        <v>85</v>
      </c>
      <c r="B103" s="70">
        <f t="shared" si="5"/>
        <v>93</v>
      </c>
      <c r="C103" s="30" t="s">
        <v>104</v>
      </c>
      <c r="D103" s="31" t="s">
        <v>124</v>
      </c>
      <c r="E103" s="80"/>
      <c r="F103" s="33" t="s">
        <v>106</v>
      </c>
      <c r="G103" s="72" t="s">
        <v>207</v>
      </c>
      <c r="H103" s="81">
        <v>3</v>
      </c>
      <c r="I103" s="82">
        <v>1</v>
      </c>
      <c r="J103" s="82">
        <v>1</v>
      </c>
      <c r="K103" s="82">
        <v>1</v>
      </c>
      <c r="L103" s="83">
        <v>1</v>
      </c>
      <c r="M103" s="83">
        <v>137.80000000000001</v>
      </c>
      <c r="N103" s="83">
        <v>137.80000000000001</v>
      </c>
      <c r="O103" s="76">
        <f t="shared" si="6"/>
        <v>0</v>
      </c>
      <c r="P103" s="84">
        <v>3</v>
      </c>
      <c r="Q103" s="83">
        <v>3</v>
      </c>
      <c r="R103" s="83">
        <v>3</v>
      </c>
      <c r="S103" s="83">
        <v>1193.3</v>
      </c>
      <c r="T103" s="83">
        <v>1193.3</v>
      </c>
      <c r="U103" s="76">
        <f t="shared" si="7"/>
        <v>0</v>
      </c>
      <c r="W103">
        <f t="shared" si="4"/>
        <v>1331.1</v>
      </c>
      <c r="X103" s="59">
        <f>N104+T104</f>
        <v>355163.3600000001</v>
      </c>
      <c r="Z103">
        <f>355163.36-X103</f>
        <v>0</v>
      </c>
    </row>
    <row r="104" spans="1:26" ht="18" customHeight="1" x14ac:dyDescent="0.25">
      <c r="A104" s="90"/>
      <c r="B104" s="325"/>
      <c r="C104" s="325"/>
      <c r="D104" s="325"/>
      <c r="E104" s="325"/>
      <c r="F104" s="325"/>
      <c r="G104" s="325"/>
      <c r="H104" s="85">
        <f t="shared" ref="H104:O104" si="8">SUM(H10:H103)</f>
        <v>624</v>
      </c>
      <c r="I104" s="85">
        <f t="shared" si="8"/>
        <v>234</v>
      </c>
      <c r="J104" s="85">
        <f t="shared" si="8"/>
        <v>279</v>
      </c>
      <c r="K104" s="85">
        <f t="shared" si="8"/>
        <v>266</v>
      </c>
      <c r="L104" s="86">
        <f t="shared" si="8"/>
        <v>136</v>
      </c>
      <c r="M104" s="86">
        <f t="shared" si="8"/>
        <v>91131.369999999981</v>
      </c>
      <c r="N104" s="86">
        <f t="shared" si="8"/>
        <v>34381.610000000015</v>
      </c>
      <c r="O104" s="86">
        <f t="shared" si="8"/>
        <v>56749.760000000009</v>
      </c>
      <c r="P104" s="86">
        <f>SUM(P10:P103)</f>
        <v>466</v>
      </c>
      <c r="Q104" s="86">
        <f>SUM(Q10:Q103)</f>
        <v>456</v>
      </c>
      <c r="R104" s="86">
        <f>SUM(R11:R103)</f>
        <v>377</v>
      </c>
      <c r="S104" s="86">
        <f>SUM(S10:S103)</f>
        <v>500205.12999999989</v>
      </c>
      <c r="T104" s="86">
        <f>SUM(T10:T103)</f>
        <v>320781.75000000006</v>
      </c>
      <c r="U104" s="87">
        <f>SUM(U10:U103)</f>
        <v>179423.37999999998</v>
      </c>
      <c r="W104">
        <f>M104+S104</f>
        <v>591336.49999999988</v>
      </c>
    </row>
  </sheetData>
  <mergeCells count="8">
    <mergeCell ref="B104:G104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6">
    <cfRule type="cellIs" dxfId="437" priority="2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4"/>
  <sheetViews>
    <sheetView topLeftCell="B82" workbookViewId="0">
      <selection activeCell="Q104" sqref="Q104"/>
    </sheetView>
  </sheetViews>
  <sheetFormatPr defaultRowHeight="15" x14ac:dyDescent="0.25"/>
  <cols>
    <col min="1" max="1" width="0" hidden="1" customWidth="1"/>
    <col min="3" max="3" width="32.140625" customWidth="1"/>
    <col min="5" max="5" width="14.5703125" customWidth="1"/>
    <col min="6" max="6" width="25.140625" customWidth="1"/>
    <col min="7" max="7" width="19" customWidth="1"/>
    <col min="13" max="15" width="9.5703125" bestFit="1" customWidth="1"/>
    <col min="19" max="21" width="10.7109375" bestFit="1" customWidth="1"/>
  </cols>
  <sheetData>
    <row r="1" spans="1:21" ht="15.75" thickBot="1" x14ac:dyDescent="0.3">
      <c r="A1" s="90"/>
      <c r="B1" s="310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2"/>
      <c r="S1" s="313" t="s">
        <v>17</v>
      </c>
      <c r="T1" s="313"/>
      <c r="U1" s="313"/>
    </row>
    <row r="2" spans="1:21" x14ac:dyDescent="0.25">
      <c r="A2" s="90"/>
      <c r="B2" s="326" t="s">
        <v>247</v>
      </c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8"/>
    </row>
    <row r="3" spans="1:21" x14ac:dyDescent="0.25">
      <c r="A3" s="90"/>
      <c r="B3" s="329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1"/>
    </row>
    <row r="4" spans="1:21" x14ac:dyDescent="0.25">
      <c r="A4" s="90"/>
      <c r="B4" s="329"/>
      <c r="C4" s="330"/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1"/>
    </row>
    <row r="5" spans="1:21" x14ac:dyDescent="0.25">
      <c r="A5" s="90"/>
      <c r="B5" s="329"/>
      <c r="C5" s="330"/>
      <c r="D5" s="330"/>
      <c r="E5" s="330"/>
      <c r="F5" s="330"/>
      <c r="G5" s="330"/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1"/>
    </row>
    <row r="6" spans="1:21" ht="15.75" thickBot="1" x14ac:dyDescent="0.3">
      <c r="A6" s="90"/>
      <c r="B6" s="332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4"/>
    </row>
    <row r="7" spans="1:21" ht="51.75" customHeight="1" thickBot="1" x14ac:dyDescent="0.3">
      <c r="A7" s="90"/>
      <c r="B7" s="335" t="s">
        <v>0</v>
      </c>
      <c r="C7" s="337" t="s">
        <v>1</v>
      </c>
      <c r="D7" s="338"/>
      <c r="E7" s="338"/>
      <c r="F7" s="338"/>
      <c r="G7" s="339"/>
      <c r="H7" s="337" t="s">
        <v>2</v>
      </c>
      <c r="I7" s="338"/>
      <c r="J7" s="338"/>
      <c r="K7" s="338"/>
      <c r="L7" s="338"/>
      <c r="M7" s="338"/>
      <c r="N7" s="338"/>
      <c r="O7" s="339"/>
      <c r="P7" s="340" t="s">
        <v>253</v>
      </c>
      <c r="Q7" s="341"/>
      <c r="R7" s="341"/>
      <c r="S7" s="341"/>
      <c r="T7" s="341"/>
      <c r="U7" s="342"/>
    </row>
    <row r="8" spans="1:21" ht="362.25" x14ac:dyDescent="0.25">
      <c r="A8" s="90"/>
      <c r="B8" s="336"/>
      <c r="C8" s="60" t="s">
        <v>4</v>
      </c>
      <c r="D8" s="60" t="s">
        <v>5</v>
      </c>
      <c r="E8" s="60" t="s">
        <v>6</v>
      </c>
      <c r="F8" s="60" t="s">
        <v>7</v>
      </c>
      <c r="G8" s="61" t="s">
        <v>8</v>
      </c>
      <c r="H8" s="62" t="s">
        <v>9</v>
      </c>
      <c r="I8" s="60" t="s">
        <v>10</v>
      </c>
      <c r="J8" s="60" t="s">
        <v>11</v>
      </c>
      <c r="K8" s="60" t="s">
        <v>12</v>
      </c>
      <c r="L8" s="63" t="s">
        <v>13</v>
      </c>
      <c r="M8" s="63" t="s">
        <v>14</v>
      </c>
      <c r="N8" s="63" t="s">
        <v>15</v>
      </c>
      <c r="O8" s="61" t="s">
        <v>16</v>
      </c>
      <c r="P8" s="64" t="s">
        <v>11</v>
      </c>
      <c r="Q8" s="63" t="s">
        <v>12</v>
      </c>
      <c r="R8" s="63" t="s">
        <v>13</v>
      </c>
      <c r="S8" s="63" t="s">
        <v>14</v>
      </c>
      <c r="T8" s="63" t="s">
        <v>15</v>
      </c>
      <c r="U8" s="61" t="s">
        <v>16</v>
      </c>
    </row>
    <row r="9" spans="1:21" ht="15.75" x14ac:dyDescent="0.25">
      <c r="A9" s="90"/>
      <c r="B9" s="65">
        <v>1</v>
      </c>
      <c r="C9" s="66">
        <v>2</v>
      </c>
      <c r="D9" s="66">
        <v>3</v>
      </c>
      <c r="E9" s="66">
        <v>4</v>
      </c>
      <c r="F9" s="66">
        <v>5</v>
      </c>
      <c r="G9" s="67">
        <v>6</v>
      </c>
      <c r="H9" s="65">
        <f>G9+1</f>
        <v>7</v>
      </c>
      <c r="I9" s="66">
        <f t="shared" ref="I9:U9" si="0">H9+1</f>
        <v>8</v>
      </c>
      <c r="J9" s="66">
        <f t="shared" si="0"/>
        <v>9</v>
      </c>
      <c r="K9" s="66">
        <f t="shared" si="0"/>
        <v>10</v>
      </c>
      <c r="L9" s="68">
        <f t="shared" si="0"/>
        <v>11</v>
      </c>
      <c r="M9" s="68">
        <f t="shared" si="0"/>
        <v>12</v>
      </c>
      <c r="N9" s="68">
        <f t="shared" si="0"/>
        <v>13</v>
      </c>
      <c r="O9" s="67">
        <f t="shared" si="0"/>
        <v>14</v>
      </c>
      <c r="P9" s="69">
        <f t="shared" si="0"/>
        <v>15</v>
      </c>
      <c r="Q9" s="68">
        <f t="shared" si="0"/>
        <v>16</v>
      </c>
      <c r="R9" s="68">
        <f t="shared" si="0"/>
        <v>17</v>
      </c>
      <c r="S9" s="68">
        <f t="shared" si="0"/>
        <v>18</v>
      </c>
      <c r="T9" s="68">
        <f t="shared" si="0"/>
        <v>19</v>
      </c>
      <c r="U9" s="67">
        <f t="shared" si="0"/>
        <v>20</v>
      </c>
    </row>
    <row r="10" spans="1:21" ht="20.100000000000001" customHeight="1" x14ac:dyDescent="0.25">
      <c r="A10" s="90">
        <v>1</v>
      </c>
      <c r="B10" s="70">
        <v>1</v>
      </c>
      <c r="C10" s="10" t="s">
        <v>18</v>
      </c>
      <c r="D10" s="15" t="s">
        <v>124</v>
      </c>
      <c r="E10" s="71"/>
      <c r="F10" s="16" t="s">
        <v>105</v>
      </c>
      <c r="G10" s="72" t="s">
        <v>138</v>
      </c>
      <c r="H10" s="73">
        <v>12</v>
      </c>
      <c r="I10" s="74">
        <v>3</v>
      </c>
      <c r="J10" s="74">
        <v>3</v>
      </c>
      <c r="K10" s="74">
        <v>3</v>
      </c>
      <c r="L10" s="75">
        <v>3</v>
      </c>
      <c r="M10" s="75">
        <v>1033.5</v>
      </c>
      <c r="N10" s="75">
        <v>1033.5</v>
      </c>
      <c r="O10" s="76">
        <f xml:space="preserve"> (M10-N10)</f>
        <v>0</v>
      </c>
      <c r="P10" s="77">
        <v>6</v>
      </c>
      <c r="Q10" s="75">
        <v>6</v>
      </c>
      <c r="R10" s="75">
        <v>4</v>
      </c>
      <c r="S10" s="75">
        <v>4246.75</v>
      </c>
      <c r="T10" s="75">
        <v>3352.81</v>
      </c>
      <c r="U10" s="76">
        <f xml:space="preserve"> (S10-T10)</f>
        <v>893.94</v>
      </c>
    </row>
    <row r="11" spans="1:21" ht="20.100000000000001" customHeight="1" x14ac:dyDescent="0.25">
      <c r="A11" s="90">
        <v>2</v>
      </c>
      <c r="B11" s="70">
        <f>B10+1</f>
        <v>2</v>
      </c>
      <c r="C11" s="10" t="s">
        <v>19</v>
      </c>
      <c r="D11" s="15" t="s">
        <v>124</v>
      </c>
      <c r="E11" s="71"/>
      <c r="F11" s="17" t="s">
        <v>106</v>
      </c>
      <c r="G11" s="72" t="s">
        <v>139</v>
      </c>
      <c r="H11" s="73">
        <v>3</v>
      </c>
      <c r="I11" s="74">
        <v>1</v>
      </c>
      <c r="J11" s="74">
        <v>1</v>
      </c>
      <c r="K11" s="74">
        <v>1</v>
      </c>
      <c r="L11" s="75"/>
      <c r="M11" s="75"/>
      <c r="N11" s="75"/>
      <c r="O11" s="76">
        <f t="shared" ref="O11:O75" si="1" xml:space="preserve"> (M11-N11)</f>
        <v>0</v>
      </c>
      <c r="P11" s="77">
        <v>2</v>
      </c>
      <c r="Q11" s="75">
        <v>2</v>
      </c>
      <c r="R11" s="75">
        <v>1</v>
      </c>
      <c r="S11" s="75">
        <v>234.26</v>
      </c>
      <c r="T11" s="75">
        <v>234.26</v>
      </c>
      <c r="U11" s="76">
        <f t="shared" ref="U11:U75" si="2" xml:space="preserve"> (S11-T11)</f>
        <v>0</v>
      </c>
    </row>
    <row r="12" spans="1:21" ht="20.100000000000001" customHeight="1" x14ac:dyDescent="0.25">
      <c r="A12" s="90" t="s">
        <v>241</v>
      </c>
      <c r="B12" s="70">
        <f t="shared" ref="B12:B75" si="3">B11+1</f>
        <v>3</v>
      </c>
      <c r="C12" s="11" t="s">
        <v>20</v>
      </c>
      <c r="D12" s="15" t="s">
        <v>124</v>
      </c>
      <c r="E12" s="71"/>
      <c r="F12" s="17" t="s">
        <v>107</v>
      </c>
      <c r="G12" s="72" t="s">
        <v>223</v>
      </c>
      <c r="H12" s="73"/>
      <c r="I12" s="74"/>
      <c r="J12" s="74"/>
      <c r="K12" s="74"/>
      <c r="L12" s="75"/>
      <c r="M12" s="75"/>
      <c r="N12" s="75"/>
      <c r="O12" s="76">
        <f t="shared" si="1"/>
        <v>0</v>
      </c>
      <c r="P12" s="77">
        <v>3</v>
      </c>
      <c r="Q12" s="75">
        <v>3</v>
      </c>
      <c r="R12" s="75">
        <v>2</v>
      </c>
      <c r="S12" s="75">
        <v>1548.67</v>
      </c>
      <c r="T12" s="75">
        <v>1548.67</v>
      </c>
      <c r="U12" s="76">
        <f t="shared" si="2"/>
        <v>0</v>
      </c>
    </row>
    <row r="13" spans="1:21" ht="20.100000000000001" customHeight="1" x14ac:dyDescent="0.25">
      <c r="A13" s="90">
        <v>7</v>
      </c>
      <c r="B13" s="70">
        <f t="shared" si="3"/>
        <v>4</v>
      </c>
      <c r="C13" s="11" t="s">
        <v>21</v>
      </c>
      <c r="D13" s="15" t="s">
        <v>124</v>
      </c>
      <c r="E13" s="71"/>
      <c r="F13" s="17" t="s">
        <v>108</v>
      </c>
      <c r="G13" s="72" t="s">
        <v>140</v>
      </c>
      <c r="H13" s="73">
        <v>5</v>
      </c>
      <c r="I13" s="74">
        <v>4</v>
      </c>
      <c r="J13" s="74">
        <v>5</v>
      </c>
      <c r="K13" s="74">
        <v>5</v>
      </c>
      <c r="L13" s="75">
        <v>1</v>
      </c>
      <c r="M13" s="75">
        <v>272.83999999999997</v>
      </c>
      <c r="N13" s="75">
        <v>272.83999999999997</v>
      </c>
      <c r="O13" s="76">
        <f t="shared" si="1"/>
        <v>0</v>
      </c>
      <c r="P13" s="77">
        <v>4</v>
      </c>
      <c r="Q13" s="75">
        <v>4</v>
      </c>
      <c r="R13" s="75">
        <v>3</v>
      </c>
      <c r="S13" s="75">
        <v>7385.53</v>
      </c>
      <c r="T13" s="75">
        <v>7385.53</v>
      </c>
      <c r="U13" s="76">
        <f t="shared" si="2"/>
        <v>0</v>
      </c>
    </row>
    <row r="14" spans="1:21" ht="20.100000000000001" customHeight="1" x14ac:dyDescent="0.25">
      <c r="A14" s="90">
        <v>8</v>
      </c>
      <c r="B14" s="70">
        <f t="shared" si="3"/>
        <v>5</v>
      </c>
      <c r="C14" s="10" t="s">
        <v>22</v>
      </c>
      <c r="D14" s="15" t="s">
        <v>124</v>
      </c>
      <c r="E14" s="71"/>
      <c r="F14" s="17" t="s">
        <v>106</v>
      </c>
      <c r="G14" s="72" t="s">
        <v>141</v>
      </c>
      <c r="H14" s="73">
        <v>11</v>
      </c>
      <c r="I14" s="74">
        <v>7</v>
      </c>
      <c r="J14" s="74">
        <v>8</v>
      </c>
      <c r="K14" s="74">
        <v>7</v>
      </c>
      <c r="L14" s="75">
        <v>2</v>
      </c>
      <c r="M14" s="75">
        <v>2277.13</v>
      </c>
      <c r="N14" s="75"/>
      <c r="O14" s="76">
        <f t="shared" si="1"/>
        <v>2277.13</v>
      </c>
      <c r="P14" s="77">
        <v>5</v>
      </c>
      <c r="Q14" s="75">
        <v>4</v>
      </c>
      <c r="R14" s="75">
        <v>3</v>
      </c>
      <c r="S14" s="75">
        <v>1800.7</v>
      </c>
      <c r="T14" s="75"/>
      <c r="U14" s="76">
        <f t="shared" si="2"/>
        <v>1800.7</v>
      </c>
    </row>
    <row r="15" spans="1:21" ht="20.100000000000001" customHeight="1" x14ac:dyDescent="0.25">
      <c r="A15" s="90">
        <v>9</v>
      </c>
      <c r="B15" s="70">
        <f t="shared" si="3"/>
        <v>6</v>
      </c>
      <c r="C15" s="10" t="s">
        <v>23</v>
      </c>
      <c r="D15" s="15" t="s">
        <v>124</v>
      </c>
      <c r="E15" s="71"/>
      <c r="F15" s="17" t="s">
        <v>106</v>
      </c>
      <c r="G15" s="72" t="s">
        <v>142</v>
      </c>
      <c r="H15" s="73">
        <v>10</v>
      </c>
      <c r="I15" s="74">
        <v>6</v>
      </c>
      <c r="J15" s="74">
        <v>9</v>
      </c>
      <c r="K15" s="74">
        <v>9</v>
      </c>
      <c r="L15" s="75">
        <v>3</v>
      </c>
      <c r="M15" s="75">
        <v>3475.33</v>
      </c>
      <c r="N15" s="75"/>
      <c r="O15" s="76">
        <f t="shared" si="1"/>
        <v>3475.33</v>
      </c>
      <c r="P15" s="77">
        <v>11</v>
      </c>
      <c r="Q15" s="75">
        <v>11</v>
      </c>
      <c r="R15" s="75">
        <v>8</v>
      </c>
      <c r="S15" s="75">
        <v>9375.69</v>
      </c>
      <c r="T15" s="75">
        <v>4569.41</v>
      </c>
      <c r="U15" s="76">
        <f t="shared" si="2"/>
        <v>4806.2800000000007</v>
      </c>
    </row>
    <row r="16" spans="1:21" ht="20.100000000000001" customHeight="1" x14ac:dyDescent="0.25">
      <c r="A16" s="90">
        <v>3</v>
      </c>
      <c r="B16" s="70">
        <f t="shared" si="3"/>
        <v>7</v>
      </c>
      <c r="C16" s="10" t="s">
        <v>133</v>
      </c>
      <c r="D16" s="15" t="s">
        <v>124</v>
      </c>
      <c r="E16" s="71"/>
      <c r="F16" s="17" t="s">
        <v>106</v>
      </c>
      <c r="G16" s="72" t="s">
        <v>143</v>
      </c>
      <c r="H16" s="73"/>
      <c r="I16" s="74"/>
      <c r="J16" s="74"/>
      <c r="K16" s="74"/>
      <c r="L16" s="75"/>
      <c r="M16" s="75"/>
      <c r="N16" s="75"/>
      <c r="O16" s="76">
        <f t="shared" si="1"/>
        <v>0</v>
      </c>
      <c r="P16" s="77"/>
      <c r="Q16" s="75"/>
      <c r="R16" s="75"/>
      <c r="S16" s="75"/>
      <c r="T16" s="75"/>
      <c r="U16" s="76">
        <f t="shared" si="2"/>
        <v>0</v>
      </c>
    </row>
    <row r="17" spans="1:21" ht="20.100000000000001" customHeight="1" x14ac:dyDescent="0.25">
      <c r="A17" s="90">
        <v>5</v>
      </c>
      <c r="B17" s="70">
        <f t="shared" si="3"/>
        <v>8</v>
      </c>
      <c r="C17" s="10" t="s">
        <v>24</v>
      </c>
      <c r="D17" s="15" t="s">
        <v>124</v>
      </c>
      <c r="E17" s="71"/>
      <c r="F17" s="17" t="s">
        <v>109</v>
      </c>
      <c r="G17" s="72" t="s">
        <v>144</v>
      </c>
      <c r="H17" s="73">
        <v>5</v>
      </c>
      <c r="I17" s="74"/>
      <c r="J17" s="74"/>
      <c r="K17" s="74"/>
      <c r="L17" s="75"/>
      <c r="M17" s="75"/>
      <c r="N17" s="75"/>
      <c r="O17" s="76">
        <f t="shared" si="1"/>
        <v>0</v>
      </c>
      <c r="P17" s="77"/>
      <c r="Q17" s="75"/>
      <c r="R17" s="75"/>
      <c r="S17" s="75"/>
      <c r="T17" s="75"/>
      <c r="U17" s="76">
        <f t="shared" si="2"/>
        <v>0</v>
      </c>
    </row>
    <row r="18" spans="1:21" ht="20.100000000000001" customHeight="1" x14ac:dyDescent="0.25">
      <c r="A18" s="90">
        <v>10</v>
      </c>
      <c r="B18" s="70">
        <f t="shared" si="3"/>
        <v>9</v>
      </c>
      <c r="C18" s="10" t="s">
        <v>25</v>
      </c>
      <c r="D18" s="15" t="s">
        <v>124</v>
      </c>
      <c r="E18" s="71"/>
      <c r="F18" s="18" t="s">
        <v>110</v>
      </c>
      <c r="G18" s="72" t="s">
        <v>145</v>
      </c>
      <c r="H18" s="73">
        <v>1</v>
      </c>
      <c r="I18" s="74"/>
      <c r="J18" s="74"/>
      <c r="K18" s="74"/>
      <c r="L18" s="75"/>
      <c r="M18" s="75"/>
      <c r="N18" s="75"/>
      <c r="O18" s="76">
        <f t="shared" si="1"/>
        <v>0</v>
      </c>
      <c r="P18" s="77">
        <v>3</v>
      </c>
      <c r="Q18" s="75">
        <v>3</v>
      </c>
      <c r="R18" s="75">
        <v>3</v>
      </c>
      <c r="S18" s="75">
        <v>14748.55</v>
      </c>
      <c r="T18" s="75"/>
      <c r="U18" s="76">
        <f t="shared" si="2"/>
        <v>14748.55</v>
      </c>
    </row>
    <row r="19" spans="1:21" ht="20.100000000000001" customHeight="1" x14ac:dyDescent="0.25">
      <c r="A19" s="90">
        <v>11</v>
      </c>
      <c r="B19" s="70">
        <f t="shared" si="3"/>
        <v>10</v>
      </c>
      <c r="C19" s="12" t="s">
        <v>26</v>
      </c>
      <c r="D19" s="15" t="s">
        <v>124</v>
      </c>
      <c r="E19" s="71"/>
      <c r="F19" s="19" t="s">
        <v>107</v>
      </c>
      <c r="G19" s="72" t="s">
        <v>146</v>
      </c>
      <c r="H19" s="73">
        <v>14</v>
      </c>
      <c r="I19" s="74">
        <v>6</v>
      </c>
      <c r="J19" s="74">
        <v>8</v>
      </c>
      <c r="K19" s="74">
        <v>6</v>
      </c>
      <c r="L19" s="75">
        <v>5</v>
      </c>
      <c r="M19" s="75">
        <v>1744.9</v>
      </c>
      <c r="N19" s="75">
        <v>749.29</v>
      </c>
      <c r="O19" s="76">
        <f t="shared" si="1"/>
        <v>995.61000000000013</v>
      </c>
      <c r="P19" s="77">
        <v>10</v>
      </c>
      <c r="Q19" s="75">
        <v>10</v>
      </c>
      <c r="R19" s="75">
        <v>7</v>
      </c>
      <c r="S19" s="75">
        <v>12589.36</v>
      </c>
      <c r="T19" s="75">
        <v>9246.57</v>
      </c>
      <c r="U19" s="76">
        <f t="shared" si="2"/>
        <v>3342.7900000000009</v>
      </c>
    </row>
    <row r="20" spans="1:21" ht="20.100000000000001" customHeight="1" x14ac:dyDescent="0.25">
      <c r="A20" s="90">
        <v>12</v>
      </c>
      <c r="B20" s="70">
        <f t="shared" si="3"/>
        <v>11</v>
      </c>
      <c r="C20" s="11" t="s">
        <v>27</v>
      </c>
      <c r="D20" s="15" t="s">
        <v>124</v>
      </c>
      <c r="E20" s="71"/>
      <c r="F20" s="17" t="s">
        <v>111</v>
      </c>
      <c r="G20" s="72" t="s">
        <v>147</v>
      </c>
      <c r="H20" s="73">
        <v>10</v>
      </c>
      <c r="I20" s="74">
        <v>3</v>
      </c>
      <c r="J20" s="74">
        <v>3</v>
      </c>
      <c r="K20" s="74">
        <v>3</v>
      </c>
      <c r="L20" s="75"/>
      <c r="M20" s="75"/>
      <c r="N20" s="75"/>
      <c r="O20" s="76">
        <f t="shared" si="1"/>
        <v>0</v>
      </c>
      <c r="P20" s="77">
        <v>19</v>
      </c>
      <c r="Q20" s="75">
        <v>17</v>
      </c>
      <c r="R20" s="75">
        <v>13</v>
      </c>
      <c r="S20" s="75">
        <v>14391.07</v>
      </c>
      <c r="T20" s="75">
        <v>14391.07</v>
      </c>
      <c r="U20" s="76">
        <f t="shared" si="2"/>
        <v>0</v>
      </c>
    </row>
    <row r="21" spans="1:21" ht="20.100000000000001" customHeight="1" x14ac:dyDescent="0.25">
      <c r="A21" s="90">
        <v>13</v>
      </c>
      <c r="B21" s="70">
        <f t="shared" si="3"/>
        <v>12</v>
      </c>
      <c r="C21" s="10" t="s">
        <v>28</v>
      </c>
      <c r="D21" s="15" t="s">
        <v>124</v>
      </c>
      <c r="E21" s="71"/>
      <c r="F21" s="17" t="s">
        <v>106</v>
      </c>
      <c r="G21" s="72" t="s">
        <v>148</v>
      </c>
      <c r="H21" s="73">
        <v>5</v>
      </c>
      <c r="I21" s="74">
        <v>2</v>
      </c>
      <c r="J21" s="74">
        <v>2</v>
      </c>
      <c r="K21" s="74">
        <v>2</v>
      </c>
      <c r="L21" s="75">
        <v>1</v>
      </c>
      <c r="M21" s="75"/>
      <c r="N21" s="75"/>
      <c r="O21" s="76">
        <f t="shared" si="1"/>
        <v>0</v>
      </c>
      <c r="P21" s="77">
        <v>4</v>
      </c>
      <c r="Q21" s="75">
        <v>4</v>
      </c>
      <c r="R21" s="75">
        <v>2</v>
      </c>
      <c r="S21" s="75">
        <v>5005.45</v>
      </c>
      <c r="T21" s="75">
        <v>1928.2</v>
      </c>
      <c r="U21" s="76">
        <f t="shared" si="2"/>
        <v>3077.25</v>
      </c>
    </row>
    <row r="22" spans="1:21" ht="20.100000000000001" customHeight="1" x14ac:dyDescent="0.25">
      <c r="A22" s="90">
        <v>14</v>
      </c>
      <c r="B22" s="70">
        <f t="shared" si="3"/>
        <v>13</v>
      </c>
      <c r="C22" s="10" t="s">
        <v>29</v>
      </c>
      <c r="D22" s="15" t="s">
        <v>124</v>
      </c>
      <c r="E22" s="71"/>
      <c r="F22" s="20" t="s">
        <v>112</v>
      </c>
      <c r="G22" s="72" t="s">
        <v>149</v>
      </c>
      <c r="H22" s="73">
        <v>23</v>
      </c>
      <c r="I22" s="74">
        <v>8</v>
      </c>
      <c r="J22" s="74">
        <v>9</v>
      </c>
      <c r="K22" s="74">
        <v>9</v>
      </c>
      <c r="L22" s="75">
        <v>1</v>
      </c>
      <c r="M22" s="75">
        <v>910.39</v>
      </c>
      <c r="N22" s="75">
        <v>910.39</v>
      </c>
      <c r="O22" s="76">
        <f t="shared" si="1"/>
        <v>0</v>
      </c>
      <c r="P22" s="77">
        <v>15</v>
      </c>
      <c r="Q22" s="75">
        <v>15</v>
      </c>
      <c r="R22" s="75">
        <v>13</v>
      </c>
      <c r="S22" s="75">
        <v>16007.48</v>
      </c>
      <c r="T22" s="75">
        <v>14006.59</v>
      </c>
      <c r="U22" s="76">
        <f t="shared" si="2"/>
        <v>2000.8899999999994</v>
      </c>
    </row>
    <row r="23" spans="1:21" ht="20.100000000000001" customHeight="1" x14ac:dyDescent="0.25">
      <c r="A23" s="90">
        <v>15</v>
      </c>
      <c r="B23" s="70">
        <f t="shared" si="3"/>
        <v>14</v>
      </c>
      <c r="C23" s="12" t="s">
        <v>30</v>
      </c>
      <c r="D23" s="15" t="s">
        <v>124</v>
      </c>
      <c r="E23" s="71"/>
      <c r="F23" s="19" t="s">
        <v>111</v>
      </c>
      <c r="G23" s="72" t="s">
        <v>150</v>
      </c>
      <c r="H23" s="73">
        <v>6</v>
      </c>
      <c r="I23" s="74">
        <v>3</v>
      </c>
      <c r="J23" s="74">
        <v>3</v>
      </c>
      <c r="K23" s="74">
        <v>3</v>
      </c>
      <c r="L23" s="75">
        <v>2</v>
      </c>
      <c r="M23" s="75">
        <v>1852.03</v>
      </c>
      <c r="N23" s="75">
        <v>1852.03</v>
      </c>
      <c r="O23" s="76">
        <f t="shared" si="1"/>
        <v>0</v>
      </c>
      <c r="P23" s="77">
        <v>10</v>
      </c>
      <c r="Q23" s="75">
        <v>10</v>
      </c>
      <c r="R23" s="75">
        <v>9</v>
      </c>
      <c r="S23" s="75">
        <v>23953.14</v>
      </c>
      <c r="T23" s="75">
        <v>13330.21</v>
      </c>
      <c r="U23" s="76">
        <f t="shared" si="2"/>
        <v>10622.93</v>
      </c>
    </row>
    <row r="24" spans="1:21" ht="20.100000000000001" customHeight="1" x14ac:dyDescent="0.25">
      <c r="A24" s="90">
        <v>16</v>
      </c>
      <c r="B24" s="70">
        <f t="shared" si="3"/>
        <v>15</v>
      </c>
      <c r="C24" s="10" t="s">
        <v>31</v>
      </c>
      <c r="D24" s="15" t="s">
        <v>124</v>
      </c>
      <c r="E24" s="71"/>
      <c r="F24" s="21" t="s">
        <v>107</v>
      </c>
      <c r="G24" s="72" t="s">
        <v>151</v>
      </c>
      <c r="H24" s="73">
        <v>12</v>
      </c>
      <c r="I24" s="74">
        <v>6</v>
      </c>
      <c r="J24" s="74">
        <v>6</v>
      </c>
      <c r="K24" s="74">
        <v>5</v>
      </c>
      <c r="L24" s="75"/>
      <c r="M24" s="75"/>
      <c r="N24" s="75"/>
      <c r="O24" s="76">
        <f t="shared" si="1"/>
        <v>0</v>
      </c>
      <c r="P24" s="77">
        <v>6</v>
      </c>
      <c r="Q24" s="75">
        <v>6</v>
      </c>
      <c r="R24" s="75">
        <v>4</v>
      </c>
      <c r="S24" s="75">
        <v>5152.71</v>
      </c>
      <c r="T24" s="75">
        <v>274.60000000000002</v>
      </c>
      <c r="U24" s="76">
        <f t="shared" si="2"/>
        <v>4878.1099999999997</v>
      </c>
    </row>
    <row r="25" spans="1:21" ht="20.100000000000001" customHeight="1" x14ac:dyDescent="0.25">
      <c r="A25" s="90">
        <v>17</v>
      </c>
      <c r="B25" s="70">
        <f t="shared" si="3"/>
        <v>16</v>
      </c>
      <c r="C25" s="13" t="s">
        <v>32</v>
      </c>
      <c r="D25" s="15" t="s">
        <v>124</v>
      </c>
      <c r="E25" s="71"/>
      <c r="F25" s="17" t="s">
        <v>106</v>
      </c>
      <c r="G25" s="72" t="s">
        <v>152</v>
      </c>
      <c r="H25" s="73">
        <v>9</v>
      </c>
      <c r="I25" s="74">
        <v>2</v>
      </c>
      <c r="J25" s="74">
        <v>2</v>
      </c>
      <c r="K25" s="74">
        <v>2</v>
      </c>
      <c r="L25" s="75">
        <v>2</v>
      </c>
      <c r="M25" s="75">
        <v>2255.39</v>
      </c>
      <c r="N25" s="75">
        <v>2255.39</v>
      </c>
      <c r="O25" s="76">
        <f t="shared" si="1"/>
        <v>0</v>
      </c>
      <c r="P25" s="77">
        <v>15</v>
      </c>
      <c r="Q25" s="75">
        <v>15</v>
      </c>
      <c r="R25" s="75">
        <v>15</v>
      </c>
      <c r="S25" s="75">
        <v>17792.25</v>
      </c>
      <c r="T25" s="75">
        <v>14484.31</v>
      </c>
      <c r="U25" s="76">
        <f t="shared" si="2"/>
        <v>3307.9400000000005</v>
      </c>
    </row>
    <row r="26" spans="1:21" ht="20.100000000000001" customHeight="1" x14ac:dyDescent="0.25">
      <c r="A26" s="90">
        <v>18</v>
      </c>
      <c r="B26" s="70">
        <f t="shared" si="3"/>
        <v>17</v>
      </c>
      <c r="C26" s="10" t="s">
        <v>33</v>
      </c>
      <c r="D26" s="15" t="s">
        <v>124</v>
      </c>
      <c r="E26" s="71"/>
      <c r="F26" s="17" t="s">
        <v>106</v>
      </c>
      <c r="G26" s="72" t="s">
        <v>153</v>
      </c>
      <c r="H26" s="73">
        <v>8</v>
      </c>
      <c r="I26" s="74"/>
      <c r="J26" s="74"/>
      <c r="K26" s="74"/>
      <c r="L26" s="75"/>
      <c r="M26" s="75"/>
      <c r="N26" s="75"/>
      <c r="O26" s="76">
        <f t="shared" si="1"/>
        <v>0</v>
      </c>
      <c r="P26" s="77"/>
      <c r="Q26" s="75"/>
      <c r="R26" s="75"/>
      <c r="S26" s="75"/>
      <c r="T26" s="75"/>
      <c r="U26" s="76">
        <f t="shared" si="2"/>
        <v>0</v>
      </c>
    </row>
    <row r="27" spans="1:21" ht="20.100000000000001" customHeight="1" x14ac:dyDescent="0.25">
      <c r="A27" s="90">
        <v>19</v>
      </c>
      <c r="B27" s="70">
        <f t="shared" si="3"/>
        <v>18</v>
      </c>
      <c r="C27" s="10" t="s">
        <v>34</v>
      </c>
      <c r="D27" s="15" t="s">
        <v>124</v>
      </c>
      <c r="E27" s="71"/>
      <c r="F27" s="17" t="s">
        <v>113</v>
      </c>
      <c r="G27" s="72" t="s">
        <v>154</v>
      </c>
      <c r="H27" s="73">
        <v>11</v>
      </c>
      <c r="I27" s="74">
        <v>5</v>
      </c>
      <c r="J27" s="74">
        <v>9</v>
      </c>
      <c r="K27" s="74">
        <v>9</v>
      </c>
      <c r="L27" s="75">
        <v>6</v>
      </c>
      <c r="M27" s="75">
        <v>2738.38</v>
      </c>
      <c r="N27" s="75"/>
      <c r="O27" s="76">
        <f t="shared" si="1"/>
        <v>2738.38</v>
      </c>
      <c r="P27" s="77">
        <v>12</v>
      </c>
      <c r="Q27" s="75">
        <v>12</v>
      </c>
      <c r="R27" s="75">
        <v>11</v>
      </c>
      <c r="S27" s="75">
        <v>11399.36</v>
      </c>
      <c r="T27" s="75">
        <v>3370.97</v>
      </c>
      <c r="U27" s="76">
        <f t="shared" si="2"/>
        <v>8028.3900000000012</v>
      </c>
    </row>
    <row r="28" spans="1:21" ht="24.75" customHeight="1" x14ac:dyDescent="0.25">
      <c r="A28" s="90"/>
      <c r="B28" s="70">
        <f t="shared" si="3"/>
        <v>19</v>
      </c>
      <c r="C28" s="10" t="s">
        <v>35</v>
      </c>
      <c r="D28" s="15" t="s">
        <v>124</v>
      </c>
      <c r="E28" s="71"/>
      <c r="F28" s="17" t="s">
        <v>105</v>
      </c>
      <c r="G28" s="72" t="s">
        <v>228</v>
      </c>
      <c r="H28" s="73"/>
      <c r="I28" s="74"/>
      <c r="J28" s="74"/>
      <c r="K28" s="74"/>
      <c r="L28" s="75"/>
      <c r="M28" s="75"/>
      <c r="N28" s="75"/>
      <c r="O28" s="76">
        <f t="shared" si="1"/>
        <v>0</v>
      </c>
      <c r="P28" s="77"/>
      <c r="Q28" s="75"/>
      <c r="R28" s="75"/>
      <c r="S28" s="75"/>
      <c r="T28" s="75"/>
      <c r="U28" s="76">
        <f t="shared" si="2"/>
        <v>0</v>
      </c>
    </row>
    <row r="29" spans="1:21" ht="20.100000000000001" customHeight="1" x14ac:dyDescent="0.25">
      <c r="A29" s="90">
        <v>21</v>
      </c>
      <c r="B29" s="70">
        <f t="shared" si="3"/>
        <v>20</v>
      </c>
      <c r="C29" s="12" t="s">
        <v>36</v>
      </c>
      <c r="D29" s="15" t="s">
        <v>124</v>
      </c>
      <c r="E29" s="71"/>
      <c r="F29" s="19" t="s">
        <v>114</v>
      </c>
      <c r="G29" s="72" t="s">
        <v>155</v>
      </c>
      <c r="H29" s="73">
        <v>11</v>
      </c>
      <c r="I29" s="74">
        <v>7</v>
      </c>
      <c r="J29" s="74">
        <v>9</v>
      </c>
      <c r="K29" s="74">
        <v>9</v>
      </c>
      <c r="L29" s="75">
        <v>4</v>
      </c>
      <c r="M29" s="75">
        <v>2023.14</v>
      </c>
      <c r="N29" s="75">
        <v>358.28</v>
      </c>
      <c r="O29" s="76">
        <f t="shared" si="1"/>
        <v>1664.8600000000001</v>
      </c>
      <c r="P29" s="77">
        <v>11</v>
      </c>
      <c r="Q29" s="75">
        <v>10</v>
      </c>
      <c r="R29" s="75">
        <v>9</v>
      </c>
      <c r="S29" s="75">
        <v>15185.09</v>
      </c>
      <c r="T29" s="75">
        <v>15185.09</v>
      </c>
      <c r="U29" s="76">
        <f t="shared" si="2"/>
        <v>0</v>
      </c>
    </row>
    <row r="30" spans="1:21" ht="20.100000000000001" customHeight="1" x14ac:dyDescent="0.25">
      <c r="A30" s="90">
        <v>22</v>
      </c>
      <c r="B30" s="70">
        <f t="shared" si="3"/>
        <v>21</v>
      </c>
      <c r="C30" s="11" t="s">
        <v>37</v>
      </c>
      <c r="D30" s="15" t="s">
        <v>124</v>
      </c>
      <c r="E30" s="71"/>
      <c r="F30" s="17" t="s">
        <v>108</v>
      </c>
      <c r="G30" s="72" t="s">
        <v>156</v>
      </c>
      <c r="H30" s="73">
        <v>13</v>
      </c>
      <c r="I30" s="74">
        <v>4</v>
      </c>
      <c r="J30" s="74">
        <v>5</v>
      </c>
      <c r="K30" s="74">
        <v>5</v>
      </c>
      <c r="L30" s="75"/>
      <c r="M30" s="75"/>
      <c r="N30" s="75"/>
      <c r="O30" s="76">
        <f t="shared" si="1"/>
        <v>0</v>
      </c>
      <c r="P30" s="77">
        <v>14</v>
      </c>
      <c r="Q30" s="75">
        <v>14</v>
      </c>
      <c r="R30" s="75">
        <v>6</v>
      </c>
      <c r="S30" s="75">
        <v>7176.8</v>
      </c>
      <c r="T30" s="75">
        <v>5755.74</v>
      </c>
      <c r="U30" s="76">
        <f t="shared" si="2"/>
        <v>1421.0600000000004</v>
      </c>
    </row>
    <row r="31" spans="1:21" ht="20.100000000000001" customHeight="1" x14ac:dyDescent="0.25">
      <c r="A31" s="90"/>
      <c r="B31" s="70"/>
      <c r="C31" s="11" t="s">
        <v>242</v>
      </c>
      <c r="D31" s="15" t="s">
        <v>124</v>
      </c>
      <c r="E31" s="71"/>
      <c r="F31" s="17" t="s">
        <v>117</v>
      </c>
      <c r="G31" s="72"/>
      <c r="H31" s="73">
        <v>2</v>
      </c>
      <c r="I31" s="74"/>
      <c r="J31" s="74"/>
      <c r="K31" s="74"/>
      <c r="L31" s="75"/>
      <c r="M31" s="75"/>
      <c r="N31" s="75"/>
      <c r="O31" s="76"/>
      <c r="P31" s="77"/>
      <c r="Q31" s="75"/>
      <c r="R31" s="75"/>
      <c r="S31" s="75"/>
      <c r="T31" s="75"/>
      <c r="U31" s="76"/>
    </row>
    <row r="32" spans="1:21" ht="20.100000000000001" customHeight="1" x14ac:dyDescent="0.25">
      <c r="A32" s="90">
        <v>23</v>
      </c>
      <c r="B32" s="70">
        <f>B30+1</f>
        <v>22</v>
      </c>
      <c r="C32" s="11" t="s">
        <v>38</v>
      </c>
      <c r="D32" s="15" t="s">
        <v>124</v>
      </c>
      <c r="E32" s="71"/>
      <c r="F32" s="17" t="s">
        <v>106</v>
      </c>
      <c r="G32" s="72" t="s">
        <v>157</v>
      </c>
      <c r="H32" s="73">
        <v>4</v>
      </c>
      <c r="I32" s="74"/>
      <c r="J32" s="74"/>
      <c r="K32" s="74"/>
      <c r="L32" s="75"/>
      <c r="M32" s="75"/>
      <c r="N32" s="75"/>
      <c r="O32" s="76">
        <f t="shared" si="1"/>
        <v>0</v>
      </c>
      <c r="P32" s="77">
        <v>1</v>
      </c>
      <c r="Q32" s="75">
        <v>1</v>
      </c>
      <c r="R32" s="75">
        <v>1</v>
      </c>
      <c r="S32" s="75">
        <v>442.37</v>
      </c>
      <c r="T32" s="75">
        <v>442.37</v>
      </c>
      <c r="U32" s="76">
        <f t="shared" si="2"/>
        <v>0</v>
      </c>
    </row>
    <row r="33" spans="1:21" ht="20.100000000000001" customHeight="1" x14ac:dyDescent="0.25">
      <c r="A33" s="90"/>
      <c r="B33" s="70">
        <f t="shared" si="3"/>
        <v>23</v>
      </c>
      <c r="C33" s="10" t="s">
        <v>39</v>
      </c>
      <c r="D33" s="15" t="s">
        <v>124</v>
      </c>
      <c r="E33" s="71"/>
      <c r="F33" s="10" t="s">
        <v>105</v>
      </c>
      <c r="G33" s="72" t="s">
        <v>220</v>
      </c>
      <c r="H33" s="73"/>
      <c r="I33" s="74"/>
      <c r="J33" s="74"/>
      <c r="K33" s="74"/>
      <c r="L33" s="75"/>
      <c r="M33" s="75"/>
      <c r="N33" s="75"/>
      <c r="O33" s="76">
        <f t="shared" si="1"/>
        <v>0</v>
      </c>
      <c r="P33" s="77"/>
      <c r="Q33" s="75"/>
      <c r="R33" s="75"/>
      <c r="S33" s="75"/>
      <c r="T33" s="75"/>
      <c r="U33" s="76">
        <f t="shared" si="2"/>
        <v>0</v>
      </c>
    </row>
    <row r="34" spans="1:21" ht="20.100000000000001" customHeight="1" x14ac:dyDescent="0.25">
      <c r="A34" s="90">
        <v>86</v>
      </c>
      <c r="B34" s="70">
        <f t="shared" si="3"/>
        <v>24</v>
      </c>
      <c r="C34" s="10" t="s">
        <v>137</v>
      </c>
      <c r="D34" s="15" t="s">
        <v>124</v>
      </c>
      <c r="E34" s="71"/>
      <c r="F34" s="17" t="s">
        <v>106</v>
      </c>
      <c r="G34" s="72" t="s">
        <v>158</v>
      </c>
      <c r="H34" s="73">
        <v>6</v>
      </c>
      <c r="I34" s="74">
        <v>1</v>
      </c>
      <c r="J34" s="74">
        <v>1</v>
      </c>
      <c r="K34" s="74">
        <v>1</v>
      </c>
      <c r="L34" s="75"/>
      <c r="M34" s="75"/>
      <c r="N34" s="75"/>
      <c r="O34" s="76">
        <f t="shared" si="1"/>
        <v>0</v>
      </c>
      <c r="P34" s="77"/>
      <c r="Q34" s="75"/>
      <c r="R34" s="75"/>
      <c r="S34" s="75"/>
      <c r="T34" s="75"/>
      <c r="U34" s="76">
        <f t="shared" si="2"/>
        <v>0</v>
      </c>
    </row>
    <row r="35" spans="1:21" ht="20.100000000000001" customHeight="1" x14ac:dyDescent="0.25">
      <c r="A35" s="90">
        <v>24</v>
      </c>
      <c r="B35" s="70">
        <f t="shared" si="3"/>
        <v>25</v>
      </c>
      <c r="C35" s="12" t="s">
        <v>40</v>
      </c>
      <c r="D35" s="15" t="s">
        <v>124</v>
      </c>
      <c r="E35" s="71"/>
      <c r="F35" s="19" t="s">
        <v>115</v>
      </c>
      <c r="G35" s="72" t="s">
        <v>159</v>
      </c>
      <c r="H35" s="73">
        <v>8</v>
      </c>
      <c r="I35" s="74">
        <v>5</v>
      </c>
      <c r="J35" s="74">
        <v>8</v>
      </c>
      <c r="K35" s="74">
        <v>6</v>
      </c>
      <c r="L35" s="75">
        <v>3</v>
      </c>
      <c r="M35" s="75">
        <v>1580.26</v>
      </c>
      <c r="N35" s="75">
        <v>1580.26</v>
      </c>
      <c r="O35" s="76">
        <f t="shared" si="1"/>
        <v>0</v>
      </c>
      <c r="P35" s="77">
        <v>2</v>
      </c>
      <c r="Q35" s="75">
        <v>2</v>
      </c>
      <c r="R35" s="75">
        <v>2</v>
      </c>
      <c r="S35" s="75">
        <v>872.59</v>
      </c>
      <c r="T35" s="75">
        <v>872.59</v>
      </c>
      <c r="U35" s="76">
        <f t="shared" si="2"/>
        <v>0</v>
      </c>
    </row>
    <row r="36" spans="1:21" ht="20.100000000000001" customHeight="1" x14ac:dyDescent="0.25">
      <c r="A36" s="90">
        <v>25</v>
      </c>
      <c r="B36" s="70">
        <f t="shared" si="3"/>
        <v>26</v>
      </c>
      <c r="C36" s="11" t="s">
        <v>41</v>
      </c>
      <c r="D36" s="15" t="s">
        <v>124</v>
      </c>
      <c r="E36" s="71"/>
      <c r="F36" s="17" t="s">
        <v>106</v>
      </c>
      <c r="G36" s="72" t="s">
        <v>160</v>
      </c>
      <c r="H36" s="73">
        <v>6</v>
      </c>
      <c r="I36" s="74">
        <v>2</v>
      </c>
      <c r="J36" s="74">
        <v>3</v>
      </c>
      <c r="K36" s="74">
        <v>3</v>
      </c>
      <c r="L36" s="75">
        <v>2</v>
      </c>
      <c r="M36" s="75">
        <v>738.32</v>
      </c>
      <c r="N36" s="75"/>
      <c r="O36" s="76">
        <f t="shared" si="1"/>
        <v>738.32</v>
      </c>
      <c r="P36" s="77">
        <v>7</v>
      </c>
      <c r="Q36" s="75">
        <v>7</v>
      </c>
      <c r="R36" s="75">
        <v>6</v>
      </c>
      <c r="S36" s="75">
        <v>7876.12</v>
      </c>
      <c r="T36" s="75"/>
      <c r="U36" s="76">
        <f t="shared" si="2"/>
        <v>7876.12</v>
      </c>
    </row>
    <row r="37" spans="1:21" ht="20.100000000000001" customHeight="1" x14ac:dyDescent="0.25">
      <c r="A37" s="90">
        <v>87</v>
      </c>
      <c r="B37" s="70">
        <f t="shared" si="3"/>
        <v>27</v>
      </c>
      <c r="C37" s="13" t="s">
        <v>42</v>
      </c>
      <c r="D37" s="15" t="s">
        <v>124</v>
      </c>
      <c r="E37" s="71"/>
      <c r="F37" s="17" t="s">
        <v>106</v>
      </c>
      <c r="G37" s="72" t="s">
        <v>221</v>
      </c>
      <c r="H37" s="73">
        <v>2</v>
      </c>
      <c r="I37" s="74"/>
      <c r="J37" s="74"/>
      <c r="K37" s="74"/>
      <c r="L37" s="75"/>
      <c r="M37" s="75"/>
      <c r="N37" s="75"/>
      <c r="O37" s="76">
        <f t="shared" si="1"/>
        <v>0</v>
      </c>
      <c r="P37" s="77">
        <v>4</v>
      </c>
      <c r="Q37" s="75">
        <v>4</v>
      </c>
      <c r="R37" s="75">
        <v>3</v>
      </c>
      <c r="S37" s="75">
        <v>1436.08</v>
      </c>
      <c r="T37" s="75">
        <v>1436.08</v>
      </c>
      <c r="U37" s="76">
        <f t="shared" si="2"/>
        <v>0</v>
      </c>
    </row>
    <row r="38" spans="1:21" ht="20.100000000000001" customHeight="1" x14ac:dyDescent="0.25">
      <c r="A38" s="90">
        <v>26</v>
      </c>
      <c r="B38" s="70">
        <f t="shared" si="3"/>
        <v>28</v>
      </c>
      <c r="C38" s="13" t="s">
        <v>43</v>
      </c>
      <c r="D38" s="15" t="s">
        <v>124</v>
      </c>
      <c r="E38" s="71"/>
      <c r="F38" s="17" t="s">
        <v>106</v>
      </c>
      <c r="G38" s="72" t="s">
        <v>161</v>
      </c>
      <c r="H38" s="73">
        <v>6</v>
      </c>
      <c r="I38" s="74">
        <v>3</v>
      </c>
      <c r="J38" s="74">
        <v>3</v>
      </c>
      <c r="K38" s="74">
        <v>3</v>
      </c>
      <c r="L38" s="75">
        <v>2</v>
      </c>
      <c r="M38" s="75">
        <v>568.42999999999995</v>
      </c>
      <c r="N38" s="75">
        <v>568.42999999999995</v>
      </c>
      <c r="O38" s="76">
        <f t="shared" si="1"/>
        <v>0</v>
      </c>
      <c r="P38" s="77">
        <v>2</v>
      </c>
      <c r="Q38" s="75">
        <v>1</v>
      </c>
      <c r="R38" s="75">
        <v>1</v>
      </c>
      <c r="S38" s="75">
        <v>552.96</v>
      </c>
      <c r="T38" s="75">
        <v>552.96</v>
      </c>
      <c r="U38" s="76">
        <f t="shared" si="2"/>
        <v>0</v>
      </c>
    </row>
    <row r="39" spans="1:21" ht="20.100000000000001" customHeight="1" x14ac:dyDescent="0.25">
      <c r="A39" s="90">
        <v>27</v>
      </c>
      <c r="B39" s="70">
        <f t="shared" si="3"/>
        <v>29</v>
      </c>
      <c r="C39" s="11" t="s">
        <v>44</v>
      </c>
      <c r="D39" s="15" t="s">
        <v>124</v>
      </c>
      <c r="E39" s="71"/>
      <c r="F39" s="17" t="s">
        <v>105</v>
      </c>
      <c r="G39" s="72" t="s">
        <v>162</v>
      </c>
      <c r="H39" s="73">
        <v>20</v>
      </c>
      <c r="I39" s="74">
        <v>3</v>
      </c>
      <c r="J39" s="74">
        <v>5</v>
      </c>
      <c r="K39" s="74">
        <v>4</v>
      </c>
      <c r="L39" s="75">
        <v>4</v>
      </c>
      <c r="M39" s="75">
        <v>1783.68</v>
      </c>
      <c r="N39" s="75"/>
      <c r="O39" s="76">
        <f t="shared" si="1"/>
        <v>1783.68</v>
      </c>
      <c r="P39" s="77">
        <v>15</v>
      </c>
      <c r="Q39" s="75">
        <v>15</v>
      </c>
      <c r="R39" s="75">
        <v>13</v>
      </c>
      <c r="S39" s="75">
        <v>13233.81</v>
      </c>
      <c r="T39" s="75">
        <v>10213.92</v>
      </c>
      <c r="U39" s="76">
        <f t="shared" si="2"/>
        <v>3019.8899999999994</v>
      </c>
    </row>
    <row r="40" spans="1:21" ht="20.100000000000001" customHeight="1" x14ac:dyDescent="0.25">
      <c r="A40" s="90">
        <v>28</v>
      </c>
      <c r="B40" s="70">
        <f t="shared" si="3"/>
        <v>30</v>
      </c>
      <c r="C40" s="11" t="s">
        <v>45</v>
      </c>
      <c r="D40" s="15" t="s">
        <v>124</v>
      </c>
      <c r="E40" s="71"/>
      <c r="F40" s="17" t="s">
        <v>111</v>
      </c>
      <c r="G40" s="72" t="s">
        <v>163</v>
      </c>
      <c r="H40" s="73">
        <v>7</v>
      </c>
      <c r="I40" s="74">
        <v>3</v>
      </c>
      <c r="J40" s="74">
        <v>4</v>
      </c>
      <c r="K40" s="74">
        <v>4</v>
      </c>
      <c r="L40" s="75">
        <v>2</v>
      </c>
      <c r="M40" s="75">
        <v>821.67</v>
      </c>
      <c r="N40" s="75"/>
      <c r="O40" s="76">
        <f t="shared" si="1"/>
        <v>821.67</v>
      </c>
      <c r="P40" s="77"/>
      <c r="Q40" s="75"/>
      <c r="R40" s="75"/>
      <c r="S40" s="75"/>
      <c r="T40" s="75"/>
      <c r="U40" s="76">
        <f t="shared" si="2"/>
        <v>0</v>
      </c>
    </row>
    <row r="41" spans="1:21" ht="20.100000000000001" customHeight="1" x14ac:dyDescent="0.25">
      <c r="A41" s="90">
        <v>29</v>
      </c>
      <c r="B41" s="70">
        <f>B40+1</f>
        <v>31</v>
      </c>
      <c r="C41" s="10" t="s">
        <v>46</v>
      </c>
      <c r="D41" s="15" t="s">
        <v>124</v>
      </c>
      <c r="E41" s="71"/>
      <c r="F41" s="17" t="s">
        <v>106</v>
      </c>
      <c r="G41" s="72" t="s">
        <v>164</v>
      </c>
      <c r="H41" s="73">
        <v>5</v>
      </c>
      <c r="I41" s="74">
        <v>1</v>
      </c>
      <c r="J41" s="74">
        <v>1</v>
      </c>
      <c r="K41" s="74">
        <v>1</v>
      </c>
      <c r="L41" s="75">
        <v>1</v>
      </c>
      <c r="M41" s="75">
        <v>2273.6999999999998</v>
      </c>
      <c r="N41" s="75"/>
      <c r="O41" s="76">
        <f t="shared" si="1"/>
        <v>2273.6999999999998</v>
      </c>
      <c r="P41" s="77">
        <v>2</v>
      </c>
      <c r="Q41" s="75">
        <v>2</v>
      </c>
      <c r="R41" s="75">
        <v>2</v>
      </c>
      <c r="S41" s="75">
        <v>3996.7</v>
      </c>
      <c r="T41" s="75">
        <v>3996.7</v>
      </c>
      <c r="U41" s="76">
        <f t="shared" si="2"/>
        <v>0</v>
      </c>
    </row>
    <row r="42" spans="1:21" ht="20.100000000000001" customHeight="1" x14ac:dyDescent="0.25">
      <c r="A42" s="90">
        <v>30</v>
      </c>
      <c r="B42" s="70">
        <f t="shared" si="3"/>
        <v>32</v>
      </c>
      <c r="C42" s="10" t="s">
        <v>47</v>
      </c>
      <c r="D42" s="15" t="s">
        <v>124</v>
      </c>
      <c r="E42" s="71"/>
      <c r="F42" s="17" t="s">
        <v>116</v>
      </c>
      <c r="G42" s="72" t="s">
        <v>165</v>
      </c>
      <c r="H42" s="73">
        <v>8</v>
      </c>
      <c r="I42" s="74">
        <v>3</v>
      </c>
      <c r="J42" s="74">
        <v>3</v>
      </c>
      <c r="K42" s="74">
        <v>3</v>
      </c>
      <c r="L42" s="75">
        <v>1</v>
      </c>
      <c r="M42" s="75">
        <v>1322.88</v>
      </c>
      <c r="N42" s="75">
        <v>1322.88</v>
      </c>
      <c r="O42" s="76">
        <f t="shared" si="1"/>
        <v>0</v>
      </c>
      <c r="P42" s="77">
        <v>2</v>
      </c>
      <c r="Q42" s="75">
        <v>2</v>
      </c>
      <c r="R42" s="75">
        <v>2</v>
      </c>
      <c r="S42" s="75">
        <v>1016.08</v>
      </c>
      <c r="T42" s="75">
        <v>1016.08</v>
      </c>
      <c r="U42" s="76">
        <f t="shared" si="2"/>
        <v>0</v>
      </c>
    </row>
    <row r="43" spans="1:21" ht="20.100000000000001" customHeight="1" x14ac:dyDescent="0.25">
      <c r="A43" s="90">
        <v>32</v>
      </c>
      <c r="B43" s="70">
        <f t="shared" si="3"/>
        <v>33</v>
      </c>
      <c r="C43" s="13" t="s">
        <v>48</v>
      </c>
      <c r="D43" s="15" t="s">
        <v>124</v>
      </c>
      <c r="E43" s="71"/>
      <c r="F43" s="17" t="s">
        <v>106</v>
      </c>
      <c r="G43" s="72" t="s">
        <v>166</v>
      </c>
      <c r="H43" s="73">
        <v>4</v>
      </c>
      <c r="I43" s="74">
        <v>2</v>
      </c>
      <c r="J43" s="74">
        <v>2</v>
      </c>
      <c r="K43" s="74">
        <v>2</v>
      </c>
      <c r="L43" s="75"/>
      <c r="M43" s="75"/>
      <c r="N43" s="75"/>
      <c r="O43" s="76">
        <f t="shared" si="1"/>
        <v>0</v>
      </c>
      <c r="P43" s="77">
        <v>4</v>
      </c>
      <c r="Q43" s="75">
        <v>3</v>
      </c>
      <c r="R43" s="75">
        <v>2</v>
      </c>
      <c r="S43" s="75">
        <v>3907.41</v>
      </c>
      <c r="T43" s="75">
        <v>1733.58</v>
      </c>
      <c r="U43" s="76">
        <f t="shared" si="2"/>
        <v>2173.83</v>
      </c>
    </row>
    <row r="44" spans="1:21" ht="20.100000000000001" customHeight="1" x14ac:dyDescent="0.25">
      <c r="A44" s="90">
        <v>33</v>
      </c>
      <c r="B44" s="70">
        <f t="shared" si="3"/>
        <v>34</v>
      </c>
      <c r="C44" s="10" t="s">
        <v>49</v>
      </c>
      <c r="D44" s="15" t="s">
        <v>124</v>
      </c>
      <c r="E44" s="71"/>
      <c r="F44" s="17" t="s">
        <v>106</v>
      </c>
      <c r="G44" s="72" t="s">
        <v>167</v>
      </c>
      <c r="H44" s="73">
        <v>5</v>
      </c>
      <c r="I44" s="74">
        <v>1</v>
      </c>
      <c r="J44" s="74">
        <v>1</v>
      </c>
      <c r="K44" s="74">
        <v>1</v>
      </c>
      <c r="L44" s="75"/>
      <c r="M44" s="75"/>
      <c r="N44" s="75"/>
      <c r="O44" s="76">
        <f t="shared" si="1"/>
        <v>0</v>
      </c>
      <c r="P44" s="77">
        <v>4</v>
      </c>
      <c r="Q44" s="75">
        <v>4</v>
      </c>
      <c r="R44" s="75">
        <v>4</v>
      </c>
      <c r="S44" s="75">
        <v>6437</v>
      </c>
      <c r="T44" s="75">
        <v>3957.6</v>
      </c>
      <c r="U44" s="76">
        <f t="shared" si="2"/>
        <v>2479.4</v>
      </c>
    </row>
    <row r="45" spans="1:21" ht="20.100000000000001" customHeight="1" x14ac:dyDescent="0.25">
      <c r="A45" s="90">
        <v>34</v>
      </c>
      <c r="B45" s="70">
        <f t="shared" si="3"/>
        <v>35</v>
      </c>
      <c r="C45" s="13" t="s">
        <v>50</v>
      </c>
      <c r="D45" s="15" t="s">
        <v>124</v>
      </c>
      <c r="E45" s="71"/>
      <c r="F45" s="17" t="s">
        <v>106</v>
      </c>
      <c r="G45" s="72" t="s">
        <v>168</v>
      </c>
      <c r="H45" s="73">
        <v>5</v>
      </c>
      <c r="I45" s="74">
        <v>3</v>
      </c>
      <c r="J45" s="74">
        <v>3</v>
      </c>
      <c r="K45" s="74">
        <v>3</v>
      </c>
      <c r="L45" s="75">
        <v>2</v>
      </c>
      <c r="M45" s="75">
        <v>1345.04</v>
      </c>
      <c r="N45" s="75"/>
      <c r="O45" s="76">
        <f t="shared" si="1"/>
        <v>1345.04</v>
      </c>
      <c r="P45" s="77">
        <v>4</v>
      </c>
      <c r="Q45" s="75">
        <v>4</v>
      </c>
      <c r="R45" s="75">
        <v>3</v>
      </c>
      <c r="S45" s="75">
        <v>3997.92</v>
      </c>
      <c r="T45" s="75"/>
      <c r="U45" s="76">
        <f t="shared" si="2"/>
        <v>3997.92</v>
      </c>
    </row>
    <row r="46" spans="1:21" ht="20.100000000000001" customHeight="1" x14ac:dyDescent="0.25">
      <c r="A46" s="90"/>
      <c r="B46" s="70">
        <f t="shared" si="3"/>
        <v>36</v>
      </c>
      <c r="C46" s="11" t="s">
        <v>51</v>
      </c>
      <c r="D46" s="15" t="s">
        <v>124</v>
      </c>
      <c r="E46" s="71"/>
      <c r="F46" s="22" t="s">
        <v>112</v>
      </c>
      <c r="G46" s="72"/>
      <c r="H46" s="73"/>
      <c r="I46" s="74"/>
      <c r="J46" s="74"/>
      <c r="K46" s="74"/>
      <c r="L46" s="75"/>
      <c r="M46" s="75"/>
      <c r="N46" s="75"/>
      <c r="O46" s="76">
        <f t="shared" si="1"/>
        <v>0</v>
      </c>
      <c r="P46" s="77"/>
      <c r="Q46" s="75"/>
      <c r="R46" s="75"/>
      <c r="S46" s="75"/>
      <c r="T46" s="75"/>
      <c r="U46" s="76">
        <f t="shared" si="2"/>
        <v>0</v>
      </c>
    </row>
    <row r="47" spans="1:21" ht="20.100000000000001" customHeight="1" x14ac:dyDescent="0.25">
      <c r="A47" s="90">
        <v>37</v>
      </c>
      <c r="B47" s="70">
        <f t="shared" si="3"/>
        <v>37</v>
      </c>
      <c r="C47" s="11" t="s">
        <v>131</v>
      </c>
      <c r="D47" s="15" t="s">
        <v>124</v>
      </c>
      <c r="E47" s="71"/>
      <c r="F47" s="22" t="s">
        <v>106</v>
      </c>
      <c r="G47" s="72" t="s">
        <v>222</v>
      </c>
      <c r="H47" s="73">
        <v>1</v>
      </c>
      <c r="I47" s="74"/>
      <c r="J47" s="74"/>
      <c r="K47" s="74"/>
      <c r="L47" s="75"/>
      <c r="M47" s="75"/>
      <c r="N47" s="75"/>
      <c r="O47" s="76">
        <f t="shared" si="1"/>
        <v>0</v>
      </c>
      <c r="P47" s="77">
        <v>1</v>
      </c>
      <c r="Q47" s="75">
        <v>1</v>
      </c>
      <c r="R47" s="75">
        <v>1</v>
      </c>
      <c r="S47" s="75">
        <v>11787.49</v>
      </c>
      <c r="T47" s="75">
        <v>11787.49</v>
      </c>
      <c r="U47" s="76">
        <f t="shared" si="2"/>
        <v>0</v>
      </c>
    </row>
    <row r="48" spans="1:21" ht="20.100000000000001" customHeight="1" x14ac:dyDescent="0.25">
      <c r="A48" s="90">
        <v>35</v>
      </c>
      <c r="B48" s="70">
        <f t="shared" si="3"/>
        <v>38</v>
      </c>
      <c r="C48" s="13" t="s">
        <v>52</v>
      </c>
      <c r="D48" s="15" t="s">
        <v>124</v>
      </c>
      <c r="E48" s="71"/>
      <c r="F48" s="17" t="s">
        <v>106</v>
      </c>
      <c r="G48" s="72" t="s">
        <v>169</v>
      </c>
      <c r="H48" s="73">
        <v>10</v>
      </c>
      <c r="I48" s="74">
        <v>3</v>
      </c>
      <c r="J48" s="74">
        <v>4</v>
      </c>
      <c r="K48" s="74">
        <v>4</v>
      </c>
      <c r="L48" s="75">
        <v>3</v>
      </c>
      <c r="M48" s="75">
        <v>2714.54</v>
      </c>
      <c r="N48" s="75">
        <v>2335.59</v>
      </c>
      <c r="O48" s="76">
        <f t="shared" si="1"/>
        <v>378.94999999999982</v>
      </c>
      <c r="P48" s="77">
        <v>1</v>
      </c>
      <c r="Q48" s="75">
        <v>1</v>
      </c>
      <c r="R48" s="75">
        <v>1</v>
      </c>
      <c r="S48" s="75">
        <v>689</v>
      </c>
      <c r="T48" s="75"/>
      <c r="U48" s="76">
        <f t="shared" si="2"/>
        <v>689</v>
      </c>
    </row>
    <row r="49" spans="1:21" ht="20.100000000000001" customHeight="1" x14ac:dyDescent="0.25">
      <c r="A49" s="90">
        <v>36</v>
      </c>
      <c r="B49" s="70">
        <f t="shared" si="3"/>
        <v>39</v>
      </c>
      <c r="C49" s="10" t="s">
        <v>53</v>
      </c>
      <c r="D49" s="15" t="s">
        <v>124</v>
      </c>
      <c r="E49" s="71"/>
      <c r="F49" s="17" t="s">
        <v>105</v>
      </c>
      <c r="G49" s="72" t="s">
        <v>171</v>
      </c>
      <c r="H49" s="73">
        <v>8</v>
      </c>
      <c r="I49" s="74">
        <v>1</v>
      </c>
      <c r="J49" s="74">
        <v>1</v>
      </c>
      <c r="K49" s="74">
        <v>1</v>
      </c>
      <c r="L49" s="75"/>
      <c r="M49" s="75"/>
      <c r="N49" s="75"/>
      <c r="O49" s="76">
        <f t="shared" si="1"/>
        <v>0</v>
      </c>
      <c r="P49" s="77">
        <v>3</v>
      </c>
      <c r="Q49" s="75">
        <v>3</v>
      </c>
      <c r="R49" s="75">
        <v>2</v>
      </c>
      <c r="S49" s="75">
        <v>2800.4</v>
      </c>
      <c r="T49" s="75"/>
      <c r="U49" s="76">
        <f t="shared" si="2"/>
        <v>2800.4</v>
      </c>
    </row>
    <row r="50" spans="1:21" ht="20.100000000000001" customHeight="1" x14ac:dyDescent="0.25">
      <c r="A50" s="90">
        <v>38</v>
      </c>
      <c r="B50" s="70">
        <f t="shared" si="3"/>
        <v>40</v>
      </c>
      <c r="C50" s="10" t="s">
        <v>54</v>
      </c>
      <c r="D50" s="15" t="s">
        <v>124</v>
      </c>
      <c r="E50" s="71"/>
      <c r="F50" s="17" t="s">
        <v>106</v>
      </c>
      <c r="G50" s="72" t="s">
        <v>172</v>
      </c>
      <c r="H50" s="73">
        <v>6</v>
      </c>
      <c r="I50" s="74">
        <v>1</v>
      </c>
      <c r="J50" s="74">
        <v>1</v>
      </c>
      <c r="K50" s="74">
        <v>1</v>
      </c>
      <c r="L50" s="75"/>
      <c r="M50" s="75"/>
      <c r="N50" s="75"/>
      <c r="O50" s="76">
        <f t="shared" si="1"/>
        <v>0</v>
      </c>
      <c r="P50" s="77">
        <v>6</v>
      </c>
      <c r="Q50" s="75">
        <v>5</v>
      </c>
      <c r="R50" s="75">
        <v>3</v>
      </c>
      <c r="S50" s="75">
        <v>4105.0600000000004</v>
      </c>
      <c r="T50" s="75"/>
      <c r="U50" s="76">
        <f t="shared" si="2"/>
        <v>4105.0600000000004</v>
      </c>
    </row>
    <row r="51" spans="1:21" ht="20.100000000000001" customHeight="1" x14ac:dyDescent="0.25">
      <c r="A51" s="90">
        <v>39</v>
      </c>
      <c r="B51" s="70">
        <f t="shared" si="3"/>
        <v>41</v>
      </c>
      <c r="C51" s="10" t="s">
        <v>55</v>
      </c>
      <c r="D51" s="15" t="s">
        <v>124</v>
      </c>
      <c r="E51" s="71"/>
      <c r="F51" s="17" t="s">
        <v>106</v>
      </c>
      <c r="G51" s="72" t="s">
        <v>173</v>
      </c>
      <c r="H51" s="73">
        <v>8</v>
      </c>
      <c r="I51" s="74">
        <v>5</v>
      </c>
      <c r="J51" s="74">
        <v>5</v>
      </c>
      <c r="K51" s="74">
        <v>5</v>
      </c>
      <c r="L51" s="75">
        <v>3</v>
      </c>
      <c r="M51" s="75">
        <v>2478.12</v>
      </c>
      <c r="N51" s="75">
        <v>2478.12</v>
      </c>
      <c r="O51" s="76">
        <f t="shared" si="1"/>
        <v>0</v>
      </c>
      <c r="P51" s="77">
        <v>6</v>
      </c>
      <c r="Q51" s="75">
        <v>4</v>
      </c>
      <c r="R51" s="75">
        <v>4</v>
      </c>
      <c r="S51" s="75">
        <v>2457.2800000000002</v>
      </c>
      <c r="T51" s="75"/>
      <c r="U51" s="76">
        <f t="shared" si="2"/>
        <v>2457.2800000000002</v>
      </c>
    </row>
    <row r="52" spans="1:21" ht="20.100000000000001" customHeight="1" x14ac:dyDescent="0.25">
      <c r="A52" s="90">
        <v>40</v>
      </c>
      <c r="B52" s="70">
        <f t="shared" si="3"/>
        <v>42</v>
      </c>
      <c r="C52" s="10" t="s">
        <v>56</v>
      </c>
      <c r="D52" s="15" t="s">
        <v>124</v>
      </c>
      <c r="E52" s="71"/>
      <c r="F52" s="17" t="s">
        <v>106</v>
      </c>
      <c r="G52" s="72" t="s">
        <v>174</v>
      </c>
      <c r="H52" s="73">
        <v>6</v>
      </c>
      <c r="I52" s="74">
        <v>3</v>
      </c>
      <c r="J52" s="74">
        <v>3</v>
      </c>
      <c r="K52" s="74">
        <v>3</v>
      </c>
      <c r="L52" s="75">
        <v>3</v>
      </c>
      <c r="M52" s="75">
        <v>1308.27</v>
      </c>
      <c r="N52" s="75">
        <v>1308.27</v>
      </c>
      <c r="O52" s="76">
        <f t="shared" si="1"/>
        <v>0</v>
      </c>
      <c r="P52" s="77">
        <v>1</v>
      </c>
      <c r="Q52" s="75">
        <v>1</v>
      </c>
      <c r="R52" s="75">
        <v>1</v>
      </c>
      <c r="S52" s="75">
        <v>728.15</v>
      </c>
      <c r="T52" s="75">
        <v>728.15</v>
      </c>
      <c r="U52" s="76">
        <f t="shared" si="2"/>
        <v>0</v>
      </c>
    </row>
    <row r="53" spans="1:21" ht="20.100000000000001" customHeight="1" x14ac:dyDescent="0.25">
      <c r="A53" s="90">
        <v>41</v>
      </c>
      <c r="B53" s="70">
        <f t="shared" si="3"/>
        <v>43</v>
      </c>
      <c r="C53" s="13" t="s">
        <v>57</v>
      </c>
      <c r="D53" s="15" t="s">
        <v>124</v>
      </c>
      <c r="E53" s="71"/>
      <c r="F53" s="17" t="s">
        <v>106</v>
      </c>
      <c r="G53" s="72" t="s">
        <v>175</v>
      </c>
      <c r="H53" s="73">
        <v>7</v>
      </c>
      <c r="I53" s="74">
        <v>3</v>
      </c>
      <c r="J53" s="74">
        <v>3</v>
      </c>
      <c r="K53" s="74">
        <v>3</v>
      </c>
      <c r="L53" s="75">
        <v>2</v>
      </c>
      <c r="M53" s="75">
        <v>613.9</v>
      </c>
      <c r="N53" s="75">
        <v>341.06</v>
      </c>
      <c r="O53" s="76">
        <f t="shared" si="1"/>
        <v>272.83999999999997</v>
      </c>
      <c r="P53" s="77">
        <v>4</v>
      </c>
      <c r="Q53" s="75">
        <v>4</v>
      </c>
      <c r="R53" s="75">
        <v>3</v>
      </c>
      <c r="S53" s="75">
        <v>1535.39</v>
      </c>
      <c r="T53" s="75">
        <v>530.53</v>
      </c>
      <c r="U53" s="76">
        <f t="shared" si="2"/>
        <v>1004.8600000000001</v>
      </c>
    </row>
    <row r="54" spans="1:21" ht="20.100000000000001" customHeight="1" x14ac:dyDescent="0.25">
      <c r="A54" s="90">
        <v>42</v>
      </c>
      <c r="B54" s="70">
        <f t="shared" si="3"/>
        <v>44</v>
      </c>
      <c r="C54" s="13" t="s">
        <v>58</v>
      </c>
      <c r="D54" s="15" t="s">
        <v>124</v>
      </c>
      <c r="E54" s="71"/>
      <c r="F54" s="17" t="s">
        <v>106</v>
      </c>
      <c r="G54" s="72" t="s">
        <v>229</v>
      </c>
      <c r="H54" s="73">
        <v>2</v>
      </c>
      <c r="I54" s="74"/>
      <c r="J54" s="74"/>
      <c r="K54" s="74"/>
      <c r="L54" s="75"/>
      <c r="M54" s="75"/>
      <c r="N54" s="75"/>
      <c r="O54" s="76">
        <f t="shared" si="1"/>
        <v>0</v>
      </c>
      <c r="P54" s="77">
        <v>2</v>
      </c>
      <c r="Q54" s="75">
        <v>2</v>
      </c>
      <c r="R54" s="75">
        <v>2</v>
      </c>
      <c r="S54" s="75">
        <v>688</v>
      </c>
      <c r="T54" s="75"/>
      <c r="U54" s="76">
        <f t="shared" si="2"/>
        <v>688</v>
      </c>
    </row>
    <row r="55" spans="1:21" ht="20.100000000000001" customHeight="1" x14ac:dyDescent="0.25">
      <c r="A55" s="90">
        <v>43</v>
      </c>
      <c r="B55" s="70">
        <f t="shared" si="3"/>
        <v>45</v>
      </c>
      <c r="C55" s="13" t="s">
        <v>59</v>
      </c>
      <c r="D55" s="15" t="s">
        <v>124</v>
      </c>
      <c r="E55" s="71"/>
      <c r="F55" s="17" t="s">
        <v>112</v>
      </c>
      <c r="G55" s="72" t="s">
        <v>176</v>
      </c>
      <c r="H55" s="73">
        <v>21</v>
      </c>
      <c r="I55" s="74">
        <v>14</v>
      </c>
      <c r="J55" s="74">
        <v>17</v>
      </c>
      <c r="K55" s="74">
        <v>14</v>
      </c>
      <c r="L55" s="75">
        <v>2</v>
      </c>
      <c r="M55" s="75">
        <v>575.32000000000005</v>
      </c>
      <c r="N55" s="75">
        <v>413.4</v>
      </c>
      <c r="O55" s="76">
        <f t="shared" si="1"/>
        <v>161.92000000000007</v>
      </c>
      <c r="P55" s="77">
        <v>17</v>
      </c>
      <c r="Q55" s="75">
        <v>16</v>
      </c>
      <c r="R55" s="75">
        <v>15</v>
      </c>
      <c r="S55" s="75">
        <v>9629.7199999999993</v>
      </c>
      <c r="T55" s="75">
        <v>2632.7</v>
      </c>
      <c r="U55" s="76">
        <f t="shared" si="2"/>
        <v>6997.0199999999995</v>
      </c>
    </row>
    <row r="56" spans="1:21" ht="20.100000000000001" customHeight="1" x14ac:dyDescent="0.25">
      <c r="A56" s="90">
        <v>44</v>
      </c>
      <c r="B56" s="70">
        <f t="shared" si="3"/>
        <v>46</v>
      </c>
      <c r="C56" s="13" t="s">
        <v>60</v>
      </c>
      <c r="D56" s="15" t="s">
        <v>125</v>
      </c>
      <c r="E56" s="79" t="s">
        <v>126</v>
      </c>
      <c r="F56" s="17" t="s">
        <v>106</v>
      </c>
      <c r="G56" s="72" t="s">
        <v>177</v>
      </c>
      <c r="H56" s="73">
        <v>3</v>
      </c>
      <c r="I56" s="74"/>
      <c r="J56" s="74"/>
      <c r="K56" s="74"/>
      <c r="L56" s="75"/>
      <c r="M56" s="75">
        <v>1887.9</v>
      </c>
      <c r="N56" s="75">
        <v>1887.9</v>
      </c>
      <c r="O56" s="76">
        <f t="shared" si="1"/>
        <v>0</v>
      </c>
      <c r="P56" s="77">
        <v>3</v>
      </c>
      <c r="Q56" s="75">
        <v>3</v>
      </c>
      <c r="R56" s="75">
        <v>2</v>
      </c>
      <c r="S56" s="75">
        <v>757.9</v>
      </c>
      <c r="T56" s="75">
        <v>757.9</v>
      </c>
      <c r="U56" s="76">
        <f t="shared" si="2"/>
        <v>0</v>
      </c>
    </row>
    <row r="57" spans="1:21" ht="20.100000000000001" customHeight="1" x14ac:dyDescent="0.25">
      <c r="A57" s="90">
        <v>45</v>
      </c>
      <c r="B57" s="70">
        <f t="shared" si="3"/>
        <v>47</v>
      </c>
      <c r="C57" s="11" t="s">
        <v>61</v>
      </c>
      <c r="D57" s="15" t="s">
        <v>124</v>
      </c>
      <c r="E57" s="71"/>
      <c r="F57" s="17" t="s">
        <v>107</v>
      </c>
      <c r="G57" s="72" t="s">
        <v>178</v>
      </c>
      <c r="H57" s="73">
        <v>18</v>
      </c>
      <c r="I57" s="74">
        <v>11</v>
      </c>
      <c r="J57" s="74">
        <v>12</v>
      </c>
      <c r="K57" s="74">
        <v>9</v>
      </c>
      <c r="L57" s="75">
        <v>4</v>
      </c>
      <c r="M57" s="75">
        <v>2880.54</v>
      </c>
      <c r="N57" s="75">
        <v>272.83999999999997</v>
      </c>
      <c r="O57" s="76">
        <f t="shared" si="1"/>
        <v>2607.6999999999998</v>
      </c>
      <c r="P57" s="77">
        <v>22</v>
      </c>
      <c r="Q57" s="75">
        <v>20</v>
      </c>
      <c r="R57" s="75">
        <v>18</v>
      </c>
      <c r="S57" s="75">
        <v>35028.07</v>
      </c>
      <c r="T57" s="75">
        <v>14478.7</v>
      </c>
      <c r="U57" s="76">
        <f t="shared" si="2"/>
        <v>20549.37</v>
      </c>
    </row>
    <row r="58" spans="1:21" ht="20.100000000000001" customHeight="1" x14ac:dyDescent="0.25">
      <c r="A58" s="90">
        <v>46</v>
      </c>
      <c r="B58" s="70">
        <f t="shared" si="3"/>
        <v>48</v>
      </c>
      <c r="C58" s="11" t="s">
        <v>134</v>
      </c>
      <c r="D58" s="15" t="s">
        <v>124</v>
      </c>
      <c r="E58" s="71"/>
      <c r="F58" s="17" t="s">
        <v>112</v>
      </c>
      <c r="G58" s="72" t="s">
        <v>179</v>
      </c>
      <c r="H58" s="73">
        <v>6</v>
      </c>
      <c r="I58" s="74"/>
      <c r="J58" s="74"/>
      <c r="K58" s="74"/>
      <c r="L58" s="75"/>
      <c r="M58" s="75"/>
      <c r="N58" s="75"/>
      <c r="O58" s="76">
        <f t="shared" si="1"/>
        <v>0</v>
      </c>
      <c r="P58" s="77"/>
      <c r="Q58" s="75"/>
      <c r="R58" s="75"/>
      <c r="S58" s="75"/>
      <c r="T58" s="75"/>
      <c r="U58" s="76">
        <f t="shared" si="2"/>
        <v>0</v>
      </c>
    </row>
    <row r="59" spans="1:21" ht="20.100000000000001" customHeight="1" x14ac:dyDescent="0.25">
      <c r="A59" s="90"/>
      <c r="B59" s="70">
        <f t="shared" si="3"/>
        <v>49</v>
      </c>
      <c r="C59" s="11" t="s">
        <v>62</v>
      </c>
      <c r="D59" s="15" t="s">
        <v>124</v>
      </c>
      <c r="E59" s="71"/>
      <c r="F59" s="17" t="s">
        <v>106</v>
      </c>
      <c r="G59" s="72" t="s">
        <v>230</v>
      </c>
      <c r="H59" s="73"/>
      <c r="I59" s="74"/>
      <c r="J59" s="74"/>
      <c r="K59" s="74"/>
      <c r="L59" s="75"/>
      <c r="M59" s="75"/>
      <c r="N59" s="75"/>
      <c r="O59" s="76">
        <f t="shared" si="1"/>
        <v>0</v>
      </c>
      <c r="P59" s="77"/>
      <c r="Q59" s="75"/>
      <c r="R59" s="75"/>
      <c r="S59" s="75"/>
      <c r="T59" s="75"/>
      <c r="U59" s="76">
        <f t="shared" si="2"/>
        <v>0</v>
      </c>
    </row>
    <row r="60" spans="1:21" ht="20.100000000000001" customHeight="1" x14ac:dyDescent="0.25">
      <c r="A60" s="90"/>
      <c r="B60" s="70">
        <f t="shared" si="3"/>
        <v>50</v>
      </c>
      <c r="C60" s="11" t="s">
        <v>63</v>
      </c>
      <c r="D60" s="15" t="s">
        <v>124</v>
      </c>
      <c r="E60" s="71"/>
      <c r="F60" s="22" t="s">
        <v>112</v>
      </c>
      <c r="G60" s="72" t="s">
        <v>224</v>
      </c>
      <c r="H60" s="73"/>
      <c r="I60" s="74"/>
      <c r="J60" s="74"/>
      <c r="K60" s="74"/>
      <c r="L60" s="75"/>
      <c r="M60" s="75"/>
      <c r="N60" s="75"/>
      <c r="O60" s="76">
        <f t="shared" si="1"/>
        <v>0</v>
      </c>
      <c r="P60" s="77"/>
      <c r="Q60" s="75"/>
      <c r="R60" s="75"/>
      <c r="S60" s="75"/>
      <c r="T60" s="75"/>
      <c r="U60" s="76">
        <f t="shared" si="2"/>
        <v>0</v>
      </c>
    </row>
    <row r="61" spans="1:21" ht="20.100000000000001" customHeight="1" x14ac:dyDescent="0.25">
      <c r="A61" s="90">
        <v>48</v>
      </c>
      <c r="B61" s="70">
        <f t="shared" si="3"/>
        <v>51</v>
      </c>
      <c r="C61" s="11" t="s">
        <v>64</v>
      </c>
      <c r="D61" s="15" t="s">
        <v>124</v>
      </c>
      <c r="E61" s="71"/>
      <c r="F61" s="22" t="s">
        <v>107</v>
      </c>
      <c r="G61" s="72" t="s">
        <v>180</v>
      </c>
      <c r="H61" s="73">
        <v>22</v>
      </c>
      <c r="I61" s="74">
        <v>8</v>
      </c>
      <c r="J61" s="74">
        <v>8</v>
      </c>
      <c r="K61" s="74">
        <v>8</v>
      </c>
      <c r="L61" s="75">
        <v>3</v>
      </c>
      <c r="M61" s="75">
        <v>4967.08</v>
      </c>
      <c r="N61" s="75"/>
      <c r="O61" s="76">
        <f t="shared" si="1"/>
        <v>4967.08</v>
      </c>
      <c r="P61" s="77">
        <v>5</v>
      </c>
      <c r="Q61" s="75">
        <v>5</v>
      </c>
      <c r="R61" s="75">
        <v>5</v>
      </c>
      <c r="S61" s="75">
        <v>6524.72</v>
      </c>
      <c r="T61" s="75"/>
      <c r="U61" s="76">
        <f t="shared" si="2"/>
        <v>6524.72</v>
      </c>
    </row>
    <row r="62" spans="1:21" ht="20.100000000000001" customHeight="1" x14ac:dyDescent="0.25">
      <c r="A62" s="90">
        <v>47</v>
      </c>
      <c r="B62" s="70">
        <f t="shared" si="3"/>
        <v>52</v>
      </c>
      <c r="C62" s="11" t="s">
        <v>135</v>
      </c>
      <c r="D62" s="15" t="s">
        <v>124</v>
      </c>
      <c r="E62" s="71"/>
      <c r="F62" s="22" t="s">
        <v>111</v>
      </c>
      <c r="G62" s="72" t="s">
        <v>181</v>
      </c>
      <c r="H62" s="73">
        <v>6</v>
      </c>
      <c r="I62" s="74">
        <v>2</v>
      </c>
      <c r="J62" s="74">
        <v>2</v>
      </c>
      <c r="K62" s="74">
        <v>1</v>
      </c>
      <c r="L62" s="75"/>
      <c r="M62" s="75"/>
      <c r="N62" s="75"/>
      <c r="O62" s="76">
        <f t="shared" si="1"/>
        <v>0</v>
      </c>
      <c r="P62" s="77"/>
      <c r="Q62" s="75"/>
      <c r="R62" s="75"/>
      <c r="S62" s="75"/>
      <c r="T62" s="75"/>
      <c r="U62" s="76">
        <f t="shared" si="2"/>
        <v>0</v>
      </c>
    </row>
    <row r="63" spans="1:21" ht="20.100000000000001" customHeight="1" x14ac:dyDescent="0.25">
      <c r="A63" s="90">
        <v>49</v>
      </c>
      <c r="B63" s="70">
        <f t="shared" si="3"/>
        <v>53</v>
      </c>
      <c r="C63" s="13" t="s">
        <v>65</v>
      </c>
      <c r="D63" s="15" t="s">
        <v>124</v>
      </c>
      <c r="E63" s="71"/>
      <c r="F63" s="17" t="s">
        <v>106</v>
      </c>
      <c r="G63" s="72" t="s">
        <v>182</v>
      </c>
      <c r="H63" s="73">
        <v>6</v>
      </c>
      <c r="I63" s="74">
        <v>1</v>
      </c>
      <c r="J63" s="74">
        <v>1</v>
      </c>
      <c r="K63" s="74">
        <v>1</v>
      </c>
      <c r="L63" s="75">
        <v>1</v>
      </c>
      <c r="M63" s="75">
        <v>1263.45</v>
      </c>
      <c r="N63" s="75">
        <v>1263.45</v>
      </c>
      <c r="O63" s="76">
        <f t="shared" si="1"/>
        <v>0</v>
      </c>
      <c r="P63" s="77">
        <v>5</v>
      </c>
      <c r="Q63" s="75">
        <v>5</v>
      </c>
      <c r="R63" s="75">
        <v>2</v>
      </c>
      <c r="S63" s="75">
        <v>740.14</v>
      </c>
      <c r="T63" s="75">
        <v>740.14</v>
      </c>
      <c r="U63" s="76">
        <f t="shared" si="2"/>
        <v>0</v>
      </c>
    </row>
    <row r="64" spans="1:21" ht="20.100000000000001" customHeight="1" x14ac:dyDescent="0.25">
      <c r="A64" s="90"/>
      <c r="B64" s="70">
        <f t="shared" si="3"/>
        <v>54</v>
      </c>
      <c r="C64" s="13" t="s">
        <v>66</v>
      </c>
      <c r="D64" s="15" t="s">
        <v>124</v>
      </c>
      <c r="E64" s="71"/>
      <c r="F64" s="17" t="s">
        <v>112</v>
      </c>
      <c r="G64" s="72" t="s">
        <v>227</v>
      </c>
      <c r="H64" s="73"/>
      <c r="I64" s="74"/>
      <c r="J64" s="74"/>
      <c r="K64" s="74"/>
      <c r="L64" s="75"/>
      <c r="M64" s="75"/>
      <c r="N64" s="75"/>
      <c r="O64" s="76">
        <f t="shared" si="1"/>
        <v>0</v>
      </c>
      <c r="P64" s="77">
        <v>8</v>
      </c>
      <c r="Q64" s="75">
        <v>8</v>
      </c>
      <c r="R64" s="75">
        <v>8</v>
      </c>
      <c r="S64" s="75">
        <v>3232.69</v>
      </c>
      <c r="T64" s="75">
        <v>3232.69</v>
      </c>
      <c r="U64" s="76">
        <f t="shared" si="2"/>
        <v>0</v>
      </c>
    </row>
    <row r="65" spans="1:21" ht="20.100000000000001" customHeight="1" x14ac:dyDescent="0.25">
      <c r="A65" s="90">
        <v>50</v>
      </c>
      <c r="B65" s="70">
        <f t="shared" si="3"/>
        <v>55</v>
      </c>
      <c r="C65" s="10" t="s">
        <v>67</v>
      </c>
      <c r="D65" s="15" t="s">
        <v>124</v>
      </c>
      <c r="E65" s="71"/>
      <c r="F65" s="17" t="s">
        <v>106</v>
      </c>
      <c r="G65" s="72" t="s">
        <v>183</v>
      </c>
      <c r="H65" s="73">
        <v>12</v>
      </c>
      <c r="I65" s="74">
        <v>5</v>
      </c>
      <c r="J65" s="74">
        <v>6</v>
      </c>
      <c r="K65" s="74">
        <v>6</v>
      </c>
      <c r="L65" s="75">
        <v>4</v>
      </c>
      <c r="M65" s="75">
        <v>2495.13</v>
      </c>
      <c r="N65" s="75"/>
      <c r="O65" s="76">
        <f t="shared" si="1"/>
        <v>2495.13</v>
      </c>
      <c r="P65" s="77">
        <v>7</v>
      </c>
      <c r="Q65" s="75">
        <v>7</v>
      </c>
      <c r="R65" s="75">
        <v>6</v>
      </c>
      <c r="S65" s="75">
        <v>3377.96</v>
      </c>
      <c r="T65" s="75"/>
      <c r="U65" s="76">
        <f t="shared" si="2"/>
        <v>3377.96</v>
      </c>
    </row>
    <row r="66" spans="1:21" ht="20.100000000000001" customHeight="1" x14ac:dyDescent="0.25">
      <c r="A66" s="90">
        <v>51</v>
      </c>
      <c r="B66" s="70">
        <f t="shared" si="3"/>
        <v>56</v>
      </c>
      <c r="C66" s="10" t="s">
        <v>68</v>
      </c>
      <c r="D66" s="15" t="s">
        <v>124</v>
      </c>
      <c r="E66" s="71"/>
      <c r="F66" s="17" t="s">
        <v>111</v>
      </c>
      <c r="G66" s="72" t="s">
        <v>184</v>
      </c>
      <c r="H66" s="73">
        <v>17</v>
      </c>
      <c r="I66" s="74">
        <v>9</v>
      </c>
      <c r="J66" s="74">
        <v>9</v>
      </c>
      <c r="K66" s="74">
        <v>6</v>
      </c>
      <c r="L66" s="75">
        <v>1</v>
      </c>
      <c r="M66" s="75">
        <v>620.1</v>
      </c>
      <c r="N66" s="75">
        <v>620.1</v>
      </c>
      <c r="O66" s="76">
        <f t="shared" si="1"/>
        <v>0</v>
      </c>
      <c r="P66" s="77">
        <v>8</v>
      </c>
      <c r="Q66" s="75">
        <v>8</v>
      </c>
      <c r="R66" s="75">
        <v>6</v>
      </c>
      <c r="S66" s="75">
        <v>5363.21</v>
      </c>
      <c r="T66" s="75">
        <v>5363.21</v>
      </c>
      <c r="U66" s="76">
        <f t="shared" si="2"/>
        <v>0</v>
      </c>
    </row>
    <row r="67" spans="1:21" ht="20.100000000000001" customHeight="1" x14ac:dyDescent="0.25">
      <c r="A67" s="90">
        <v>52</v>
      </c>
      <c r="B67" s="70">
        <f t="shared" si="3"/>
        <v>57</v>
      </c>
      <c r="C67" s="13" t="s">
        <v>69</v>
      </c>
      <c r="D67" s="15" t="s">
        <v>124</v>
      </c>
      <c r="E67" s="71"/>
      <c r="F67" s="17" t="s">
        <v>106</v>
      </c>
      <c r="G67" s="72" t="s">
        <v>185</v>
      </c>
      <c r="H67" s="73">
        <v>3</v>
      </c>
      <c r="I67" s="74">
        <v>2</v>
      </c>
      <c r="J67" s="74">
        <v>3</v>
      </c>
      <c r="K67" s="74">
        <v>3</v>
      </c>
      <c r="L67" s="75">
        <v>1</v>
      </c>
      <c r="M67" s="75">
        <v>463.83</v>
      </c>
      <c r="N67" s="75"/>
      <c r="O67" s="76">
        <f t="shared" si="1"/>
        <v>463.83</v>
      </c>
      <c r="P67" s="77">
        <v>4</v>
      </c>
      <c r="Q67" s="75">
        <v>4</v>
      </c>
      <c r="R67" s="75">
        <v>4</v>
      </c>
      <c r="S67" s="75">
        <v>3148.1</v>
      </c>
      <c r="T67" s="75">
        <v>2318.17</v>
      </c>
      <c r="U67" s="76">
        <f t="shared" si="2"/>
        <v>829.92999999999984</v>
      </c>
    </row>
    <row r="68" spans="1:21" ht="20.100000000000001" customHeight="1" x14ac:dyDescent="0.25">
      <c r="A68" s="90">
        <v>53</v>
      </c>
      <c r="B68" s="70">
        <f t="shared" si="3"/>
        <v>58</v>
      </c>
      <c r="C68" s="11" t="s">
        <v>70</v>
      </c>
      <c r="D68" s="15" t="s">
        <v>124</v>
      </c>
      <c r="E68" s="71"/>
      <c r="F68" s="17" t="s">
        <v>107</v>
      </c>
      <c r="G68" s="72" t="s">
        <v>186</v>
      </c>
      <c r="H68" s="73">
        <v>17</v>
      </c>
      <c r="I68" s="74">
        <v>15</v>
      </c>
      <c r="J68" s="74">
        <v>17</v>
      </c>
      <c r="K68" s="74">
        <v>13</v>
      </c>
      <c r="L68" s="75">
        <v>9</v>
      </c>
      <c r="M68" s="75">
        <v>6122.06</v>
      </c>
      <c r="N68" s="75">
        <v>1327.02</v>
      </c>
      <c r="O68" s="76">
        <f t="shared" si="1"/>
        <v>4795.0400000000009</v>
      </c>
      <c r="P68" s="77">
        <v>7</v>
      </c>
      <c r="Q68" s="75">
        <v>7</v>
      </c>
      <c r="R68" s="75">
        <v>3</v>
      </c>
      <c r="S68" s="75">
        <v>1207.07</v>
      </c>
      <c r="T68" s="75">
        <v>1207.07</v>
      </c>
      <c r="U68" s="76">
        <f t="shared" si="2"/>
        <v>0</v>
      </c>
    </row>
    <row r="69" spans="1:21" ht="20.100000000000001" customHeight="1" x14ac:dyDescent="0.25">
      <c r="A69" s="90">
        <v>54</v>
      </c>
      <c r="B69" s="70">
        <f t="shared" si="3"/>
        <v>59</v>
      </c>
      <c r="C69" s="11" t="s">
        <v>71</v>
      </c>
      <c r="D69" s="15" t="s">
        <v>124</v>
      </c>
      <c r="E69" s="71"/>
      <c r="F69" s="17" t="s">
        <v>117</v>
      </c>
      <c r="G69" s="72" t="s">
        <v>187</v>
      </c>
      <c r="H69" s="73">
        <v>16</v>
      </c>
      <c r="I69" s="74">
        <v>11</v>
      </c>
      <c r="J69" s="74">
        <v>17</v>
      </c>
      <c r="K69" s="74">
        <v>17</v>
      </c>
      <c r="L69" s="75">
        <v>8</v>
      </c>
      <c r="M69" s="75">
        <v>4665.7</v>
      </c>
      <c r="N69" s="75">
        <v>992.16</v>
      </c>
      <c r="O69" s="76">
        <f t="shared" si="1"/>
        <v>3673.54</v>
      </c>
      <c r="P69" s="77">
        <v>10</v>
      </c>
      <c r="Q69" s="75">
        <v>10</v>
      </c>
      <c r="R69" s="75">
        <v>10</v>
      </c>
      <c r="S69" s="75">
        <v>6249.15</v>
      </c>
      <c r="T69" s="75">
        <v>3017.19</v>
      </c>
      <c r="U69" s="76">
        <f t="shared" si="2"/>
        <v>3231.9599999999996</v>
      </c>
    </row>
    <row r="70" spans="1:21" ht="20.100000000000001" customHeight="1" x14ac:dyDescent="0.25">
      <c r="A70" s="90">
        <v>55</v>
      </c>
      <c r="B70" s="70">
        <f t="shared" si="3"/>
        <v>60</v>
      </c>
      <c r="C70" s="11" t="s">
        <v>72</v>
      </c>
      <c r="D70" s="15" t="s">
        <v>125</v>
      </c>
      <c r="E70" s="79" t="s">
        <v>126</v>
      </c>
      <c r="F70" s="17" t="s">
        <v>106</v>
      </c>
      <c r="G70" s="72" t="s">
        <v>188</v>
      </c>
      <c r="H70" s="73">
        <v>3</v>
      </c>
      <c r="I70" s="74"/>
      <c r="J70" s="74"/>
      <c r="K70" s="74"/>
      <c r="L70" s="75"/>
      <c r="M70" s="75"/>
      <c r="N70" s="75"/>
      <c r="O70" s="76">
        <f t="shared" si="1"/>
        <v>0</v>
      </c>
      <c r="P70" s="77"/>
      <c r="Q70" s="75"/>
      <c r="R70" s="75"/>
      <c r="S70" s="75"/>
      <c r="T70" s="75"/>
      <c r="U70" s="76">
        <f t="shared" si="2"/>
        <v>0</v>
      </c>
    </row>
    <row r="71" spans="1:21" ht="20.100000000000001" customHeight="1" x14ac:dyDescent="0.25">
      <c r="A71" s="90">
        <v>56</v>
      </c>
      <c r="B71" s="70">
        <f t="shared" si="3"/>
        <v>61</v>
      </c>
      <c r="C71" s="10" t="s">
        <v>73</v>
      </c>
      <c r="D71" s="15" t="s">
        <v>124</v>
      </c>
      <c r="E71" s="71"/>
      <c r="F71" s="17" t="s">
        <v>106</v>
      </c>
      <c r="G71" s="72" t="s">
        <v>189</v>
      </c>
      <c r="H71" s="73">
        <v>4</v>
      </c>
      <c r="I71" s="74"/>
      <c r="J71" s="74"/>
      <c r="K71" s="74"/>
      <c r="L71" s="75"/>
      <c r="M71" s="75"/>
      <c r="N71" s="75"/>
      <c r="O71" s="76">
        <f t="shared" si="1"/>
        <v>0</v>
      </c>
      <c r="P71" s="77">
        <v>1</v>
      </c>
      <c r="Q71" s="75">
        <v>1</v>
      </c>
      <c r="R71" s="75"/>
      <c r="S71" s="75"/>
      <c r="T71" s="75"/>
      <c r="U71" s="76">
        <f t="shared" si="2"/>
        <v>0</v>
      </c>
    </row>
    <row r="72" spans="1:21" ht="20.100000000000001" customHeight="1" x14ac:dyDescent="0.25">
      <c r="A72" s="90">
        <v>57</v>
      </c>
      <c r="B72" s="70">
        <f t="shared" si="3"/>
        <v>62</v>
      </c>
      <c r="C72" s="11" t="s">
        <v>74</v>
      </c>
      <c r="D72" s="15" t="s">
        <v>124</v>
      </c>
      <c r="E72" s="71"/>
      <c r="F72" s="17" t="s">
        <v>111</v>
      </c>
      <c r="G72" s="72" t="s">
        <v>190</v>
      </c>
      <c r="H72" s="73">
        <v>7</v>
      </c>
      <c r="I72" s="74">
        <v>2</v>
      </c>
      <c r="J72" s="74">
        <v>2</v>
      </c>
      <c r="K72" s="74">
        <v>2</v>
      </c>
      <c r="L72" s="75">
        <v>2</v>
      </c>
      <c r="M72" s="75">
        <v>2228.5</v>
      </c>
      <c r="N72" s="75">
        <v>2228.5</v>
      </c>
      <c r="O72" s="76">
        <f t="shared" si="1"/>
        <v>0</v>
      </c>
      <c r="P72" s="77">
        <v>17</v>
      </c>
      <c r="Q72" s="75">
        <v>17</v>
      </c>
      <c r="R72" s="75">
        <v>12</v>
      </c>
      <c r="S72" s="75">
        <v>27744.560000000001</v>
      </c>
      <c r="T72" s="75">
        <v>27744.560000000001</v>
      </c>
      <c r="U72" s="76">
        <f t="shared" si="2"/>
        <v>0</v>
      </c>
    </row>
    <row r="73" spans="1:21" ht="20.100000000000001" customHeight="1" x14ac:dyDescent="0.25">
      <c r="A73" s="90">
        <v>58</v>
      </c>
      <c r="B73" s="70">
        <f t="shared" si="3"/>
        <v>63</v>
      </c>
      <c r="C73" s="11" t="s">
        <v>75</v>
      </c>
      <c r="D73" s="15" t="s">
        <v>124</v>
      </c>
      <c r="E73" s="71"/>
      <c r="F73" s="17" t="s">
        <v>118</v>
      </c>
      <c r="G73" s="72" t="s">
        <v>191</v>
      </c>
      <c r="H73" s="73">
        <v>5</v>
      </c>
      <c r="I73" s="74">
        <v>2</v>
      </c>
      <c r="J73" s="74">
        <v>2</v>
      </c>
      <c r="K73" s="74">
        <v>2</v>
      </c>
      <c r="L73" s="75"/>
      <c r="M73" s="75"/>
      <c r="N73" s="75"/>
      <c r="O73" s="76">
        <f t="shared" si="1"/>
        <v>0</v>
      </c>
      <c r="P73" s="77">
        <v>6</v>
      </c>
      <c r="Q73" s="75">
        <v>6</v>
      </c>
      <c r="R73" s="75">
        <v>4</v>
      </c>
      <c r="S73" s="75">
        <v>3959.69</v>
      </c>
      <c r="T73" s="75">
        <v>3959.69</v>
      </c>
      <c r="U73" s="76">
        <f t="shared" si="2"/>
        <v>0</v>
      </c>
    </row>
    <row r="74" spans="1:21" ht="20.100000000000001" customHeight="1" x14ac:dyDescent="0.25">
      <c r="A74" s="90">
        <v>59</v>
      </c>
      <c r="B74" s="70">
        <f t="shared" si="3"/>
        <v>64</v>
      </c>
      <c r="C74" s="10" t="s">
        <v>76</v>
      </c>
      <c r="D74" s="15" t="s">
        <v>124</v>
      </c>
      <c r="E74" s="71"/>
      <c r="F74" s="10" t="s">
        <v>105</v>
      </c>
      <c r="G74" s="72" t="s">
        <v>192</v>
      </c>
      <c r="H74" s="73">
        <v>9</v>
      </c>
      <c r="I74" s="74">
        <v>2</v>
      </c>
      <c r="J74" s="74">
        <v>2</v>
      </c>
      <c r="K74" s="74">
        <v>1</v>
      </c>
      <c r="L74" s="75"/>
      <c r="M74" s="75"/>
      <c r="N74" s="75"/>
      <c r="O74" s="76">
        <f t="shared" si="1"/>
        <v>0</v>
      </c>
      <c r="P74" s="77">
        <v>3</v>
      </c>
      <c r="Q74" s="75">
        <v>3</v>
      </c>
      <c r="R74" s="75">
        <v>3</v>
      </c>
      <c r="S74" s="75">
        <v>1821.06</v>
      </c>
      <c r="T74" s="75">
        <v>1821.06</v>
      </c>
      <c r="U74" s="76">
        <f t="shared" si="2"/>
        <v>0</v>
      </c>
    </row>
    <row r="75" spans="1:21" ht="20.100000000000001" customHeight="1" x14ac:dyDescent="0.25">
      <c r="A75" s="90"/>
      <c r="B75" s="70">
        <f t="shared" si="3"/>
        <v>65</v>
      </c>
      <c r="C75" s="11" t="s">
        <v>77</v>
      </c>
      <c r="D75" s="15" t="s">
        <v>124</v>
      </c>
      <c r="E75" s="71"/>
      <c r="F75" s="10" t="s">
        <v>111</v>
      </c>
      <c r="G75" s="72" t="s">
        <v>225</v>
      </c>
      <c r="H75" s="73"/>
      <c r="I75" s="74"/>
      <c r="J75" s="74"/>
      <c r="K75" s="74"/>
      <c r="L75" s="75"/>
      <c r="M75" s="75"/>
      <c r="N75" s="75"/>
      <c r="O75" s="76">
        <f t="shared" si="1"/>
        <v>0</v>
      </c>
      <c r="P75" s="77">
        <v>1</v>
      </c>
      <c r="Q75" s="75">
        <v>1</v>
      </c>
      <c r="R75" s="75">
        <v>1</v>
      </c>
      <c r="S75" s="75">
        <v>3278.32</v>
      </c>
      <c r="T75" s="75">
        <v>3278.32</v>
      </c>
      <c r="U75" s="76">
        <f t="shared" si="2"/>
        <v>0</v>
      </c>
    </row>
    <row r="76" spans="1:21" ht="20.100000000000001" customHeight="1" x14ac:dyDescent="0.25">
      <c r="A76" s="90">
        <v>60</v>
      </c>
      <c r="B76" s="70">
        <f t="shared" ref="B76:B103" si="4">B75+1</f>
        <v>66</v>
      </c>
      <c r="C76" s="10" t="s">
        <v>78</v>
      </c>
      <c r="D76" s="15" t="s">
        <v>124</v>
      </c>
      <c r="E76" s="71"/>
      <c r="F76" s="23" t="s">
        <v>119</v>
      </c>
      <c r="G76" s="72" t="s">
        <v>193</v>
      </c>
      <c r="H76" s="73">
        <v>3</v>
      </c>
      <c r="I76" s="74"/>
      <c r="J76" s="74"/>
      <c r="K76" s="74"/>
      <c r="L76" s="75"/>
      <c r="M76" s="75"/>
      <c r="N76" s="75"/>
      <c r="O76" s="76">
        <f t="shared" ref="O76:O103" si="5" xml:space="preserve"> (M76-N76)</f>
        <v>0</v>
      </c>
      <c r="P76" s="77">
        <v>2</v>
      </c>
      <c r="Q76" s="75">
        <v>2</v>
      </c>
      <c r="R76" s="75">
        <v>2</v>
      </c>
      <c r="S76" s="75">
        <v>617.03</v>
      </c>
      <c r="T76" s="75"/>
      <c r="U76" s="76">
        <f t="shared" ref="U76:U103" si="6" xml:space="preserve"> (S76-T76)</f>
        <v>617.03</v>
      </c>
    </row>
    <row r="77" spans="1:21" ht="20.100000000000001" customHeight="1" x14ac:dyDescent="0.25">
      <c r="A77" s="90">
        <v>61</v>
      </c>
      <c r="B77" s="70">
        <f t="shared" si="4"/>
        <v>67</v>
      </c>
      <c r="C77" s="11" t="s">
        <v>79</v>
      </c>
      <c r="D77" s="15" t="s">
        <v>124</v>
      </c>
      <c r="E77" s="71"/>
      <c r="F77" s="17" t="s">
        <v>106</v>
      </c>
      <c r="G77" s="72" t="s">
        <v>194</v>
      </c>
      <c r="H77" s="73">
        <v>10</v>
      </c>
      <c r="I77" s="74">
        <v>5</v>
      </c>
      <c r="J77" s="74">
        <v>6</v>
      </c>
      <c r="K77" s="74">
        <v>6</v>
      </c>
      <c r="L77" s="75">
        <v>2</v>
      </c>
      <c r="M77" s="75">
        <v>1065.4000000000001</v>
      </c>
      <c r="N77" s="75">
        <v>522.80999999999995</v>
      </c>
      <c r="O77" s="76">
        <f t="shared" si="5"/>
        <v>542.59000000000015</v>
      </c>
      <c r="P77" s="77">
        <v>4</v>
      </c>
      <c r="Q77" s="75">
        <v>4</v>
      </c>
      <c r="R77" s="75">
        <v>3</v>
      </c>
      <c r="S77" s="75">
        <v>2337.1</v>
      </c>
      <c r="T77" s="75">
        <v>373.44</v>
      </c>
      <c r="U77" s="76">
        <f t="shared" si="6"/>
        <v>1963.6599999999999</v>
      </c>
    </row>
    <row r="78" spans="1:21" ht="20.100000000000001" customHeight="1" x14ac:dyDescent="0.25">
      <c r="A78" s="90">
        <v>62</v>
      </c>
      <c r="B78" s="70">
        <f t="shared" si="4"/>
        <v>68</v>
      </c>
      <c r="C78" s="11" t="s">
        <v>80</v>
      </c>
      <c r="D78" s="15" t="s">
        <v>124</v>
      </c>
      <c r="E78" s="71"/>
      <c r="F78" s="17" t="s">
        <v>106</v>
      </c>
      <c r="G78" s="72" t="s">
        <v>195</v>
      </c>
      <c r="H78" s="73">
        <v>3</v>
      </c>
      <c r="I78" s="74">
        <v>2</v>
      </c>
      <c r="J78" s="74">
        <v>2</v>
      </c>
      <c r="K78" s="74">
        <v>2</v>
      </c>
      <c r="L78" s="75"/>
      <c r="M78" s="75"/>
      <c r="N78" s="75"/>
      <c r="O78" s="76">
        <f t="shared" si="5"/>
        <v>0</v>
      </c>
      <c r="P78" s="77"/>
      <c r="Q78" s="75"/>
      <c r="R78" s="75"/>
      <c r="S78" s="75"/>
      <c r="T78" s="75"/>
      <c r="U78" s="76">
        <f t="shared" si="6"/>
        <v>0</v>
      </c>
    </row>
    <row r="79" spans="1:21" ht="20.100000000000001" customHeight="1" x14ac:dyDescent="0.25">
      <c r="A79" s="90"/>
      <c r="B79" s="70">
        <f t="shared" si="4"/>
        <v>69</v>
      </c>
      <c r="C79" s="14" t="s">
        <v>81</v>
      </c>
      <c r="D79" s="15" t="s">
        <v>124</v>
      </c>
      <c r="E79" s="71"/>
      <c r="F79" s="10" t="s">
        <v>106</v>
      </c>
      <c r="G79" s="72" t="s">
        <v>226</v>
      </c>
      <c r="H79" s="73"/>
      <c r="I79" s="74"/>
      <c r="J79" s="74"/>
      <c r="K79" s="74"/>
      <c r="L79" s="75"/>
      <c r="M79" s="75"/>
      <c r="N79" s="75"/>
      <c r="O79" s="76">
        <f t="shared" si="5"/>
        <v>0</v>
      </c>
      <c r="P79" s="77">
        <v>8</v>
      </c>
      <c r="Q79" s="75">
        <v>8</v>
      </c>
      <c r="R79" s="75">
        <v>8</v>
      </c>
      <c r="S79" s="75">
        <v>3889.76</v>
      </c>
      <c r="T79" s="75">
        <v>852.2</v>
      </c>
      <c r="U79" s="76">
        <f t="shared" si="6"/>
        <v>3037.5600000000004</v>
      </c>
    </row>
    <row r="80" spans="1:21" ht="20.100000000000001" customHeight="1" x14ac:dyDescent="0.25">
      <c r="A80" s="90">
        <v>63</v>
      </c>
      <c r="B80" s="70">
        <f t="shared" si="4"/>
        <v>70</v>
      </c>
      <c r="C80" s="14" t="s">
        <v>82</v>
      </c>
      <c r="D80" s="15" t="s">
        <v>124</v>
      </c>
      <c r="E80" s="71"/>
      <c r="F80" s="10" t="s">
        <v>106</v>
      </c>
      <c r="G80" s="72" t="s">
        <v>196</v>
      </c>
      <c r="H80" s="73">
        <v>7</v>
      </c>
      <c r="I80" s="74">
        <v>1</v>
      </c>
      <c r="J80" s="74">
        <v>1</v>
      </c>
      <c r="K80" s="74">
        <v>1</v>
      </c>
      <c r="L80" s="75">
        <v>1</v>
      </c>
      <c r="M80" s="75">
        <v>272.83999999999997</v>
      </c>
      <c r="N80" s="75">
        <v>272.83999999999997</v>
      </c>
      <c r="O80" s="76">
        <f t="shared" si="5"/>
        <v>0</v>
      </c>
      <c r="P80" s="77">
        <v>1</v>
      </c>
      <c r="Q80" s="75">
        <v>1</v>
      </c>
      <c r="R80" s="75">
        <v>1</v>
      </c>
      <c r="S80" s="75">
        <v>275.60000000000002</v>
      </c>
      <c r="T80" s="75">
        <v>275.60000000000002</v>
      </c>
      <c r="U80" s="76">
        <f t="shared" si="6"/>
        <v>0</v>
      </c>
    </row>
    <row r="81" spans="1:21" ht="20.100000000000001" customHeight="1" x14ac:dyDescent="0.25">
      <c r="A81" s="90">
        <v>64</v>
      </c>
      <c r="B81" s="70">
        <f t="shared" si="4"/>
        <v>71</v>
      </c>
      <c r="C81" s="14" t="s">
        <v>83</v>
      </c>
      <c r="D81" s="15" t="s">
        <v>124</v>
      </c>
      <c r="E81" s="71"/>
      <c r="F81" s="10" t="s">
        <v>106</v>
      </c>
      <c r="G81" s="72" t="s">
        <v>197</v>
      </c>
      <c r="H81" s="73">
        <v>9</v>
      </c>
      <c r="I81" s="74">
        <v>3</v>
      </c>
      <c r="J81" s="74">
        <v>3</v>
      </c>
      <c r="K81" s="74">
        <v>3</v>
      </c>
      <c r="L81" s="75">
        <v>1</v>
      </c>
      <c r="M81" s="75">
        <v>531.74</v>
      </c>
      <c r="N81" s="75">
        <v>531.74</v>
      </c>
      <c r="O81" s="76">
        <f t="shared" si="5"/>
        <v>0</v>
      </c>
      <c r="P81" s="77">
        <v>6</v>
      </c>
      <c r="Q81" s="75">
        <v>6</v>
      </c>
      <c r="R81" s="75">
        <v>5</v>
      </c>
      <c r="S81" s="75">
        <v>12327.43</v>
      </c>
      <c r="T81" s="75">
        <v>12327.43</v>
      </c>
      <c r="U81" s="76">
        <f t="shared" si="6"/>
        <v>0</v>
      </c>
    </row>
    <row r="82" spans="1:21" ht="20.100000000000001" customHeight="1" x14ac:dyDescent="0.25">
      <c r="A82" s="90">
        <v>65</v>
      </c>
      <c r="B82" s="70">
        <f t="shared" si="4"/>
        <v>72</v>
      </c>
      <c r="C82" s="11" t="s">
        <v>84</v>
      </c>
      <c r="D82" s="15" t="s">
        <v>124</v>
      </c>
      <c r="E82" s="71"/>
      <c r="F82" s="10" t="s">
        <v>120</v>
      </c>
      <c r="G82" s="72" t="s">
        <v>198</v>
      </c>
      <c r="H82" s="73">
        <v>1</v>
      </c>
      <c r="I82" s="74"/>
      <c r="J82" s="74"/>
      <c r="K82" s="74"/>
      <c r="L82" s="75"/>
      <c r="M82" s="75"/>
      <c r="N82" s="75"/>
      <c r="O82" s="76">
        <f t="shared" si="5"/>
        <v>0</v>
      </c>
      <c r="P82" s="77"/>
      <c r="Q82" s="75"/>
      <c r="R82" s="75"/>
      <c r="S82" s="75"/>
      <c r="T82" s="75"/>
      <c r="U82" s="76">
        <f t="shared" si="6"/>
        <v>0</v>
      </c>
    </row>
    <row r="83" spans="1:21" ht="20.100000000000001" customHeight="1" x14ac:dyDescent="0.25">
      <c r="A83" s="90">
        <v>66</v>
      </c>
      <c r="B83" s="70">
        <f t="shared" si="4"/>
        <v>73</v>
      </c>
      <c r="C83" s="13" t="s">
        <v>85</v>
      </c>
      <c r="D83" s="15" t="s">
        <v>124</v>
      </c>
      <c r="E83" s="71"/>
      <c r="F83" s="19" t="s">
        <v>106</v>
      </c>
      <c r="G83" s="72" t="s">
        <v>199</v>
      </c>
      <c r="H83" s="73">
        <v>9</v>
      </c>
      <c r="I83" s="74">
        <v>4</v>
      </c>
      <c r="J83" s="74">
        <v>4</v>
      </c>
      <c r="K83" s="74">
        <v>4</v>
      </c>
      <c r="L83" s="75">
        <v>4</v>
      </c>
      <c r="M83" s="75">
        <v>2282.25</v>
      </c>
      <c r="N83" s="75"/>
      <c r="O83" s="76">
        <f t="shared" si="5"/>
        <v>2282.25</v>
      </c>
      <c r="P83" s="77">
        <v>5</v>
      </c>
      <c r="Q83" s="75">
        <v>5</v>
      </c>
      <c r="R83" s="75">
        <v>5</v>
      </c>
      <c r="S83" s="75">
        <v>15935.59</v>
      </c>
      <c r="T83" s="75">
        <v>5274.97</v>
      </c>
      <c r="U83" s="76">
        <f t="shared" si="6"/>
        <v>10660.619999999999</v>
      </c>
    </row>
    <row r="84" spans="1:21" ht="20.100000000000001" customHeight="1" x14ac:dyDescent="0.25">
      <c r="A84" s="90">
        <v>67</v>
      </c>
      <c r="B84" s="70">
        <f t="shared" si="4"/>
        <v>74</v>
      </c>
      <c r="C84" s="10" t="s">
        <v>86</v>
      </c>
      <c r="D84" s="15" t="s">
        <v>124</v>
      </c>
      <c r="E84" s="71"/>
      <c r="F84" s="22" t="s">
        <v>118</v>
      </c>
      <c r="G84" s="72" t="s">
        <v>200</v>
      </c>
      <c r="H84" s="73">
        <v>7</v>
      </c>
      <c r="I84" s="74">
        <v>3</v>
      </c>
      <c r="J84" s="74">
        <v>3</v>
      </c>
      <c r="K84" s="74">
        <v>3</v>
      </c>
      <c r="L84" s="75">
        <v>3</v>
      </c>
      <c r="M84" s="75">
        <v>2803.04</v>
      </c>
      <c r="N84" s="75">
        <v>2803.04</v>
      </c>
      <c r="O84" s="76">
        <f t="shared" si="5"/>
        <v>0</v>
      </c>
      <c r="P84" s="77">
        <v>3</v>
      </c>
      <c r="Q84" s="75">
        <v>3</v>
      </c>
      <c r="R84" s="75">
        <v>3</v>
      </c>
      <c r="S84" s="75">
        <v>6465.89</v>
      </c>
      <c r="T84" s="75">
        <v>6465.89</v>
      </c>
      <c r="U84" s="76">
        <f t="shared" si="6"/>
        <v>0</v>
      </c>
    </row>
    <row r="85" spans="1:21" ht="20.100000000000001" customHeight="1" x14ac:dyDescent="0.25">
      <c r="A85" s="90">
        <v>68</v>
      </c>
      <c r="B85" s="70">
        <f t="shared" si="4"/>
        <v>75</v>
      </c>
      <c r="C85" s="10" t="s">
        <v>87</v>
      </c>
      <c r="D85" s="15" t="s">
        <v>124</v>
      </c>
      <c r="E85" s="71"/>
      <c r="F85" s="22" t="s">
        <v>115</v>
      </c>
      <c r="G85" s="72" t="s">
        <v>201</v>
      </c>
      <c r="H85" s="73">
        <v>9</v>
      </c>
      <c r="I85" s="74">
        <v>1</v>
      </c>
      <c r="J85" s="74">
        <v>1</v>
      </c>
      <c r="K85" s="74">
        <v>1</v>
      </c>
      <c r="L85" s="75">
        <v>1</v>
      </c>
      <c r="M85" s="75">
        <v>409.27</v>
      </c>
      <c r="N85" s="75"/>
      <c r="O85" s="76">
        <f t="shared" si="5"/>
        <v>409.27</v>
      </c>
      <c r="P85" s="77">
        <v>1</v>
      </c>
      <c r="Q85" s="75">
        <v>1</v>
      </c>
      <c r="R85" s="75"/>
      <c r="S85" s="75"/>
      <c r="T85" s="75"/>
      <c r="U85" s="76">
        <f t="shared" si="6"/>
        <v>0</v>
      </c>
    </row>
    <row r="86" spans="1:21" ht="20.100000000000001" customHeight="1" x14ac:dyDescent="0.25">
      <c r="A86" s="90">
        <v>70</v>
      </c>
      <c r="B86" s="70">
        <f t="shared" si="4"/>
        <v>76</v>
      </c>
      <c r="C86" s="11" t="s">
        <v>88</v>
      </c>
      <c r="D86" s="15" t="s">
        <v>124</v>
      </c>
      <c r="E86" s="71"/>
      <c r="F86" s="17" t="s">
        <v>121</v>
      </c>
      <c r="G86" s="72" t="s">
        <v>203</v>
      </c>
      <c r="H86" s="73">
        <v>11</v>
      </c>
      <c r="I86" s="74">
        <v>8</v>
      </c>
      <c r="J86" s="74">
        <v>13</v>
      </c>
      <c r="K86" s="74">
        <v>13</v>
      </c>
      <c r="L86" s="75">
        <v>7</v>
      </c>
      <c r="M86" s="75">
        <v>4781.9399999999996</v>
      </c>
      <c r="N86" s="75"/>
      <c r="O86" s="76">
        <f t="shared" si="5"/>
        <v>4781.9399999999996</v>
      </c>
      <c r="P86" s="77">
        <v>6</v>
      </c>
      <c r="Q86" s="75">
        <v>5</v>
      </c>
      <c r="R86" s="75">
        <v>4</v>
      </c>
      <c r="S86" s="75">
        <v>2068.4699999999998</v>
      </c>
      <c r="T86" s="75"/>
      <c r="U86" s="76">
        <f t="shared" si="6"/>
        <v>2068.4699999999998</v>
      </c>
    </row>
    <row r="87" spans="1:21" ht="20.100000000000001" customHeight="1" x14ac:dyDescent="0.25">
      <c r="A87" s="90">
        <v>69</v>
      </c>
      <c r="B87" s="70">
        <f t="shared" si="4"/>
        <v>77</v>
      </c>
      <c r="C87" s="14" t="s">
        <v>89</v>
      </c>
      <c r="D87" s="15" t="s">
        <v>124</v>
      </c>
      <c r="E87" s="71"/>
      <c r="F87" s="19" t="s">
        <v>106</v>
      </c>
      <c r="G87" s="72" t="s">
        <v>202</v>
      </c>
      <c r="H87" s="73">
        <v>2</v>
      </c>
      <c r="I87" s="74"/>
      <c r="J87" s="74"/>
      <c r="K87" s="74"/>
      <c r="L87" s="75"/>
      <c r="M87" s="75"/>
      <c r="N87" s="75"/>
      <c r="O87" s="76">
        <f t="shared" si="5"/>
        <v>0</v>
      </c>
      <c r="P87" s="77">
        <v>2</v>
      </c>
      <c r="Q87" s="75">
        <v>2</v>
      </c>
      <c r="R87" s="75">
        <v>2</v>
      </c>
      <c r="S87" s="75">
        <v>839.18</v>
      </c>
      <c r="T87" s="75"/>
      <c r="U87" s="76">
        <f t="shared" si="6"/>
        <v>839.18</v>
      </c>
    </row>
    <row r="88" spans="1:21" ht="20.100000000000001" customHeight="1" x14ac:dyDescent="0.25">
      <c r="A88" s="90">
        <v>71</v>
      </c>
      <c r="B88" s="70">
        <f t="shared" si="4"/>
        <v>78</v>
      </c>
      <c r="C88" s="14" t="s">
        <v>90</v>
      </c>
      <c r="D88" s="15" t="s">
        <v>124</v>
      </c>
      <c r="E88" s="71"/>
      <c r="F88" s="19" t="s">
        <v>106</v>
      </c>
      <c r="G88" s="72" t="s">
        <v>204</v>
      </c>
      <c r="H88" s="73">
        <v>4</v>
      </c>
      <c r="I88" s="74">
        <v>2</v>
      </c>
      <c r="J88" s="74">
        <v>2</v>
      </c>
      <c r="K88" s="74">
        <v>2</v>
      </c>
      <c r="L88" s="75">
        <v>2</v>
      </c>
      <c r="M88" s="75">
        <v>795.8</v>
      </c>
      <c r="N88" s="75">
        <v>250.11</v>
      </c>
      <c r="O88" s="76">
        <f t="shared" si="5"/>
        <v>545.68999999999994</v>
      </c>
      <c r="P88" s="77">
        <v>3</v>
      </c>
      <c r="Q88" s="75">
        <v>3</v>
      </c>
      <c r="R88" s="75">
        <v>2</v>
      </c>
      <c r="S88" s="75">
        <v>2723.78</v>
      </c>
      <c r="T88" s="75">
        <v>2723.78</v>
      </c>
      <c r="U88" s="76">
        <f t="shared" si="6"/>
        <v>0</v>
      </c>
    </row>
    <row r="89" spans="1:21" ht="20.100000000000001" customHeight="1" x14ac:dyDescent="0.25">
      <c r="A89" s="90"/>
      <c r="B89" s="70">
        <f t="shared" si="4"/>
        <v>79</v>
      </c>
      <c r="C89" s="10" t="s">
        <v>91</v>
      </c>
      <c r="D89" s="15" t="s">
        <v>124</v>
      </c>
      <c r="E89" s="71"/>
      <c r="F89" s="17" t="s">
        <v>111</v>
      </c>
      <c r="G89" s="72" t="s">
        <v>231</v>
      </c>
      <c r="H89" s="73">
        <v>1</v>
      </c>
      <c r="I89" s="74"/>
      <c r="J89" s="74"/>
      <c r="K89" s="74"/>
      <c r="L89" s="75"/>
      <c r="M89" s="75"/>
      <c r="N89" s="75"/>
      <c r="O89" s="76">
        <f t="shared" si="5"/>
        <v>0</v>
      </c>
      <c r="P89" s="77">
        <v>6</v>
      </c>
      <c r="Q89" s="75">
        <v>6</v>
      </c>
      <c r="R89" s="75">
        <v>6</v>
      </c>
      <c r="S89" s="75">
        <v>7502.29</v>
      </c>
      <c r="T89" s="75">
        <v>4474.76</v>
      </c>
      <c r="U89" s="76">
        <f t="shared" si="6"/>
        <v>3027.5299999999997</v>
      </c>
    </row>
    <row r="90" spans="1:21" ht="20.100000000000001" customHeight="1" x14ac:dyDescent="0.25">
      <c r="A90" s="90">
        <v>72</v>
      </c>
      <c r="B90" s="70">
        <f t="shared" si="4"/>
        <v>80</v>
      </c>
      <c r="C90" s="10" t="s">
        <v>92</v>
      </c>
      <c r="D90" s="15" t="s">
        <v>124</v>
      </c>
      <c r="E90" s="71"/>
      <c r="F90" s="19" t="s">
        <v>106</v>
      </c>
      <c r="G90" s="72" t="s">
        <v>205</v>
      </c>
      <c r="H90" s="73">
        <v>3</v>
      </c>
      <c r="I90" s="74">
        <v>1</v>
      </c>
      <c r="J90" s="74">
        <v>1</v>
      </c>
      <c r="K90" s="74">
        <v>1</v>
      </c>
      <c r="L90" s="75">
        <v>1</v>
      </c>
      <c r="M90" s="75">
        <v>725.77</v>
      </c>
      <c r="N90" s="75"/>
      <c r="O90" s="76">
        <f t="shared" si="5"/>
        <v>725.77</v>
      </c>
      <c r="P90" s="77">
        <v>4</v>
      </c>
      <c r="Q90" s="75">
        <v>4</v>
      </c>
      <c r="R90" s="75">
        <v>2</v>
      </c>
      <c r="S90" s="75">
        <v>8161.92</v>
      </c>
      <c r="T90" s="75">
        <v>5032.46</v>
      </c>
      <c r="U90" s="76">
        <f t="shared" si="6"/>
        <v>3129.46</v>
      </c>
    </row>
    <row r="91" spans="1:21" ht="20.100000000000001" customHeight="1" x14ac:dyDescent="0.25">
      <c r="A91" s="90">
        <v>73</v>
      </c>
      <c r="B91" s="70">
        <f t="shared" si="4"/>
        <v>81</v>
      </c>
      <c r="C91" s="11" t="s">
        <v>93</v>
      </c>
      <c r="D91" s="15" t="s">
        <v>124</v>
      </c>
      <c r="E91" s="71"/>
      <c r="F91" s="17" t="s">
        <v>122</v>
      </c>
      <c r="G91" s="72" t="s">
        <v>206</v>
      </c>
      <c r="H91" s="73">
        <v>13</v>
      </c>
      <c r="I91" s="74">
        <v>9</v>
      </c>
      <c r="J91" s="74">
        <v>13</v>
      </c>
      <c r="K91" s="74">
        <v>13</v>
      </c>
      <c r="L91" s="75">
        <v>6</v>
      </c>
      <c r="M91" s="75">
        <v>2814.78</v>
      </c>
      <c r="N91" s="75"/>
      <c r="O91" s="76">
        <f t="shared" si="5"/>
        <v>2814.78</v>
      </c>
      <c r="P91" s="77">
        <v>4</v>
      </c>
      <c r="Q91" s="75">
        <v>4</v>
      </c>
      <c r="R91" s="75">
        <v>0</v>
      </c>
      <c r="S91" s="75"/>
      <c r="T91" s="75"/>
      <c r="U91" s="76">
        <f t="shared" si="6"/>
        <v>0</v>
      </c>
    </row>
    <row r="92" spans="1:21" ht="20.100000000000001" customHeight="1" x14ac:dyDescent="0.25">
      <c r="A92" s="90">
        <v>74</v>
      </c>
      <c r="B92" s="70">
        <f t="shared" si="4"/>
        <v>82</v>
      </c>
      <c r="C92" s="11" t="s">
        <v>94</v>
      </c>
      <c r="D92" s="15" t="s">
        <v>124</v>
      </c>
      <c r="E92" s="71"/>
      <c r="F92" s="19" t="s">
        <v>106</v>
      </c>
      <c r="G92" s="72" t="s">
        <v>218</v>
      </c>
      <c r="H92" s="73">
        <v>7</v>
      </c>
      <c r="I92" s="74">
        <v>4</v>
      </c>
      <c r="J92" s="74">
        <v>5</v>
      </c>
      <c r="K92" s="74">
        <v>5</v>
      </c>
      <c r="L92" s="75">
        <v>1</v>
      </c>
      <c r="M92" s="75">
        <v>1255.05</v>
      </c>
      <c r="N92" s="75"/>
      <c r="O92" s="76">
        <f t="shared" si="5"/>
        <v>1255.05</v>
      </c>
      <c r="P92" s="77">
        <v>6</v>
      </c>
      <c r="Q92" s="75">
        <v>6</v>
      </c>
      <c r="R92" s="75">
        <v>4</v>
      </c>
      <c r="S92" s="75">
        <v>6219.66</v>
      </c>
      <c r="T92" s="75"/>
      <c r="U92" s="76">
        <f t="shared" si="6"/>
        <v>6219.66</v>
      </c>
    </row>
    <row r="93" spans="1:21" ht="20.100000000000001" customHeight="1" x14ac:dyDescent="0.25">
      <c r="A93" s="90">
        <v>75</v>
      </c>
      <c r="B93" s="70">
        <f t="shared" si="4"/>
        <v>83</v>
      </c>
      <c r="C93" s="11" t="s">
        <v>95</v>
      </c>
      <c r="D93" s="15" t="s">
        <v>124</v>
      </c>
      <c r="E93" s="71"/>
      <c r="F93" s="19" t="s">
        <v>123</v>
      </c>
      <c r="G93" s="72" t="s">
        <v>217</v>
      </c>
      <c r="H93" s="73">
        <v>10</v>
      </c>
      <c r="I93" s="74">
        <v>4</v>
      </c>
      <c r="J93" s="74">
        <v>5</v>
      </c>
      <c r="K93" s="74">
        <v>5</v>
      </c>
      <c r="L93" s="75">
        <v>5</v>
      </c>
      <c r="M93" s="75">
        <v>2301.54</v>
      </c>
      <c r="N93" s="75"/>
      <c r="O93" s="76">
        <f t="shared" si="5"/>
        <v>2301.54</v>
      </c>
      <c r="P93" s="77">
        <v>1</v>
      </c>
      <c r="Q93" s="75">
        <v>1</v>
      </c>
      <c r="R93" s="75">
        <v>1</v>
      </c>
      <c r="S93" s="75">
        <v>206.7</v>
      </c>
      <c r="T93" s="75">
        <v>206.7</v>
      </c>
      <c r="U93" s="76">
        <f t="shared" si="6"/>
        <v>0</v>
      </c>
    </row>
    <row r="94" spans="1:21" ht="20.100000000000001" customHeight="1" x14ac:dyDescent="0.25">
      <c r="A94" s="90">
        <v>76</v>
      </c>
      <c r="B94" s="70">
        <f t="shared" si="4"/>
        <v>84</v>
      </c>
      <c r="C94" s="11" t="s">
        <v>96</v>
      </c>
      <c r="D94" s="15" t="s">
        <v>124</v>
      </c>
      <c r="E94" s="71"/>
      <c r="F94" s="22" t="s">
        <v>112</v>
      </c>
      <c r="G94" s="72" t="s">
        <v>216</v>
      </c>
      <c r="H94" s="73">
        <v>21</v>
      </c>
      <c r="I94" s="74">
        <v>8</v>
      </c>
      <c r="J94" s="74">
        <v>10</v>
      </c>
      <c r="K94" s="74">
        <v>10</v>
      </c>
      <c r="L94" s="75"/>
      <c r="M94" s="75"/>
      <c r="N94" s="75"/>
      <c r="O94" s="76">
        <f t="shared" si="5"/>
        <v>0</v>
      </c>
      <c r="P94" s="77">
        <v>5</v>
      </c>
      <c r="Q94" s="75">
        <v>5</v>
      </c>
      <c r="R94" s="75">
        <v>3</v>
      </c>
      <c r="S94" s="75">
        <v>5838.31</v>
      </c>
      <c r="T94" s="75">
        <v>5838.31</v>
      </c>
      <c r="U94" s="76">
        <f t="shared" si="6"/>
        <v>0</v>
      </c>
    </row>
    <row r="95" spans="1:21" ht="20.100000000000001" customHeight="1" x14ac:dyDescent="0.25">
      <c r="A95" s="90">
        <v>77</v>
      </c>
      <c r="B95" s="70">
        <f t="shared" si="4"/>
        <v>85</v>
      </c>
      <c r="C95" s="11" t="s">
        <v>97</v>
      </c>
      <c r="D95" s="15" t="s">
        <v>124</v>
      </c>
      <c r="E95" s="71"/>
      <c r="F95" s="17" t="s">
        <v>111</v>
      </c>
      <c r="G95" s="72" t="s">
        <v>215</v>
      </c>
      <c r="H95" s="73">
        <v>12</v>
      </c>
      <c r="I95" s="74">
        <v>3</v>
      </c>
      <c r="J95" s="74">
        <v>4</v>
      </c>
      <c r="K95" s="74">
        <v>2</v>
      </c>
      <c r="L95" s="75"/>
      <c r="M95" s="75"/>
      <c r="N95" s="75"/>
      <c r="O95" s="76">
        <f t="shared" si="5"/>
        <v>0</v>
      </c>
      <c r="P95" s="77">
        <v>19</v>
      </c>
      <c r="Q95" s="75">
        <v>19</v>
      </c>
      <c r="R95" s="75">
        <v>17</v>
      </c>
      <c r="S95" s="75">
        <v>18253.04</v>
      </c>
      <c r="T95" s="75">
        <v>18253.04</v>
      </c>
      <c r="U95" s="76">
        <f t="shared" si="6"/>
        <v>0</v>
      </c>
    </row>
    <row r="96" spans="1:21" ht="20.100000000000001" customHeight="1" x14ac:dyDescent="0.25">
      <c r="A96" s="90">
        <v>78</v>
      </c>
      <c r="B96" s="70">
        <f t="shared" si="4"/>
        <v>86</v>
      </c>
      <c r="C96" s="10" t="s">
        <v>98</v>
      </c>
      <c r="D96" s="15" t="s">
        <v>124</v>
      </c>
      <c r="E96" s="71"/>
      <c r="F96" s="19" t="s">
        <v>106</v>
      </c>
      <c r="G96" s="72" t="s">
        <v>214</v>
      </c>
      <c r="H96" s="73">
        <v>13</v>
      </c>
      <c r="I96" s="74">
        <v>1</v>
      </c>
      <c r="J96" s="74">
        <v>1</v>
      </c>
      <c r="K96" s="74">
        <v>1</v>
      </c>
      <c r="L96" s="75">
        <v>1</v>
      </c>
      <c r="M96" s="75">
        <v>413.4</v>
      </c>
      <c r="N96" s="75">
        <v>413.4</v>
      </c>
      <c r="O96" s="76">
        <f t="shared" si="5"/>
        <v>0</v>
      </c>
      <c r="P96" s="77">
        <v>9</v>
      </c>
      <c r="Q96" s="75">
        <v>9</v>
      </c>
      <c r="R96" s="75">
        <v>9</v>
      </c>
      <c r="S96" s="75">
        <v>22276.25</v>
      </c>
      <c r="T96" s="75">
        <v>22276.25</v>
      </c>
      <c r="U96" s="76">
        <f t="shared" si="6"/>
        <v>0</v>
      </c>
    </row>
    <row r="97" spans="1:21" ht="20.100000000000001" customHeight="1" x14ac:dyDescent="0.25">
      <c r="A97" s="90">
        <v>80</v>
      </c>
      <c r="B97" s="70">
        <f t="shared" si="4"/>
        <v>87</v>
      </c>
      <c r="C97" s="10" t="s">
        <v>129</v>
      </c>
      <c r="D97" s="15" t="s">
        <v>124</v>
      </c>
      <c r="E97" s="71"/>
      <c r="F97" s="19" t="s">
        <v>106</v>
      </c>
      <c r="G97" s="72" t="s">
        <v>212</v>
      </c>
      <c r="H97" s="73">
        <v>4</v>
      </c>
      <c r="I97" s="74"/>
      <c r="J97" s="74"/>
      <c r="K97" s="74"/>
      <c r="L97" s="75"/>
      <c r="M97" s="75"/>
      <c r="N97" s="75"/>
      <c r="O97" s="76">
        <f t="shared" si="5"/>
        <v>0</v>
      </c>
      <c r="P97" s="77"/>
      <c r="Q97" s="75"/>
      <c r="R97" s="75"/>
      <c r="S97" s="75"/>
      <c r="T97" s="75"/>
      <c r="U97" s="76">
        <f t="shared" si="6"/>
        <v>0</v>
      </c>
    </row>
    <row r="98" spans="1:21" ht="20.100000000000001" customHeight="1" x14ac:dyDescent="0.25">
      <c r="A98" s="90">
        <v>79</v>
      </c>
      <c r="B98" s="70">
        <f t="shared" si="4"/>
        <v>88</v>
      </c>
      <c r="C98" s="10" t="s">
        <v>99</v>
      </c>
      <c r="D98" s="15" t="s">
        <v>124</v>
      </c>
      <c r="E98" s="71"/>
      <c r="F98" s="19" t="s">
        <v>106</v>
      </c>
      <c r="G98" s="72" t="s">
        <v>213</v>
      </c>
      <c r="H98" s="73">
        <v>6</v>
      </c>
      <c r="I98" s="74">
        <v>3</v>
      </c>
      <c r="J98" s="74">
        <v>3</v>
      </c>
      <c r="K98" s="74">
        <v>3</v>
      </c>
      <c r="L98" s="75">
        <v>2</v>
      </c>
      <c r="M98" s="75">
        <v>1545.67</v>
      </c>
      <c r="N98" s="75">
        <v>408.82</v>
      </c>
      <c r="O98" s="76">
        <f t="shared" si="5"/>
        <v>1136.8500000000001</v>
      </c>
      <c r="P98" s="77">
        <v>4</v>
      </c>
      <c r="Q98" s="75">
        <v>4</v>
      </c>
      <c r="R98" s="75">
        <v>4</v>
      </c>
      <c r="S98" s="75">
        <v>1744.35</v>
      </c>
      <c r="T98" s="75">
        <v>822.22</v>
      </c>
      <c r="U98" s="76">
        <f t="shared" si="6"/>
        <v>922.12999999999988</v>
      </c>
    </row>
    <row r="99" spans="1:21" ht="20.100000000000001" customHeight="1" x14ac:dyDescent="0.25">
      <c r="A99" s="90">
        <v>81</v>
      </c>
      <c r="B99" s="70">
        <f t="shared" si="4"/>
        <v>89</v>
      </c>
      <c r="C99" s="13" t="s">
        <v>100</v>
      </c>
      <c r="D99" s="15" t="s">
        <v>124</v>
      </c>
      <c r="E99" s="71"/>
      <c r="F99" s="19" t="s">
        <v>106</v>
      </c>
      <c r="G99" s="72" t="s">
        <v>211</v>
      </c>
      <c r="H99" s="73">
        <v>8</v>
      </c>
      <c r="I99" s="74">
        <v>2</v>
      </c>
      <c r="J99" s="74">
        <v>2</v>
      </c>
      <c r="K99" s="74">
        <v>2</v>
      </c>
      <c r="L99" s="75"/>
      <c r="M99" s="75"/>
      <c r="N99" s="75"/>
      <c r="O99" s="76">
        <f t="shared" si="5"/>
        <v>0</v>
      </c>
      <c r="P99" s="77">
        <v>6</v>
      </c>
      <c r="Q99" s="75">
        <v>6</v>
      </c>
      <c r="R99" s="75">
        <v>5</v>
      </c>
      <c r="S99" s="75">
        <v>6457</v>
      </c>
      <c r="T99" s="75">
        <v>6457</v>
      </c>
      <c r="U99" s="76">
        <f t="shared" si="6"/>
        <v>0</v>
      </c>
    </row>
    <row r="100" spans="1:21" ht="20.100000000000001" customHeight="1" x14ac:dyDescent="0.25">
      <c r="A100" s="90">
        <v>82</v>
      </c>
      <c r="B100" s="70">
        <f t="shared" si="4"/>
        <v>90</v>
      </c>
      <c r="C100" s="13" t="s">
        <v>101</v>
      </c>
      <c r="D100" s="15" t="s">
        <v>124</v>
      </c>
      <c r="E100" s="71"/>
      <c r="F100" s="17" t="s">
        <v>106</v>
      </c>
      <c r="G100" s="72" t="s">
        <v>210</v>
      </c>
      <c r="H100" s="73">
        <v>7</v>
      </c>
      <c r="I100" s="74">
        <v>1</v>
      </c>
      <c r="J100" s="74">
        <v>1</v>
      </c>
      <c r="K100" s="74">
        <v>1</v>
      </c>
      <c r="L100" s="75"/>
      <c r="M100" s="75"/>
      <c r="N100" s="75"/>
      <c r="O100" s="76">
        <f t="shared" si="5"/>
        <v>0</v>
      </c>
      <c r="P100" s="77">
        <v>6</v>
      </c>
      <c r="Q100" s="75">
        <v>6</v>
      </c>
      <c r="R100" s="75">
        <v>6</v>
      </c>
      <c r="S100" s="75">
        <v>5077.71</v>
      </c>
      <c r="T100" s="75">
        <v>2190.71</v>
      </c>
      <c r="U100" s="76">
        <f t="shared" si="6"/>
        <v>2887</v>
      </c>
    </row>
    <row r="101" spans="1:21" ht="20.100000000000001" customHeight="1" x14ac:dyDescent="0.25">
      <c r="A101" s="90">
        <v>83</v>
      </c>
      <c r="B101" s="70">
        <f t="shared" si="4"/>
        <v>91</v>
      </c>
      <c r="C101" s="13" t="s">
        <v>102</v>
      </c>
      <c r="D101" s="15" t="s">
        <v>124</v>
      </c>
      <c r="E101" s="71"/>
      <c r="F101" s="17" t="s">
        <v>106</v>
      </c>
      <c r="G101" s="72" t="s">
        <v>209</v>
      </c>
      <c r="H101" s="73">
        <v>11</v>
      </c>
      <c r="I101" s="74">
        <v>5</v>
      </c>
      <c r="J101" s="74">
        <v>6</v>
      </c>
      <c r="K101" s="74">
        <v>6</v>
      </c>
      <c r="L101" s="75">
        <v>4</v>
      </c>
      <c r="M101" s="75">
        <v>4459.37</v>
      </c>
      <c r="N101" s="75">
        <v>2669.35</v>
      </c>
      <c r="O101" s="76">
        <f t="shared" si="5"/>
        <v>1790.02</v>
      </c>
      <c r="P101" s="77">
        <v>7</v>
      </c>
      <c r="Q101" s="75">
        <v>7</v>
      </c>
      <c r="R101" s="75">
        <v>7</v>
      </c>
      <c r="S101" s="75">
        <v>4232.91</v>
      </c>
      <c r="T101" s="75">
        <v>2274.39</v>
      </c>
      <c r="U101" s="76">
        <f t="shared" si="6"/>
        <v>1958.52</v>
      </c>
    </row>
    <row r="102" spans="1:21" ht="20.100000000000001" customHeight="1" x14ac:dyDescent="0.25">
      <c r="A102" s="90">
        <v>84</v>
      </c>
      <c r="B102" s="70">
        <f t="shared" si="4"/>
        <v>92</v>
      </c>
      <c r="C102" s="11" t="s">
        <v>103</v>
      </c>
      <c r="D102" s="15" t="s">
        <v>124</v>
      </c>
      <c r="E102" s="71"/>
      <c r="F102" s="22" t="s">
        <v>112</v>
      </c>
      <c r="G102" s="72" t="s">
        <v>208</v>
      </c>
      <c r="H102" s="73">
        <v>24</v>
      </c>
      <c r="I102" s="74">
        <v>5</v>
      </c>
      <c r="J102" s="74">
        <v>6</v>
      </c>
      <c r="K102" s="74">
        <v>2</v>
      </c>
      <c r="L102" s="75">
        <v>1</v>
      </c>
      <c r="M102" s="75">
        <v>234.26</v>
      </c>
      <c r="N102" s="75"/>
      <c r="O102" s="76">
        <f t="shared" si="5"/>
        <v>234.26</v>
      </c>
      <c r="P102" s="77">
        <v>15</v>
      </c>
      <c r="Q102" s="75">
        <v>13</v>
      </c>
      <c r="R102" s="75">
        <v>11</v>
      </c>
      <c r="S102" s="75">
        <v>16946.830000000002</v>
      </c>
      <c r="T102" s="75">
        <v>6585.82</v>
      </c>
      <c r="U102" s="76">
        <f t="shared" si="6"/>
        <v>10361.010000000002</v>
      </c>
    </row>
    <row r="103" spans="1:21" ht="20.100000000000001" customHeight="1" thickBot="1" x14ac:dyDescent="0.3">
      <c r="A103" s="90">
        <v>85</v>
      </c>
      <c r="B103" s="70">
        <f t="shared" si="4"/>
        <v>93</v>
      </c>
      <c r="C103" s="30" t="s">
        <v>104</v>
      </c>
      <c r="D103" s="31" t="s">
        <v>124</v>
      </c>
      <c r="E103" s="80"/>
      <c r="F103" s="33" t="s">
        <v>106</v>
      </c>
      <c r="G103" s="72" t="s">
        <v>207</v>
      </c>
      <c r="H103" s="81">
        <v>3</v>
      </c>
      <c r="I103" s="82">
        <v>1</v>
      </c>
      <c r="J103" s="82">
        <v>1</v>
      </c>
      <c r="K103" s="82">
        <v>1</v>
      </c>
      <c r="L103" s="83">
        <v>1</v>
      </c>
      <c r="M103" s="83">
        <v>137.80000000000001</v>
      </c>
      <c r="N103" s="83">
        <v>137.80000000000001</v>
      </c>
      <c r="O103" s="76">
        <f t="shared" si="5"/>
        <v>0</v>
      </c>
      <c r="P103" s="84">
        <v>3</v>
      </c>
      <c r="Q103" s="83">
        <v>3</v>
      </c>
      <c r="R103" s="83">
        <v>3</v>
      </c>
      <c r="S103" s="83">
        <v>1193.3</v>
      </c>
      <c r="T103" s="83">
        <v>1193.3</v>
      </c>
      <c r="U103" s="76">
        <f t="shared" si="6"/>
        <v>0</v>
      </c>
    </row>
    <row r="104" spans="1:21" ht="20.100000000000001" customHeight="1" x14ac:dyDescent="0.25">
      <c r="A104" s="90"/>
      <c r="B104" s="325"/>
      <c r="C104" s="325"/>
      <c r="D104" s="325"/>
      <c r="E104" s="325"/>
      <c r="F104" s="325"/>
      <c r="G104" s="325"/>
      <c r="H104" s="85">
        <f t="shared" ref="H104:O104" si="7">SUM(H10:H103)</f>
        <v>698</v>
      </c>
      <c r="I104" s="85">
        <f t="shared" si="7"/>
        <v>270</v>
      </c>
      <c r="J104" s="85">
        <f t="shared" si="7"/>
        <v>324</v>
      </c>
      <c r="K104" s="85">
        <f t="shared" si="7"/>
        <v>296</v>
      </c>
      <c r="L104" s="86">
        <f t="shared" si="7"/>
        <v>136</v>
      </c>
      <c r="M104" s="91">
        <f t="shared" si="7"/>
        <v>91131.369999999981</v>
      </c>
      <c r="N104" s="91">
        <f t="shared" si="7"/>
        <v>34381.610000000015</v>
      </c>
      <c r="O104" s="91">
        <f t="shared" si="7"/>
        <v>56749.760000000009</v>
      </c>
      <c r="P104" s="86">
        <f>SUM(P10:P103)</f>
        <v>481</v>
      </c>
      <c r="Q104" s="86">
        <f>SUM(Q10:Q103)</f>
        <v>466</v>
      </c>
      <c r="R104" s="86">
        <f>SUM(R11:R103)</f>
        <v>377</v>
      </c>
      <c r="S104" s="91">
        <f>SUM(S10:S103)</f>
        <v>500205.12999999989</v>
      </c>
      <c r="T104" s="91">
        <f>SUM(T10:T103)</f>
        <v>320781.75000000006</v>
      </c>
      <c r="U104" s="92">
        <f>SUM(U10:U103)</f>
        <v>179423.37999999998</v>
      </c>
    </row>
  </sheetData>
  <mergeCells count="8">
    <mergeCell ref="B104:G104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6">
    <cfRule type="cellIs" dxfId="436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6"/>
  <sheetViews>
    <sheetView topLeftCell="G91" zoomScale="82" zoomScaleNormal="82" workbookViewId="0">
      <selection activeCell="T104" sqref="T104"/>
    </sheetView>
  </sheetViews>
  <sheetFormatPr defaultRowHeight="15" x14ac:dyDescent="0.25"/>
  <cols>
    <col min="1" max="1" width="9.140625" style="110" hidden="1" customWidth="1"/>
    <col min="2" max="2" width="9.140625" style="55" customWidth="1"/>
    <col min="3" max="3" width="32.1406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19" style="55" customWidth="1"/>
    <col min="8" max="12" width="9.140625" style="55" customWidth="1"/>
    <col min="13" max="13" width="11.85546875" style="109" customWidth="1"/>
    <col min="14" max="14" width="9.5703125" style="109" bestFit="1" customWidth="1"/>
    <col min="15" max="15" width="12.28515625" style="109" customWidth="1"/>
    <col min="16" max="18" width="9.140625" style="109" customWidth="1"/>
    <col min="19" max="21" width="10.7109375" style="109" bestFit="1" customWidth="1"/>
    <col min="23" max="23" width="9.5703125" hidden="1" customWidth="1"/>
    <col min="24" max="24" width="0" hidden="1" customWidth="1"/>
    <col min="25" max="25" width="9.5703125" hidden="1" customWidth="1"/>
    <col min="26" max="26" width="0" hidden="1" customWidth="1"/>
    <col min="27" max="27" width="9.5703125" hidden="1" customWidth="1"/>
  </cols>
  <sheetData>
    <row r="1" spans="1:21" ht="15.7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21" x14ac:dyDescent="0.25">
      <c r="B2" s="348" t="s">
        <v>254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21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21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21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21" ht="15.7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21" ht="69.7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255</v>
      </c>
      <c r="Q7" s="360"/>
      <c r="R7" s="360"/>
      <c r="S7" s="360"/>
      <c r="T7" s="360"/>
      <c r="U7" s="361"/>
    </row>
    <row r="8" spans="1:21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5" t="s">
        <v>16</v>
      </c>
    </row>
    <row r="9" spans="1:21" ht="15.75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22">
        <f t="shared" si="0"/>
        <v>19</v>
      </c>
      <c r="U9" s="128">
        <f t="shared" si="0"/>
        <v>20</v>
      </c>
    </row>
    <row r="10" spans="1:21" ht="20.100000000000001" customHeight="1" x14ac:dyDescent="0.25">
      <c r="A10" s="110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13</v>
      </c>
      <c r="I10" s="75">
        <v>3</v>
      </c>
      <c r="J10" s="75">
        <v>3</v>
      </c>
      <c r="K10" s="75">
        <v>3</v>
      </c>
      <c r="L10" s="75">
        <v>3</v>
      </c>
      <c r="M10" s="97">
        <f>1033.5+1418.08</f>
        <v>2451.58</v>
      </c>
      <c r="N10" s="97">
        <v>1033.5</v>
      </c>
      <c r="O10" s="93">
        <f xml:space="preserve"> (M10-N10)</f>
        <v>1418.08</v>
      </c>
      <c r="P10" s="123">
        <v>6</v>
      </c>
      <c r="Q10" s="124">
        <v>6</v>
      </c>
      <c r="R10" s="124">
        <v>6</v>
      </c>
      <c r="S10" s="97">
        <v>4246.75</v>
      </c>
      <c r="T10" s="97">
        <v>3352.81</v>
      </c>
      <c r="U10" s="93">
        <f xml:space="preserve"> (S10-T10)</f>
        <v>893.94</v>
      </c>
    </row>
    <row r="11" spans="1:21" ht="20.100000000000001" customHeight="1" x14ac:dyDescent="0.25">
      <c r="A11" s="110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3</v>
      </c>
      <c r="I11" s="75">
        <v>1</v>
      </c>
      <c r="J11" s="75">
        <v>1</v>
      </c>
      <c r="K11" s="75">
        <v>1</v>
      </c>
      <c r="L11" s="75"/>
      <c r="M11" s="97"/>
      <c r="N11" s="97"/>
      <c r="O11" s="93">
        <f t="shared" ref="O11:O75" si="1" xml:space="preserve"> (M11-N11)</f>
        <v>0</v>
      </c>
      <c r="P11" s="123">
        <v>2</v>
      </c>
      <c r="Q11" s="124">
        <v>2</v>
      </c>
      <c r="R11" s="124">
        <v>1</v>
      </c>
      <c r="S11" s="97">
        <v>234.26</v>
      </c>
      <c r="T11" s="97">
        <v>234.26</v>
      </c>
      <c r="U11" s="93">
        <f t="shared" ref="U11:U75" si="2" xml:space="preserve"> (S11-T11)</f>
        <v>0</v>
      </c>
    </row>
    <row r="12" spans="1:21" ht="20.100000000000001" customHeight="1" x14ac:dyDescent="0.25">
      <c r="A12" s="110" t="s">
        <v>241</v>
      </c>
      <c r="B12" s="99">
        <f t="shared" ref="B12:B75" si="3">B11+1</f>
        <v>3</v>
      </c>
      <c r="C12" s="11" t="s">
        <v>20</v>
      </c>
      <c r="D12" s="100" t="s">
        <v>124</v>
      </c>
      <c r="E12" s="101"/>
      <c r="F12" s="17" t="s">
        <v>107</v>
      </c>
      <c r="G12" s="72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2</v>
      </c>
      <c r="S12" s="97">
        <v>1548.67</v>
      </c>
      <c r="T12" s="97">
        <v>1548.67</v>
      </c>
      <c r="U12" s="93">
        <f t="shared" si="2"/>
        <v>0</v>
      </c>
    </row>
    <row r="13" spans="1:21" ht="20.100000000000001" customHeight="1" x14ac:dyDescent="0.25">
      <c r="A13" s="110">
        <v>7</v>
      </c>
      <c r="B13" s="99">
        <f t="shared" si="3"/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7</v>
      </c>
      <c r="I13" s="75">
        <v>4</v>
      </c>
      <c r="J13" s="75">
        <v>5</v>
      </c>
      <c r="K13" s="75">
        <v>5</v>
      </c>
      <c r="L13" s="75">
        <v>5</v>
      </c>
      <c r="M13" s="97">
        <f>272.84+2699.54</f>
        <v>2972.38</v>
      </c>
      <c r="N13" s="97">
        <v>272.83999999999997</v>
      </c>
      <c r="O13" s="93">
        <f t="shared" si="1"/>
        <v>2699.54</v>
      </c>
      <c r="P13" s="123">
        <v>4</v>
      </c>
      <c r="Q13" s="124">
        <v>4</v>
      </c>
      <c r="R13" s="124">
        <v>4</v>
      </c>
      <c r="S13" s="97">
        <f>7385.53+1228.66</f>
        <v>8614.19</v>
      </c>
      <c r="T13" s="97">
        <v>7385.53</v>
      </c>
      <c r="U13" s="93">
        <f t="shared" si="2"/>
        <v>1228.6600000000008</v>
      </c>
    </row>
    <row r="14" spans="1:21" ht="20.100000000000001" customHeight="1" x14ac:dyDescent="0.25">
      <c r="A14" s="110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12</v>
      </c>
      <c r="I14" s="75">
        <v>7</v>
      </c>
      <c r="J14" s="75">
        <v>8</v>
      </c>
      <c r="K14" s="75">
        <v>7</v>
      </c>
      <c r="L14" s="75">
        <v>2</v>
      </c>
      <c r="M14" s="97">
        <v>2277.13</v>
      </c>
      <c r="N14" s="97"/>
      <c r="O14" s="93">
        <f t="shared" si="1"/>
        <v>2277.13</v>
      </c>
      <c r="P14" s="123">
        <v>5</v>
      </c>
      <c r="Q14" s="124">
        <v>4</v>
      </c>
      <c r="R14" s="124">
        <v>3</v>
      </c>
      <c r="S14" s="97">
        <v>1800.7</v>
      </c>
      <c r="T14" s="97"/>
      <c r="U14" s="93">
        <f t="shared" si="2"/>
        <v>1800.7</v>
      </c>
    </row>
    <row r="15" spans="1:21" ht="20.100000000000001" customHeight="1" x14ac:dyDescent="0.25">
      <c r="A15" s="110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11</v>
      </c>
      <c r="I15" s="75">
        <v>6</v>
      </c>
      <c r="J15" s="75">
        <v>9</v>
      </c>
      <c r="K15" s="75">
        <v>9</v>
      </c>
      <c r="L15" s="75">
        <v>3</v>
      </c>
      <c r="M15" s="97">
        <v>3475.33</v>
      </c>
      <c r="N15" s="97"/>
      <c r="O15" s="93">
        <f t="shared" si="1"/>
        <v>3475.33</v>
      </c>
      <c r="P15" s="123">
        <v>11</v>
      </c>
      <c r="Q15" s="124">
        <v>11</v>
      </c>
      <c r="R15" s="124">
        <v>8</v>
      </c>
      <c r="S15" s="97">
        <v>9375.69</v>
      </c>
      <c r="T15" s="97">
        <v>4569.41</v>
      </c>
      <c r="U15" s="93">
        <f t="shared" si="2"/>
        <v>4806.2800000000007</v>
      </c>
    </row>
    <row r="16" spans="1:21" ht="20.100000000000001" customHeight="1" x14ac:dyDescent="0.25">
      <c r="A16" s="110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97"/>
      <c r="U16" s="93">
        <f t="shared" si="2"/>
        <v>0</v>
      </c>
    </row>
    <row r="17" spans="1:21" ht="20.100000000000001" customHeight="1" x14ac:dyDescent="0.25">
      <c r="A17" s="110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5</v>
      </c>
      <c r="I17" s="75"/>
      <c r="J17" s="75"/>
      <c r="K17" s="75"/>
      <c r="L17" s="75"/>
      <c r="M17" s="97"/>
      <c r="N17" s="97"/>
      <c r="O17" s="93">
        <f t="shared" si="1"/>
        <v>0</v>
      </c>
      <c r="P17" s="123"/>
      <c r="Q17" s="124"/>
      <c r="R17" s="124"/>
      <c r="S17" s="97"/>
      <c r="T17" s="97"/>
      <c r="U17" s="93">
        <f t="shared" si="2"/>
        <v>0</v>
      </c>
    </row>
    <row r="18" spans="1:21" ht="20.100000000000001" customHeight="1" x14ac:dyDescent="0.25">
      <c r="A18" s="110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1</v>
      </c>
      <c r="I18" s="75"/>
      <c r="J18" s="75"/>
      <c r="K18" s="75"/>
      <c r="L18" s="75"/>
      <c r="M18" s="97"/>
      <c r="N18" s="97"/>
      <c r="O18" s="93">
        <f t="shared" si="1"/>
        <v>0</v>
      </c>
      <c r="P18" s="123">
        <v>3</v>
      </c>
      <c r="Q18" s="124">
        <v>3</v>
      </c>
      <c r="R18" s="124">
        <v>3</v>
      </c>
      <c r="S18" s="97">
        <v>14748.55</v>
      </c>
      <c r="T18" s="97"/>
      <c r="U18" s="93">
        <f t="shared" si="2"/>
        <v>14748.55</v>
      </c>
    </row>
    <row r="19" spans="1:21" ht="20.100000000000001" customHeight="1" x14ac:dyDescent="0.25">
      <c r="A19" s="110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15</v>
      </c>
      <c r="I19" s="75">
        <v>6</v>
      </c>
      <c r="J19" s="75">
        <v>9</v>
      </c>
      <c r="K19" s="75">
        <v>9</v>
      </c>
      <c r="L19" s="75">
        <v>6</v>
      </c>
      <c r="M19" s="97">
        <f>1744.9+542.59</f>
        <v>2287.4900000000002</v>
      </c>
      <c r="N19" s="97">
        <v>749.29</v>
      </c>
      <c r="O19" s="93">
        <f t="shared" si="1"/>
        <v>1538.2000000000003</v>
      </c>
      <c r="P19" s="123">
        <v>11</v>
      </c>
      <c r="Q19" s="124">
        <v>11</v>
      </c>
      <c r="R19" s="124">
        <v>9</v>
      </c>
      <c r="S19" s="97">
        <f>12589.36+4299.58</f>
        <v>16888.940000000002</v>
      </c>
      <c r="T19" s="97">
        <v>9246.57</v>
      </c>
      <c r="U19" s="93">
        <f t="shared" si="2"/>
        <v>7642.3700000000026</v>
      </c>
    </row>
    <row r="20" spans="1:21" ht="20.100000000000001" customHeight="1" x14ac:dyDescent="0.25">
      <c r="A20" s="110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10</v>
      </c>
      <c r="I20" s="75">
        <v>4</v>
      </c>
      <c r="J20" s="75">
        <v>4</v>
      </c>
      <c r="K20" s="75">
        <v>3</v>
      </c>
      <c r="L20" s="75">
        <v>3</v>
      </c>
      <c r="M20" s="97">
        <v>1581.26</v>
      </c>
      <c r="N20" s="97"/>
      <c r="O20" s="93">
        <f t="shared" si="1"/>
        <v>1581.26</v>
      </c>
      <c r="P20" s="123">
        <v>22</v>
      </c>
      <c r="Q20" s="124">
        <v>19</v>
      </c>
      <c r="R20" s="124">
        <v>19</v>
      </c>
      <c r="S20" s="97">
        <f>14391.07+12609.01</f>
        <v>27000.080000000002</v>
      </c>
      <c r="T20" s="97">
        <v>14391.07</v>
      </c>
      <c r="U20" s="93">
        <f t="shared" si="2"/>
        <v>12609.010000000002</v>
      </c>
    </row>
    <row r="21" spans="1:21" ht="20.100000000000001" customHeight="1" x14ac:dyDescent="0.25">
      <c r="A21" s="110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5</v>
      </c>
      <c r="I21" s="75">
        <v>2</v>
      </c>
      <c r="J21" s="75">
        <v>2</v>
      </c>
      <c r="K21" s="75">
        <v>2</v>
      </c>
      <c r="L21" s="75">
        <v>1</v>
      </c>
      <c r="M21" s="97"/>
      <c r="N21" s="97"/>
      <c r="O21" s="93">
        <f t="shared" si="1"/>
        <v>0</v>
      </c>
      <c r="P21" s="123">
        <v>4</v>
      </c>
      <c r="Q21" s="124">
        <v>4</v>
      </c>
      <c r="R21" s="124">
        <v>2</v>
      </c>
      <c r="S21" s="97">
        <v>5005.45</v>
      </c>
      <c r="T21" s="97">
        <v>1928.2</v>
      </c>
      <c r="U21" s="93">
        <f t="shared" si="2"/>
        <v>3077.25</v>
      </c>
    </row>
    <row r="22" spans="1:21" ht="20.100000000000001" customHeight="1" x14ac:dyDescent="0.25">
      <c r="A22" s="110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24</v>
      </c>
      <c r="I22" s="75">
        <v>8</v>
      </c>
      <c r="J22" s="75">
        <v>9</v>
      </c>
      <c r="K22" s="75">
        <v>9</v>
      </c>
      <c r="L22" s="75">
        <v>9</v>
      </c>
      <c r="M22" s="97">
        <f>910.39+3506.19</f>
        <v>4416.58</v>
      </c>
      <c r="N22" s="97">
        <v>910.39</v>
      </c>
      <c r="O22" s="93">
        <f t="shared" si="1"/>
        <v>3506.19</v>
      </c>
      <c r="P22" s="123">
        <v>15</v>
      </c>
      <c r="Q22" s="124">
        <v>15</v>
      </c>
      <c r="R22" s="124">
        <v>15</v>
      </c>
      <c r="S22" s="97">
        <f>16007.48+3068.6</f>
        <v>19076.079999999998</v>
      </c>
      <c r="T22" s="97">
        <v>14006.59</v>
      </c>
      <c r="U22" s="93">
        <f t="shared" si="2"/>
        <v>5069.489999999998</v>
      </c>
    </row>
    <row r="23" spans="1:21" ht="20.100000000000001" customHeight="1" x14ac:dyDescent="0.25">
      <c r="A23" s="110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6</v>
      </c>
      <c r="I23" s="75">
        <v>3</v>
      </c>
      <c r="J23" s="75">
        <v>3</v>
      </c>
      <c r="K23" s="75">
        <v>3</v>
      </c>
      <c r="L23" s="75">
        <v>3</v>
      </c>
      <c r="M23" s="97">
        <f>1852.03+375.16</f>
        <v>2227.19</v>
      </c>
      <c r="N23" s="97">
        <v>1852.03</v>
      </c>
      <c r="O23" s="93">
        <f t="shared" si="1"/>
        <v>375.16000000000008</v>
      </c>
      <c r="P23" s="123">
        <v>11</v>
      </c>
      <c r="Q23" s="124">
        <v>10</v>
      </c>
      <c r="R23" s="124">
        <v>10</v>
      </c>
      <c r="S23" s="97">
        <f>23953.14+1377.56</f>
        <v>25330.7</v>
      </c>
      <c r="T23" s="97">
        <v>13330.21</v>
      </c>
      <c r="U23" s="93">
        <f t="shared" si="2"/>
        <v>12000.490000000002</v>
      </c>
    </row>
    <row r="24" spans="1:21" ht="20.100000000000001" customHeight="1" x14ac:dyDescent="0.25">
      <c r="A24" s="110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12</v>
      </c>
      <c r="I24" s="75">
        <v>6</v>
      </c>
      <c r="J24" s="75">
        <v>6</v>
      </c>
      <c r="K24" s="75">
        <v>5</v>
      </c>
      <c r="L24" s="75">
        <v>5</v>
      </c>
      <c r="M24" s="97">
        <v>1515.11</v>
      </c>
      <c r="N24" s="97"/>
      <c r="O24" s="93">
        <f t="shared" si="1"/>
        <v>1515.11</v>
      </c>
      <c r="P24" s="123">
        <v>6</v>
      </c>
      <c r="Q24" s="124">
        <v>6</v>
      </c>
      <c r="R24" s="124">
        <v>5</v>
      </c>
      <c r="S24" s="97">
        <f>5152.71+272.84</f>
        <v>5425.55</v>
      </c>
      <c r="T24" s="97">
        <v>274.60000000000002</v>
      </c>
      <c r="U24" s="93">
        <f t="shared" si="2"/>
        <v>5150.95</v>
      </c>
    </row>
    <row r="25" spans="1:21" ht="20.100000000000001" customHeight="1" x14ac:dyDescent="0.25">
      <c r="A25" s="110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9</v>
      </c>
      <c r="I25" s="75">
        <v>2</v>
      </c>
      <c r="J25" s="75">
        <v>2</v>
      </c>
      <c r="K25" s="75">
        <v>2</v>
      </c>
      <c r="L25" s="75">
        <v>2</v>
      </c>
      <c r="M25" s="97">
        <v>2255.39</v>
      </c>
      <c r="N25" s="97">
        <v>2255.39</v>
      </c>
      <c r="O25" s="93">
        <f t="shared" si="1"/>
        <v>0</v>
      </c>
      <c r="P25" s="123">
        <v>15</v>
      </c>
      <c r="Q25" s="124">
        <v>15</v>
      </c>
      <c r="R25" s="124">
        <v>15</v>
      </c>
      <c r="S25" s="97">
        <v>17792.25</v>
      </c>
      <c r="T25" s="97">
        <v>14484.31</v>
      </c>
      <c r="U25" s="93">
        <f t="shared" si="2"/>
        <v>3307.9400000000005</v>
      </c>
    </row>
    <row r="26" spans="1:21" ht="20.100000000000001" customHeight="1" x14ac:dyDescent="0.25">
      <c r="A26" s="110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10</v>
      </c>
      <c r="I26" s="75"/>
      <c r="J26" s="75"/>
      <c r="K26" s="75"/>
      <c r="L26" s="75"/>
      <c r="M26" s="97"/>
      <c r="N26" s="97"/>
      <c r="O26" s="93">
        <f t="shared" si="1"/>
        <v>0</v>
      </c>
      <c r="P26" s="123"/>
      <c r="Q26" s="124"/>
      <c r="R26" s="124"/>
      <c r="S26" s="97"/>
      <c r="T26" s="97"/>
      <c r="U26" s="93">
        <f t="shared" si="2"/>
        <v>0</v>
      </c>
    </row>
    <row r="27" spans="1:21" ht="20.100000000000001" customHeight="1" x14ac:dyDescent="0.25">
      <c r="A27" s="110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11</v>
      </c>
      <c r="I27" s="75">
        <v>7</v>
      </c>
      <c r="J27" s="75">
        <v>12</v>
      </c>
      <c r="K27" s="75">
        <v>9</v>
      </c>
      <c r="L27" s="75">
        <v>9</v>
      </c>
      <c r="M27" s="97">
        <f>2738.38+1698.1</f>
        <v>4436.4799999999996</v>
      </c>
      <c r="N27" s="97"/>
      <c r="O27" s="93">
        <f t="shared" si="1"/>
        <v>4436.4799999999996</v>
      </c>
      <c r="P27" s="123">
        <v>12</v>
      </c>
      <c r="Q27" s="124">
        <v>12</v>
      </c>
      <c r="R27" s="124">
        <v>12</v>
      </c>
      <c r="S27" s="97">
        <f>11399.36+591.16</f>
        <v>11990.52</v>
      </c>
      <c r="T27" s="97">
        <v>3370.97</v>
      </c>
      <c r="U27" s="93">
        <f t="shared" si="2"/>
        <v>8619.5500000000011</v>
      </c>
    </row>
    <row r="28" spans="1:21" ht="24.75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72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97"/>
      <c r="U28" s="93">
        <f t="shared" si="2"/>
        <v>0</v>
      </c>
    </row>
    <row r="29" spans="1:21" ht="20.100000000000001" customHeight="1" x14ac:dyDescent="0.25">
      <c r="A29" s="110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12</v>
      </c>
      <c r="I29" s="75">
        <v>7</v>
      </c>
      <c r="J29" s="75">
        <v>9</v>
      </c>
      <c r="K29" s="75">
        <v>9</v>
      </c>
      <c r="L29" s="75">
        <v>9</v>
      </c>
      <c r="M29" s="97">
        <f>2023.14+2605.8</f>
        <v>4628.9400000000005</v>
      </c>
      <c r="N29" s="97">
        <v>358.28</v>
      </c>
      <c r="O29" s="93">
        <f t="shared" si="1"/>
        <v>4270.6600000000008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97">
        <v>15185.09</v>
      </c>
      <c r="U29" s="93">
        <f t="shared" si="2"/>
        <v>570.43000000000029</v>
      </c>
    </row>
    <row r="30" spans="1:21" ht="20.100000000000001" customHeight="1" x14ac:dyDescent="0.25">
      <c r="A30" s="110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14</v>
      </c>
      <c r="I30" s="75">
        <v>7</v>
      </c>
      <c r="J30" s="75">
        <v>8</v>
      </c>
      <c r="K30" s="75">
        <v>8</v>
      </c>
      <c r="L30" s="75">
        <v>5</v>
      </c>
      <c r="M30" s="97">
        <v>2487.52</v>
      </c>
      <c r="N30" s="97"/>
      <c r="O30" s="93">
        <f t="shared" si="1"/>
        <v>2487.52</v>
      </c>
      <c r="P30" s="123">
        <v>14</v>
      </c>
      <c r="Q30" s="124">
        <v>14</v>
      </c>
      <c r="R30" s="124">
        <v>13</v>
      </c>
      <c r="S30" s="97">
        <f>7176.8+21702.37</f>
        <v>28879.17</v>
      </c>
      <c r="T30" s="97">
        <v>5755.74</v>
      </c>
      <c r="U30" s="93">
        <f t="shared" si="2"/>
        <v>23123.43</v>
      </c>
    </row>
    <row r="31" spans="1:21" ht="20.100000000000001" customHeight="1" x14ac:dyDescent="0.25">
      <c r="B31" s="99"/>
      <c r="C31" s="11" t="s">
        <v>242</v>
      </c>
      <c r="D31" s="100" t="s">
        <v>124</v>
      </c>
      <c r="E31" s="101"/>
      <c r="F31" s="17" t="s">
        <v>117</v>
      </c>
      <c r="G31" s="72"/>
      <c r="H31" s="77">
        <v>2</v>
      </c>
      <c r="I31" s="75"/>
      <c r="J31" s="75"/>
      <c r="K31" s="75"/>
      <c r="L31" s="75"/>
      <c r="M31" s="97"/>
      <c r="N31" s="97"/>
      <c r="O31" s="93"/>
      <c r="P31" s="123"/>
      <c r="Q31" s="124"/>
      <c r="R31" s="124"/>
      <c r="S31" s="97"/>
      <c r="T31" s="97"/>
      <c r="U31" s="93"/>
    </row>
    <row r="32" spans="1:21" ht="20.100000000000001" customHeight="1" x14ac:dyDescent="0.25">
      <c r="A32" s="110">
        <v>23</v>
      </c>
      <c r="B32" s="99">
        <f>B30+1</f>
        <v>22</v>
      </c>
      <c r="C32" s="11" t="s">
        <v>38</v>
      </c>
      <c r="D32" s="100" t="s">
        <v>124</v>
      </c>
      <c r="E32" s="101"/>
      <c r="F32" s="17" t="s">
        <v>106</v>
      </c>
      <c r="G32" s="72" t="s">
        <v>157</v>
      </c>
      <c r="H32" s="77">
        <v>4</v>
      </c>
      <c r="I32" s="75">
        <v>1</v>
      </c>
      <c r="J32" s="75">
        <v>2</v>
      </c>
      <c r="K32" s="75">
        <v>2</v>
      </c>
      <c r="L32" s="75"/>
      <c r="M32" s="97"/>
      <c r="N32" s="97"/>
      <c r="O32" s="93">
        <f t="shared" si="1"/>
        <v>0</v>
      </c>
      <c r="P32" s="123">
        <v>2</v>
      </c>
      <c r="Q32" s="124">
        <v>2</v>
      </c>
      <c r="R32" s="124">
        <v>1</v>
      </c>
      <c r="S32" s="97">
        <v>442.37</v>
      </c>
      <c r="T32" s="97">
        <v>442.37</v>
      </c>
      <c r="U32" s="93">
        <f t="shared" si="2"/>
        <v>0</v>
      </c>
    </row>
    <row r="33" spans="1:21" ht="20.100000000000001" customHeight="1" x14ac:dyDescent="0.25">
      <c r="B33" s="99">
        <f t="shared" si="3"/>
        <v>23</v>
      </c>
      <c r="C33" s="10" t="s">
        <v>39</v>
      </c>
      <c r="D33" s="100" t="s">
        <v>124</v>
      </c>
      <c r="E33" s="101"/>
      <c r="F33" s="10" t="s">
        <v>105</v>
      </c>
      <c r="G33" s="72" t="s">
        <v>220</v>
      </c>
      <c r="H33" s="77"/>
      <c r="I33" s="75"/>
      <c r="J33" s="75"/>
      <c r="K33" s="75"/>
      <c r="L33" s="75"/>
      <c r="M33" s="97"/>
      <c r="N33" s="97"/>
      <c r="O33" s="93">
        <f t="shared" si="1"/>
        <v>0</v>
      </c>
      <c r="P33" s="123"/>
      <c r="Q33" s="124"/>
      <c r="R33" s="124"/>
      <c r="S33" s="97"/>
      <c r="T33" s="97"/>
      <c r="U33" s="93">
        <f t="shared" si="2"/>
        <v>0</v>
      </c>
    </row>
    <row r="34" spans="1:21" ht="20.100000000000001" customHeight="1" x14ac:dyDescent="0.25">
      <c r="A34" s="110">
        <v>86</v>
      </c>
      <c r="B34" s="99">
        <f t="shared" si="3"/>
        <v>24</v>
      </c>
      <c r="C34" s="10" t="s">
        <v>137</v>
      </c>
      <c r="D34" s="100" t="s">
        <v>124</v>
      </c>
      <c r="E34" s="101"/>
      <c r="F34" s="17" t="s">
        <v>106</v>
      </c>
      <c r="G34" s="72" t="s">
        <v>158</v>
      </c>
      <c r="H34" s="77">
        <v>7</v>
      </c>
      <c r="I34" s="75">
        <v>2</v>
      </c>
      <c r="J34" s="75">
        <v>2</v>
      </c>
      <c r="K34" s="75">
        <v>2</v>
      </c>
      <c r="L34" s="75"/>
      <c r="M34" s="97"/>
      <c r="N34" s="97"/>
      <c r="O34" s="93">
        <f t="shared" si="1"/>
        <v>0</v>
      </c>
      <c r="P34" s="123"/>
      <c r="Q34" s="124"/>
      <c r="R34" s="124"/>
      <c r="S34" s="97"/>
      <c r="T34" s="97"/>
      <c r="U34" s="93">
        <f t="shared" si="2"/>
        <v>0</v>
      </c>
    </row>
    <row r="35" spans="1:21" ht="20.100000000000001" customHeight="1" x14ac:dyDescent="0.25">
      <c r="A35" s="110">
        <v>24</v>
      </c>
      <c r="B35" s="99">
        <f t="shared" si="3"/>
        <v>25</v>
      </c>
      <c r="C35" s="12" t="s">
        <v>40</v>
      </c>
      <c r="D35" s="100" t="s">
        <v>124</v>
      </c>
      <c r="E35" s="101"/>
      <c r="F35" s="19" t="s">
        <v>115</v>
      </c>
      <c r="G35" s="72" t="s">
        <v>159</v>
      </c>
      <c r="H35" s="77">
        <v>8</v>
      </c>
      <c r="I35" s="75">
        <v>5</v>
      </c>
      <c r="J35" s="75">
        <v>8</v>
      </c>
      <c r="K35" s="75">
        <v>8</v>
      </c>
      <c r="L35" s="75">
        <v>8</v>
      </c>
      <c r="M35" s="97">
        <f>1580.26+3633.22</f>
        <v>5213.4799999999996</v>
      </c>
      <c r="N35" s="97">
        <v>1580.26</v>
      </c>
      <c r="O35" s="93">
        <f t="shared" si="1"/>
        <v>3633.2199999999993</v>
      </c>
      <c r="P35" s="123">
        <v>2</v>
      </c>
      <c r="Q35" s="124">
        <v>2</v>
      </c>
      <c r="R35" s="124">
        <v>2</v>
      </c>
      <c r="S35" s="97">
        <v>872.59</v>
      </c>
      <c r="T35" s="97">
        <v>872.59</v>
      </c>
      <c r="U35" s="93">
        <f t="shared" si="2"/>
        <v>0</v>
      </c>
    </row>
    <row r="36" spans="1:21" ht="20.100000000000001" customHeight="1" x14ac:dyDescent="0.25">
      <c r="A36" s="110">
        <v>25</v>
      </c>
      <c r="B36" s="99">
        <f t="shared" si="3"/>
        <v>26</v>
      </c>
      <c r="C36" s="11" t="s">
        <v>41</v>
      </c>
      <c r="D36" s="100" t="s">
        <v>124</v>
      </c>
      <c r="E36" s="101"/>
      <c r="F36" s="17" t="s">
        <v>106</v>
      </c>
      <c r="G36" s="72" t="s">
        <v>160</v>
      </c>
      <c r="H36" s="77">
        <v>6</v>
      </c>
      <c r="I36" s="75">
        <v>2</v>
      </c>
      <c r="J36" s="75">
        <v>3</v>
      </c>
      <c r="K36" s="75">
        <v>3</v>
      </c>
      <c r="L36" s="75">
        <v>3</v>
      </c>
      <c r="M36" s="97">
        <f>738.32+1081.83</f>
        <v>1820.15</v>
      </c>
      <c r="N36" s="97"/>
      <c r="O36" s="93">
        <f t="shared" si="1"/>
        <v>1820.15</v>
      </c>
      <c r="P36" s="123">
        <v>7</v>
      </c>
      <c r="Q36" s="124">
        <v>7</v>
      </c>
      <c r="R36" s="124">
        <v>7</v>
      </c>
      <c r="S36" s="97">
        <f>7876.12+900.18</f>
        <v>8776.2999999999993</v>
      </c>
      <c r="T36" s="97"/>
      <c r="U36" s="93">
        <f t="shared" si="2"/>
        <v>8776.2999999999993</v>
      </c>
    </row>
    <row r="37" spans="1:21" ht="20.100000000000001" customHeight="1" x14ac:dyDescent="0.25">
      <c r="A37" s="110">
        <v>87</v>
      </c>
      <c r="B37" s="99">
        <f t="shared" si="3"/>
        <v>27</v>
      </c>
      <c r="C37" s="13" t="s">
        <v>42</v>
      </c>
      <c r="D37" s="100" t="s">
        <v>124</v>
      </c>
      <c r="E37" s="101"/>
      <c r="F37" s="17" t="s">
        <v>106</v>
      </c>
      <c r="G37" s="72" t="s">
        <v>221</v>
      </c>
      <c r="H37" s="77">
        <v>2</v>
      </c>
      <c r="I37" s="75"/>
      <c r="J37" s="75"/>
      <c r="K37" s="75"/>
      <c r="L37" s="75"/>
      <c r="M37" s="97"/>
      <c r="N37" s="97"/>
      <c r="O37" s="93">
        <f t="shared" si="1"/>
        <v>0</v>
      </c>
      <c r="P37" s="123">
        <v>4</v>
      </c>
      <c r="Q37" s="124">
        <v>4</v>
      </c>
      <c r="R37" s="124">
        <v>3</v>
      </c>
      <c r="S37" s="97">
        <v>1436.08</v>
      </c>
      <c r="T37" s="97">
        <v>1436.08</v>
      </c>
      <c r="U37" s="93">
        <f t="shared" si="2"/>
        <v>0</v>
      </c>
    </row>
    <row r="38" spans="1:21" ht="20.100000000000001" customHeight="1" x14ac:dyDescent="0.25">
      <c r="A38" s="110">
        <v>26</v>
      </c>
      <c r="B38" s="99">
        <f t="shared" si="3"/>
        <v>28</v>
      </c>
      <c r="C38" s="13" t="s">
        <v>43</v>
      </c>
      <c r="D38" s="100" t="s">
        <v>124</v>
      </c>
      <c r="E38" s="101"/>
      <c r="F38" s="17" t="s">
        <v>106</v>
      </c>
      <c r="G38" s="72" t="s">
        <v>161</v>
      </c>
      <c r="H38" s="77">
        <v>7</v>
      </c>
      <c r="I38" s="75">
        <v>4</v>
      </c>
      <c r="J38" s="75">
        <v>4</v>
      </c>
      <c r="K38" s="75">
        <v>4</v>
      </c>
      <c r="L38" s="75">
        <v>2</v>
      </c>
      <c r="M38" s="97">
        <v>568.42999999999995</v>
      </c>
      <c r="N38" s="97">
        <v>568.42999999999995</v>
      </c>
      <c r="O38" s="93">
        <f t="shared" si="1"/>
        <v>0</v>
      </c>
      <c r="P38" s="123">
        <v>2</v>
      </c>
      <c r="Q38" s="124">
        <v>1</v>
      </c>
      <c r="R38" s="124">
        <v>1</v>
      </c>
      <c r="S38" s="97">
        <v>552.96</v>
      </c>
      <c r="T38" s="97">
        <v>552.96</v>
      </c>
      <c r="U38" s="93">
        <f t="shared" si="2"/>
        <v>0</v>
      </c>
    </row>
    <row r="39" spans="1:21" ht="20.100000000000001" customHeight="1" x14ac:dyDescent="0.25">
      <c r="A39" s="110">
        <v>27</v>
      </c>
      <c r="B39" s="99">
        <f t="shared" si="3"/>
        <v>29</v>
      </c>
      <c r="C39" s="11" t="s">
        <v>44</v>
      </c>
      <c r="D39" s="100" t="s">
        <v>124</v>
      </c>
      <c r="E39" s="101"/>
      <c r="F39" s="17" t="s">
        <v>105</v>
      </c>
      <c r="G39" s="72" t="s">
        <v>162</v>
      </c>
      <c r="H39" s="77">
        <v>20</v>
      </c>
      <c r="I39" s="75">
        <v>6</v>
      </c>
      <c r="J39" s="75">
        <v>8</v>
      </c>
      <c r="K39" s="75">
        <v>8</v>
      </c>
      <c r="L39" s="75">
        <v>5</v>
      </c>
      <c r="M39" s="97">
        <f>1783.68+344.5</f>
        <v>2128.1800000000003</v>
      </c>
      <c r="N39" s="97"/>
      <c r="O39" s="93">
        <f t="shared" si="1"/>
        <v>2128.1800000000003</v>
      </c>
      <c r="P39" s="123">
        <v>16</v>
      </c>
      <c r="Q39" s="124">
        <v>16</v>
      </c>
      <c r="R39" s="124">
        <v>16</v>
      </c>
      <c r="S39" s="97">
        <f>13233.81+6471.95</f>
        <v>19705.759999999998</v>
      </c>
      <c r="T39" s="97">
        <v>10213.92</v>
      </c>
      <c r="U39" s="93">
        <f t="shared" si="2"/>
        <v>9491.8399999999983</v>
      </c>
    </row>
    <row r="40" spans="1:21" ht="20.100000000000001" customHeight="1" x14ac:dyDescent="0.25">
      <c r="A40" s="110">
        <v>28</v>
      </c>
      <c r="B40" s="99">
        <f t="shared" si="3"/>
        <v>30</v>
      </c>
      <c r="C40" s="11" t="s">
        <v>45</v>
      </c>
      <c r="D40" s="100" t="s">
        <v>124</v>
      </c>
      <c r="E40" s="101"/>
      <c r="F40" s="17" t="s">
        <v>111</v>
      </c>
      <c r="G40" s="72" t="s">
        <v>163</v>
      </c>
      <c r="H40" s="77">
        <v>7</v>
      </c>
      <c r="I40" s="75">
        <v>3</v>
      </c>
      <c r="J40" s="75">
        <v>4</v>
      </c>
      <c r="K40" s="75">
        <v>4</v>
      </c>
      <c r="L40" s="75">
        <v>4</v>
      </c>
      <c r="M40" s="97">
        <f>821.67+1815.65</f>
        <v>2637.32</v>
      </c>
      <c r="N40" s="97"/>
      <c r="O40" s="93">
        <f t="shared" si="1"/>
        <v>2637.32</v>
      </c>
      <c r="P40" s="123">
        <v>2</v>
      </c>
      <c r="Q40" s="124"/>
      <c r="R40" s="124"/>
      <c r="S40" s="97"/>
      <c r="T40" s="97"/>
      <c r="U40" s="93">
        <f t="shared" si="2"/>
        <v>0</v>
      </c>
    </row>
    <row r="41" spans="1:21" ht="20.100000000000001" customHeight="1" x14ac:dyDescent="0.25">
      <c r="A41" s="110">
        <v>29</v>
      </c>
      <c r="B41" s="99">
        <f>B40+1</f>
        <v>31</v>
      </c>
      <c r="C41" s="10" t="s">
        <v>46</v>
      </c>
      <c r="D41" s="100" t="s">
        <v>124</v>
      </c>
      <c r="E41" s="101"/>
      <c r="F41" s="17" t="s">
        <v>106</v>
      </c>
      <c r="G41" s="72" t="s">
        <v>164</v>
      </c>
      <c r="H41" s="77">
        <v>5</v>
      </c>
      <c r="I41" s="75">
        <v>1</v>
      </c>
      <c r="J41" s="75">
        <v>1</v>
      </c>
      <c r="K41" s="75">
        <v>1</v>
      </c>
      <c r="L41" s="75">
        <v>1</v>
      </c>
      <c r="M41" s="97">
        <v>2273.6999999999998</v>
      </c>
      <c r="N41" s="97"/>
      <c r="O41" s="93">
        <f t="shared" si="1"/>
        <v>2273.6999999999998</v>
      </c>
      <c r="P41" s="123">
        <v>2</v>
      </c>
      <c r="Q41" s="124">
        <v>2</v>
      </c>
      <c r="R41" s="124">
        <v>2</v>
      </c>
      <c r="S41" s="97">
        <v>3996.7</v>
      </c>
      <c r="T41" s="97">
        <v>3996.7</v>
      </c>
      <c r="U41" s="93">
        <f t="shared" si="2"/>
        <v>0</v>
      </c>
    </row>
    <row r="42" spans="1:21" ht="20.100000000000001" customHeight="1" x14ac:dyDescent="0.25">
      <c r="A42" s="110">
        <v>30</v>
      </c>
      <c r="B42" s="99">
        <f t="shared" si="3"/>
        <v>32</v>
      </c>
      <c r="C42" s="10" t="s">
        <v>47</v>
      </c>
      <c r="D42" s="100" t="s">
        <v>124</v>
      </c>
      <c r="E42" s="101"/>
      <c r="F42" s="17" t="s">
        <v>116</v>
      </c>
      <c r="G42" s="72" t="s">
        <v>165</v>
      </c>
      <c r="H42" s="77">
        <v>8</v>
      </c>
      <c r="I42" s="75">
        <v>4</v>
      </c>
      <c r="J42" s="75">
        <v>5</v>
      </c>
      <c r="K42" s="75">
        <v>3</v>
      </c>
      <c r="L42" s="75">
        <v>3</v>
      </c>
      <c r="M42" s="97">
        <f>1322.88+206.7</f>
        <v>1529.5800000000002</v>
      </c>
      <c r="N42" s="97">
        <v>1322.88</v>
      </c>
      <c r="O42" s="93">
        <f t="shared" si="1"/>
        <v>206.70000000000005</v>
      </c>
      <c r="P42" s="123">
        <v>3</v>
      </c>
      <c r="Q42" s="124">
        <v>2</v>
      </c>
      <c r="R42" s="124">
        <v>2</v>
      </c>
      <c r="S42" s="97">
        <v>1016.08</v>
      </c>
      <c r="T42" s="97">
        <v>1016.08</v>
      </c>
      <c r="U42" s="93">
        <f t="shared" si="2"/>
        <v>0</v>
      </c>
    </row>
    <row r="43" spans="1:21" ht="20.100000000000001" customHeight="1" x14ac:dyDescent="0.25">
      <c r="A43" s="110">
        <v>32</v>
      </c>
      <c r="B43" s="99">
        <f t="shared" si="3"/>
        <v>33</v>
      </c>
      <c r="C43" s="13" t="s">
        <v>48</v>
      </c>
      <c r="D43" s="100" t="s">
        <v>124</v>
      </c>
      <c r="E43" s="101"/>
      <c r="F43" s="17" t="s">
        <v>106</v>
      </c>
      <c r="G43" s="72" t="s">
        <v>166</v>
      </c>
      <c r="H43" s="77">
        <v>5</v>
      </c>
      <c r="I43" s="75">
        <v>2</v>
      </c>
      <c r="J43" s="75">
        <v>2</v>
      </c>
      <c r="K43" s="75">
        <v>2</v>
      </c>
      <c r="L43" s="75"/>
      <c r="M43" s="97"/>
      <c r="N43" s="97"/>
      <c r="O43" s="93">
        <f t="shared" si="1"/>
        <v>0</v>
      </c>
      <c r="P43" s="123">
        <v>4</v>
      </c>
      <c r="Q43" s="124">
        <v>3</v>
      </c>
      <c r="R43" s="124">
        <v>2</v>
      </c>
      <c r="S43" s="97">
        <v>3907.41</v>
      </c>
      <c r="T43" s="97">
        <v>1733.58</v>
      </c>
      <c r="U43" s="93">
        <f t="shared" si="2"/>
        <v>2173.83</v>
      </c>
    </row>
    <row r="44" spans="1:21" ht="20.100000000000001" customHeight="1" x14ac:dyDescent="0.25">
      <c r="A44" s="110">
        <v>33</v>
      </c>
      <c r="B44" s="99">
        <f t="shared" si="3"/>
        <v>34</v>
      </c>
      <c r="C44" s="10" t="s">
        <v>49</v>
      </c>
      <c r="D44" s="100" t="s">
        <v>124</v>
      </c>
      <c r="E44" s="101"/>
      <c r="F44" s="17" t="s">
        <v>106</v>
      </c>
      <c r="G44" s="72" t="s">
        <v>167</v>
      </c>
      <c r="H44" s="77">
        <v>5</v>
      </c>
      <c r="I44" s="75">
        <v>1</v>
      </c>
      <c r="J44" s="75">
        <v>1</v>
      </c>
      <c r="K44" s="75">
        <v>1</v>
      </c>
      <c r="L44" s="75"/>
      <c r="M44" s="97"/>
      <c r="N44" s="97"/>
      <c r="O44" s="93">
        <f t="shared" si="1"/>
        <v>0</v>
      </c>
      <c r="P44" s="123">
        <v>4</v>
      </c>
      <c r="Q44" s="124">
        <v>4</v>
      </c>
      <c r="R44" s="124">
        <v>4</v>
      </c>
      <c r="S44" s="97">
        <v>6437</v>
      </c>
      <c r="T44" s="97">
        <v>3957.6</v>
      </c>
      <c r="U44" s="93">
        <f t="shared" si="2"/>
        <v>2479.4</v>
      </c>
    </row>
    <row r="45" spans="1:21" ht="20.100000000000001" customHeight="1" x14ac:dyDescent="0.25">
      <c r="A45" s="110">
        <v>34</v>
      </c>
      <c r="B45" s="99">
        <f t="shared" si="3"/>
        <v>35</v>
      </c>
      <c r="C45" s="13" t="s">
        <v>50</v>
      </c>
      <c r="D45" s="100" t="s">
        <v>124</v>
      </c>
      <c r="E45" s="101"/>
      <c r="F45" s="17" t="s">
        <v>106</v>
      </c>
      <c r="G45" s="72" t="s">
        <v>168</v>
      </c>
      <c r="H45" s="77">
        <v>5</v>
      </c>
      <c r="I45" s="75">
        <v>3</v>
      </c>
      <c r="J45" s="75">
        <v>3</v>
      </c>
      <c r="K45" s="75">
        <v>3</v>
      </c>
      <c r="L45" s="75">
        <v>2</v>
      </c>
      <c r="M45" s="97">
        <v>1345.04</v>
      </c>
      <c r="N45" s="97"/>
      <c r="O45" s="93">
        <f t="shared" si="1"/>
        <v>1345.04</v>
      </c>
      <c r="P45" s="123">
        <v>4</v>
      </c>
      <c r="Q45" s="124">
        <v>4</v>
      </c>
      <c r="R45" s="124">
        <v>3</v>
      </c>
      <c r="S45" s="97">
        <v>3997.92</v>
      </c>
      <c r="T45" s="97"/>
      <c r="U45" s="93">
        <f t="shared" si="2"/>
        <v>3997.92</v>
      </c>
    </row>
    <row r="46" spans="1:21" ht="20.100000000000001" customHeight="1" x14ac:dyDescent="0.25">
      <c r="B46" s="99">
        <f t="shared" si="3"/>
        <v>36</v>
      </c>
      <c r="C46" s="11" t="s">
        <v>51</v>
      </c>
      <c r="D46" s="100" t="s">
        <v>124</v>
      </c>
      <c r="E46" s="101"/>
      <c r="F46" s="22" t="s">
        <v>112</v>
      </c>
      <c r="G46" s="72"/>
      <c r="H46" s="77"/>
      <c r="I46" s="75"/>
      <c r="J46" s="75"/>
      <c r="K46" s="75"/>
      <c r="L46" s="75"/>
      <c r="M46" s="97"/>
      <c r="N46" s="97"/>
      <c r="O46" s="93">
        <f t="shared" si="1"/>
        <v>0</v>
      </c>
      <c r="P46" s="123"/>
      <c r="Q46" s="124"/>
      <c r="R46" s="124"/>
      <c r="S46" s="97"/>
      <c r="T46" s="97"/>
      <c r="U46" s="93">
        <f t="shared" si="2"/>
        <v>0</v>
      </c>
    </row>
    <row r="47" spans="1:21" ht="20.100000000000001" customHeight="1" x14ac:dyDescent="0.25">
      <c r="A47" s="110">
        <v>37</v>
      </c>
      <c r="B47" s="99">
        <f t="shared" si="3"/>
        <v>37</v>
      </c>
      <c r="C47" s="11" t="s">
        <v>131</v>
      </c>
      <c r="D47" s="100" t="s">
        <v>124</v>
      </c>
      <c r="E47" s="101"/>
      <c r="F47" s="22" t="s">
        <v>106</v>
      </c>
      <c r="G47" s="72" t="s">
        <v>222</v>
      </c>
      <c r="H47" s="77">
        <v>1</v>
      </c>
      <c r="I47" s="75"/>
      <c r="J47" s="75"/>
      <c r="K47" s="75"/>
      <c r="L47" s="75"/>
      <c r="M47" s="97"/>
      <c r="N47" s="97"/>
      <c r="O47" s="93">
        <f t="shared" si="1"/>
        <v>0</v>
      </c>
      <c r="P47" s="123">
        <v>1</v>
      </c>
      <c r="Q47" s="124">
        <v>1</v>
      </c>
      <c r="R47" s="124">
        <v>1</v>
      </c>
      <c r="S47" s="97">
        <v>11787.49</v>
      </c>
      <c r="T47" s="97">
        <v>11787.49</v>
      </c>
      <c r="U47" s="93">
        <f t="shared" si="2"/>
        <v>0</v>
      </c>
    </row>
    <row r="48" spans="1:21" ht="20.100000000000001" customHeight="1" x14ac:dyDescent="0.25">
      <c r="A48" s="110">
        <v>35</v>
      </c>
      <c r="B48" s="99">
        <f t="shared" si="3"/>
        <v>38</v>
      </c>
      <c r="C48" s="13" t="s">
        <v>52</v>
      </c>
      <c r="D48" s="100" t="s">
        <v>124</v>
      </c>
      <c r="E48" s="101"/>
      <c r="F48" s="17" t="s">
        <v>106</v>
      </c>
      <c r="G48" s="72" t="s">
        <v>169</v>
      </c>
      <c r="H48" s="77">
        <v>11</v>
      </c>
      <c r="I48" s="75">
        <v>3</v>
      </c>
      <c r="J48" s="75">
        <v>4</v>
      </c>
      <c r="K48" s="75">
        <v>4</v>
      </c>
      <c r="L48" s="75">
        <v>3</v>
      </c>
      <c r="M48" s="97">
        <v>2714.54</v>
      </c>
      <c r="N48" s="97">
        <v>2335.59</v>
      </c>
      <c r="O48" s="93">
        <f t="shared" si="1"/>
        <v>378.94999999999982</v>
      </c>
      <c r="P48" s="123">
        <v>1</v>
      </c>
      <c r="Q48" s="124">
        <v>1</v>
      </c>
      <c r="R48" s="124">
        <v>1</v>
      </c>
      <c r="S48" s="97">
        <v>689</v>
      </c>
      <c r="T48" s="97"/>
      <c r="U48" s="93">
        <f t="shared" si="2"/>
        <v>689</v>
      </c>
    </row>
    <row r="49" spans="1:21" ht="20.100000000000001" customHeight="1" x14ac:dyDescent="0.25">
      <c r="A49" s="110">
        <v>36</v>
      </c>
      <c r="B49" s="99">
        <f t="shared" si="3"/>
        <v>39</v>
      </c>
      <c r="C49" s="10" t="s">
        <v>53</v>
      </c>
      <c r="D49" s="100" t="s">
        <v>124</v>
      </c>
      <c r="E49" s="101"/>
      <c r="F49" s="17" t="s">
        <v>105</v>
      </c>
      <c r="G49" s="72" t="s">
        <v>171</v>
      </c>
      <c r="H49" s="77">
        <v>8</v>
      </c>
      <c r="I49" s="75">
        <v>1</v>
      </c>
      <c r="J49" s="75">
        <v>1</v>
      </c>
      <c r="K49" s="75">
        <v>1</v>
      </c>
      <c r="L49" s="75">
        <v>1</v>
      </c>
      <c r="M49" s="97">
        <v>3786.47</v>
      </c>
      <c r="N49" s="97"/>
      <c r="O49" s="93">
        <f t="shared" si="1"/>
        <v>3786.47</v>
      </c>
      <c r="P49" s="123">
        <v>3</v>
      </c>
      <c r="Q49" s="124">
        <v>3</v>
      </c>
      <c r="R49" s="124">
        <v>3</v>
      </c>
      <c r="S49" s="97">
        <f>2800.4+5022.92</f>
        <v>7823.32</v>
      </c>
      <c r="T49" s="97"/>
      <c r="U49" s="93">
        <f t="shared" si="2"/>
        <v>7823.32</v>
      </c>
    </row>
    <row r="50" spans="1:21" ht="20.100000000000001" customHeight="1" x14ac:dyDescent="0.25">
      <c r="A50" s="110">
        <v>38</v>
      </c>
      <c r="B50" s="99">
        <f t="shared" si="3"/>
        <v>40</v>
      </c>
      <c r="C50" s="10" t="s">
        <v>54</v>
      </c>
      <c r="D50" s="100" t="s">
        <v>124</v>
      </c>
      <c r="E50" s="101"/>
      <c r="F50" s="17" t="s">
        <v>106</v>
      </c>
      <c r="G50" s="72" t="s">
        <v>172</v>
      </c>
      <c r="H50" s="77">
        <v>7</v>
      </c>
      <c r="I50" s="75">
        <v>1</v>
      </c>
      <c r="J50" s="75">
        <v>1</v>
      </c>
      <c r="K50" s="75">
        <v>1</v>
      </c>
      <c r="L50" s="75"/>
      <c r="M50" s="97"/>
      <c r="N50" s="97"/>
      <c r="O50" s="93">
        <f t="shared" si="1"/>
        <v>0</v>
      </c>
      <c r="P50" s="123">
        <v>6</v>
      </c>
      <c r="Q50" s="124">
        <v>5</v>
      </c>
      <c r="R50" s="124">
        <v>3</v>
      </c>
      <c r="S50" s="97">
        <v>4105.0600000000004</v>
      </c>
      <c r="T50" s="97"/>
      <c r="U50" s="93">
        <f t="shared" si="2"/>
        <v>4105.0600000000004</v>
      </c>
    </row>
    <row r="51" spans="1:21" ht="20.100000000000001" customHeight="1" x14ac:dyDescent="0.25">
      <c r="A51" s="110">
        <v>39</v>
      </c>
      <c r="B51" s="99">
        <f t="shared" si="3"/>
        <v>41</v>
      </c>
      <c r="C51" s="10" t="s">
        <v>55</v>
      </c>
      <c r="D51" s="100" t="s">
        <v>124</v>
      </c>
      <c r="E51" s="101"/>
      <c r="F51" s="17" t="s">
        <v>106</v>
      </c>
      <c r="G51" s="72" t="s">
        <v>173</v>
      </c>
      <c r="H51" s="77">
        <v>9</v>
      </c>
      <c r="I51" s="75">
        <v>5</v>
      </c>
      <c r="J51" s="75">
        <v>5</v>
      </c>
      <c r="K51" s="75">
        <v>5</v>
      </c>
      <c r="L51" s="75">
        <v>3</v>
      </c>
      <c r="M51" s="97">
        <v>2478.12</v>
      </c>
      <c r="N51" s="97">
        <v>2478.12</v>
      </c>
      <c r="O51" s="93">
        <f t="shared" si="1"/>
        <v>0</v>
      </c>
      <c r="P51" s="123">
        <v>6</v>
      </c>
      <c r="Q51" s="124">
        <v>4</v>
      </c>
      <c r="R51" s="124">
        <v>4</v>
      </c>
      <c r="S51" s="97">
        <v>2457.2800000000002</v>
      </c>
      <c r="T51" s="97"/>
      <c r="U51" s="93">
        <f t="shared" si="2"/>
        <v>2457.2800000000002</v>
      </c>
    </row>
    <row r="52" spans="1:21" ht="20.100000000000001" customHeight="1" x14ac:dyDescent="0.25">
      <c r="A52" s="110">
        <v>40</v>
      </c>
      <c r="B52" s="99">
        <f t="shared" si="3"/>
        <v>42</v>
      </c>
      <c r="C52" s="10" t="s">
        <v>56</v>
      </c>
      <c r="D52" s="100" t="s">
        <v>124</v>
      </c>
      <c r="E52" s="101"/>
      <c r="F52" s="17" t="s">
        <v>106</v>
      </c>
      <c r="G52" s="72" t="s">
        <v>174</v>
      </c>
      <c r="H52" s="77">
        <v>8</v>
      </c>
      <c r="I52" s="75">
        <v>3</v>
      </c>
      <c r="J52" s="75">
        <v>3</v>
      </c>
      <c r="K52" s="75">
        <v>3</v>
      </c>
      <c r="L52" s="75">
        <v>3</v>
      </c>
      <c r="M52" s="97">
        <v>1308.27</v>
      </c>
      <c r="N52" s="97">
        <v>1308.27</v>
      </c>
      <c r="O52" s="93">
        <f t="shared" si="1"/>
        <v>0</v>
      </c>
      <c r="P52" s="123">
        <v>1</v>
      </c>
      <c r="Q52" s="124">
        <v>1</v>
      </c>
      <c r="R52" s="124">
        <v>1</v>
      </c>
      <c r="S52" s="97">
        <v>728.15</v>
      </c>
      <c r="T52" s="97">
        <v>728.15</v>
      </c>
      <c r="U52" s="93">
        <f t="shared" si="2"/>
        <v>0</v>
      </c>
    </row>
    <row r="53" spans="1:21" ht="20.100000000000001" customHeight="1" x14ac:dyDescent="0.25">
      <c r="A53" s="110">
        <v>41</v>
      </c>
      <c r="B53" s="99">
        <f t="shared" si="3"/>
        <v>43</v>
      </c>
      <c r="C53" s="13" t="s">
        <v>57</v>
      </c>
      <c r="D53" s="100" t="s">
        <v>124</v>
      </c>
      <c r="E53" s="101"/>
      <c r="F53" s="17" t="s">
        <v>106</v>
      </c>
      <c r="G53" s="72" t="s">
        <v>175</v>
      </c>
      <c r="H53" s="77">
        <v>9</v>
      </c>
      <c r="I53" s="75">
        <v>3</v>
      </c>
      <c r="J53" s="75">
        <v>4</v>
      </c>
      <c r="K53" s="75">
        <v>4</v>
      </c>
      <c r="L53" s="75">
        <v>2</v>
      </c>
      <c r="M53" s="97">
        <v>613.9</v>
      </c>
      <c r="N53" s="97">
        <v>341.06</v>
      </c>
      <c r="O53" s="93">
        <f t="shared" si="1"/>
        <v>272.83999999999997</v>
      </c>
      <c r="P53" s="123">
        <v>5</v>
      </c>
      <c r="Q53" s="124">
        <v>4</v>
      </c>
      <c r="R53" s="124">
        <v>3</v>
      </c>
      <c r="S53" s="97">
        <v>1535.39</v>
      </c>
      <c r="T53" s="97">
        <v>530.53</v>
      </c>
      <c r="U53" s="93">
        <f t="shared" si="2"/>
        <v>1004.8600000000001</v>
      </c>
    </row>
    <row r="54" spans="1:21" ht="20.100000000000001" customHeight="1" x14ac:dyDescent="0.25">
      <c r="A54" s="110">
        <v>42</v>
      </c>
      <c r="B54" s="99">
        <f t="shared" si="3"/>
        <v>44</v>
      </c>
      <c r="C54" s="13" t="s">
        <v>58</v>
      </c>
      <c r="D54" s="100" t="s">
        <v>124</v>
      </c>
      <c r="E54" s="101"/>
      <c r="F54" s="17" t="s">
        <v>106</v>
      </c>
      <c r="G54" s="72" t="s">
        <v>229</v>
      </c>
      <c r="H54" s="77">
        <v>2</v>
      </c>
      <c r="I54" s="75"/>
      <c r="J54" s="75"/>
      <c r="K54" s="75"/>
      <c r="L54" s="75"/>
      <c r="M54" s="97"/>
      <c r="N54" s="97"/>
      <c r="O54" s="93">
        <f t="shared" si="1"/>
        <v>0</v>
      </c>
      <c r="P54" s="123">
        <v>2</v>
      </c>
      <c r="Q54" s="124">
        <v>2</v>
      </c>
      <c r="R54" s="124">
        <v>2</v>
      </c>
      <c r="S54" s="97">
        <v>688</v>
      </c>
      <c r="T54" s="97"/>
      <c r="U54" s="93">
        <f t="shared" si="2"/>
        <v>688</v>
      </c>
    </row>
    <row r="55" spans="1:21" ht="20.100000000000001" customHeight="1" x14ac:dyDescent="0.25">
      <c r="A55" s="110">
        <v>43</v>
      </c>
      <c r="B55" s="99">
        <f t="shared" si="3"/>
        <v>45</v>
      </c>
      <c r="C55" s="13" t="s">
        <v>59</v>
      </c>
      <c r="D55" s="100" t="s">
        <v>124</v>
      </c>
      <c r="E55" s="101"/>
      <c r="F55" s="17" t="s">
        <v>112</v>
      </c>
      <c r="G55" s="72" t="s">
        <v>176</v>
      </c>
      <c r="H55" s="77">
        <v>22</v>
      </c>
      <c r="I55" s="75">
        <v>14</v>
      </c>
      <c r="J55" s="75">
        <v>17</v>
      </c>
      <c r="K55" s="75">
        <v>17</v>
      </c>
      <c r="L55" s="75">
        <v>17</v>
      </c>
      <c r="M55" s="97">
        <f>575.32+6377.18</f>
        <v>6952.5</v>
      </c>
      <c r="N55" s="97">
        <v>413.4</v>
      </c>
      <c r="O55" s="93">
        <f t="shared" si="1"/>
        <v>6539.1</v>
      </c>
      <c r="P55" s="123">
        <v>17</v>
      </c>
      <c r="Q55" s="124">
        <v>17</v>
      </c>
      <c r="R55" s="124">
        <v>17</v>
      </c>
      <c r="S55" s="97">
        <f>9629.72+1321.59</f>
        <v>10951.31</v>
      </c>
      <c r="T55" s="97">
        <v>2632.7</v>
      </c>
      <c r="U55" s="93">
        <f t="shared" si="2"/>
        <v>8318.61</v>
      </c>
    </row>
    <row r="56" spans="1:21" ht="20.100000000000001" customHeight="1" x14ac:dyDescent="0.25">
      <c r="A56" s="110">
        <v>44</v>
      </c>
      <c r="B56" s="99">
        <f t="shared" si="3"/>
        <v>46</v>
      </c>
      <c r="C56" s="13" t="s">
        <v>60</v>
      </c>
      <c r="D56" s="100" t="s">
        <v>125</v>
      </c>
      <c r="E56" s="106" t="s">
        <v>126</v>
      </c>
      <c r="F56" s="17" t="s">
        <v>106</v>
      </c>
      <c r="G56" s="72" t="s">
        <v>177</v>
      </c>
      <c r="H56" s="77">
        <v>3</v>
      </c>
      <c r="I56" s="75"/>
      <c r="J56" s="75"/>
      <c r="K56" s="75"/>
      <c r="L56" s="75"/>
      <c r="M56" s="97">
        <v>1887.9</v>
      </c>
      <c r="N56" s="97">
        <v>1887.9</v>
      </c>
      <c r="O56" s="93">
        <f t="shared" si="1"/>
        <v>0</v>
      </c>
      <c r="P56" s="123">
        <v>3</v>
      </c>
      <c r="Q56" s="124">
        <v>3</v>
      </c>
      <c r="R56" s="124">
        <v>2</v>
      </c>
      <c r="S56" s="97">
        <f>757.9+1321.55</f>
        <v>2079.4499999999998</v>
      </c>
      <c r="T56" s="97">
        <v>757.9</v>
      </c>
      <c r="U56" s="93">
        <f t="shared" si="2"/>
        <v>1321.5499999999997</v>
      </c>
    </row>
    <row r="57" spans="1:21" ht="20.100000000000001" customHeight="1" x14ac:dyDescent="0.25">
      <c r="A57" s="110">
        <v>45</v>
      </c>
      <c r="B57" s="99">
        <f t="shared" si="3"/>
        <v>47</v>
      </c>
      <c r="C57" s="11" t="s">
        <v>61</v>
      </c>
      <c r="D57" s="100" t="s">
        <v>124</v>
      </c>
      <c r="E57" s="101"/>
      <c r="F57" s="17" t="s">
        <v>107</v>
      </c>
      <c r="G57" s="72" t="s">
        <v>178</v>
      </c>
      <c r="H57" s="77">
        <v>20</v>
      </c>
      <c r="I57" s="75">
        <v>12</v>
      </c>
      <c r="J57" s="75">
        <v>13</v>
      </c>
      <c r="K57" s="75">
        <v>13</v>
      </c>
      <c r="L57" s="75">
        <v>4</v>
      </c>
      <c r="M57" s="97">
        <v>2880.54</v>
      </c>
      <c r="N57" s="97">
        <v>272.83999999999997</v>
      </c>
      <c r="O57" s="93">
        <f t="shared" si="1"/>
        <v>2607.6999999999998</v>
      </c>
      <c r="P57" s="123">
        <v>23</v>
      </c>
      <c r="Q57" s="124">
        <v>23</v>
      </c>
      <c r="R57" s="124">
        <v>18</v>
      </c>
      <c r="S57" s="97">
        <v>35028.07</v>
      </c>
      <c r="T57" s="97">
        <v>14478.7</v>
      </c>
      <c r="U57" s="93">
        <f t="shared" si="2"/>
        <v>20549.37</v>
      </c>
    </row>
    <row r="58" spans="1:21" ht="20.100000000000001" customHeight="1" x14ac:dyDescent="0.25">
      <c r="A58" s="110">
        <v>46</v>
      </c>
      <c r="B58" s="99">
        <f t="shared" si="3"/>
        <v>48</v>
      </c>
      <c r="C58" s="11" t="s">
        <v>134</v>
      </c>
      <c r="D58" s="100" t="s">
        <v>124</v>
      </c>
      <c r="E58" s="101"/>
      <c r="F58" s="17" t="s">
        <v>112</v>
      </c>
      <c r="G58" s="72" t="s">
        <v>179</v>
      </c>
      <c r="H58" s="77">
        <v>6</v>
      </c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97"/>
      <c r="U58" s="93">
        <f t="shared" si="2"/>
        <v>0</v>
      </c>
    </row>
    <row r="59" spans="1:21" ht="20.100000000000001" customHeight="1" x14ac:dyDescent="0.25">
      <c r="B59" s="99">
        <f t="shared" si="3"/>
        <v>49</v>
      </c>
      <c r="C59" s="11" t="s">
        <v>62</v>
      </c>
      <c r="D59" s="100" t="s">
        <v>124</v>
      </c>
      <c r="E59" s="101"/>
      <c r="F59" s="17" t="s">
        <v>106</v>
      </c>
      <c r="G59" s="72" t="s">
        <v>230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97"/>
      <c r="U59" s="93">
        <f t="shared" si="2"/>
        <v>0</v>
      </c>
    </row>
    <row r="60" spans="1:21" ht="20.100000000000001" customHeight="1" x14ac:dyDescent="0.25">
      <c r="B60" s="99">
        <f t="shared" si="3"/>
        <v>50</v>
      </c>
      <c r="C60" s="11" t="s">
        <v>63</v>
      </c>
      <c r="D60" s="100" t="s">
        <v>124</v>
      </c>
      <c r="E60" s="101"/>
      <c r="F60" s="22" t="s">
        <v>112</v>
      </c>
      <c r="G60" s="72" t="s">
        <v>224</v>
      </c>
      <c r="H60" s="77"/>
      <c r="I60" s="75"/>
      <c r="J60" s="75"/>
      <c r="K60" s="75"/>
      <c r="L60" s="75"/>
      <c r="M60" s="97"/>
      <c r="N60" s="97"/>
      <c r="O60" s="93">
        <f t="shared" si="1"/>
        <v>0</v>
      </c>
      <c r="P60" s="123"/>
      <c r="Q60" s="124"/>
      <c r="R60" s="124"/>
      <c r="S60" s="97"/>
      <c r="T60" s="97"/>
      <c r="U60" s="93">
        <f t="shared" si="2"/>
        <v>0</v>
      </c>
    </row>
    <row r="61" spans="1:21" ht="20.100000000000001" customHeight="1" x14ac:dyDescent="0.25">
      <c r="A61" s="110">
        <v>48</v>
      </c>
      <c r="B61" s="99">
        <f t="shared" si="3"/>
        <v>51</v>
      </c>
      <c r="C61" s="11" t="s">
        <v>64</v>
      </c>
      <c r="D61" s="100" t="s">
        <v>124</v>
      </c>
      <c r="E61" s="101"/>
      <c r="F61" s="22" t="s">
        <v>107</v>
      </c>
      <c r="G61" s="72" t="s">
        <v>180</v>
      </c>
      <c r="H61" s="77">
        <v>22</v>
      </c>
      <c r="I61" s="75">
        <v>11</v>
      </c>
      <c r="J61" s="75">
        <v>12</v>
      </c>
      <c r="K61" s="75">
        <v>12</v>
      </c>
      <c r="L61" s="75">
        <v>8</v>
      </c>
      <c r="M61" s="97">
        <f>4967.08+2976.17</f>
        <v>7943.25</v>
      </c>
      <c r="N61" s="97"/>
      <c r="O61" s="93">
        <f t="shared" si="1"/>
        <v>7943.25</v>
      </c>
      <c r="P61" s="123">
        <v>5</v>
      </c>
      <c r="Q61" s="124">
        <v>5</v>
      </c>
      <c r="R61" s="124">
        <v>5</v>
      </c>
      <c r="S61" s="97">
        <v>6524.72</v>
      </c>
      <c r="T61" s="97"/>
      <c r="U61" s="93">
        <f t="shared" si="2"/>
        <v>6524.72</v>
      </c>
    </row>
    <row r="62" spans="1:21" ht="20.100000000000001" customHeight="1" x14ac:dyDescent="0.25">
      <c r="A62" s="110">
        <v>47</v>
      </c>
      <c r="B62" s="99">
        <f t="shared" si="3"/>
        <v>52</v>
      </c>
      <c r="C62" s="11" t="s">
        <v>135</v>
      </c>
      <c r="D62" s="100" t="s">
        <v>124</v>
      </c>
      <c r="E62" s="101"/>
      <c r="F62" s="22" t="s">
        <v>111</v>
      </c>
      <c r="G62" s="72" t="s">
        <v>181</v>
      </c>
      <c r="H62" s="77">
        <v>6</v>
      </c>
      <c r="I62" s="75">
        <v>4</v>
      </c>
      <c r="J62" s="75">
        <v>4</v>
      </c>
      <c r="K62" s="75">
        <v>2</v>
      </c>
      <c r="L62" s="75"/>
      <c r="M62" s="97"/>
      <c r="N62" s="97"/>
      <c r="O62" s="93">
        <f t="shared" si="1"/>
        <v>0</v>
      </c>
      <c r="P62" s="123"/>
      <c r="Q62" s="124"/>
      <c r="R62" s="124"/>
      <c r="S62" s="97"/>
      <c r="T62" s="97"/>
      <c r="U62" s="93">
        <f t="shared" si="2"/>
        <v>0</v>
      </c>
    </row>
    <row r="63" spans="1:21" ht="20.100000000000001" customHeight="1" x14ac:dyDescent="0.25">
      <c r="A63" s="110">
        <v>49</v>
      </c>
      <c r="B63" s="99">
        <f t="shared" si="3"/>
        <v>53</v>
      </c>
      <c r="C63" s="13" t="s">
        <v>65</v>
      </c>
      <c r="D63" s="100" t="s">
        <v>124</v>
      </c>
      <c r="E63" s="101"/>
      <c r="F63" s="17" t="s">
        <v>106</v>
      </c>
      <c r="G63" s="72" t="s">
        <v>182</v>
      </c>
      <c r="H63" s="77">
        <v>6</v>
      </c>
      <c r="I63" s="75">
        <v>2</v>
      </c>
      <c r="J63" s="75">
        <v>2</v>
      </c>
      <c r="K63" s="75">
        <v>2</v>
      </c>
      <c r="L63" s="75">
        <v>1</v>
      </c>
      <c r="M63" s="97">
        <v>1263.45</v>
      </c>
      <c r="N63" s="97">
        <v>1263.45</v>
      </c>
      <c r="O63" s="93">
        <f t="shared" si="1"/>
        <v>0</v>
      </c>
      <c r="P63" s="123">
        <v>6</v>
      </c>
      <c r="Q63" s="124">
        <v>6</v>
      </c>
      <c r="R63" s="124">
        <v>2</v>
      </c>
      <c r="S63" s="97">
        <v>740.14</v>
      </c>
      <c r="T63" s="97">
        <v>740.14</v>
      </c>
      <c r="U63" s="93">
        <f t="shared" si="2"/>
        <v>0</v>
      </c>
    </row>
    <row r="64" spans="1:21" ht="20.100000000000001" customHeight="1" x14ac:dyDescent="0.25">
      <c r="B64" s="99">
        <f t="shared" si="3"/>
        <v>54</v>
      </c>
      <c r="C64" s="13" t="s">
        <v>66</v>
      </c>
      <c r="D64" s="100" t="s">
        <v>124</v>
      </c>
      <c r="E64" s="101"/>
      <c r="F64" s="17" t="s">
        <v>112</v>
      </c>
      <c r="G64" s="72" t="s">
        <v>227</v>
      </c>
      <c r="H64" s="77"/>
      <c r="I64" s="75"/>
      <c r="J64" s="75"/>
      <c r="K64" s="75"/>
      <c r="L64" s="75"/>
      <c r="M64" s="97"/>
      <c r="N64" s="97"/>
      <c r="O64" s="93">
        <f t="shared" si="1"/>
        <v>0</v>
      </c>
      <c r="P64" s="123">
        <v>8</v>
      </c>
      <c r="Q64" s="124">
        <v>8</v>
      </c>
      <c r="R64" s="124">
        <v>8</v>
      </c>
      <c r="S64" s="97">
        <v>3232.69</v>
      </c>
      <c r="T64" s="97">
        <v>3232.69</v>
      </c>
      <c r="U64" s="93">
        <f t="shared" si="2"/>
        <v>0</v>
      </c>
    </row>
    <row r="65" spans="1:21" ht="20.100000000000001" customHeight="1" x14ac:dyDescent="0.25">
      <c r="A65" s="110">
        <v>50</v>
      </c>
      <c r="B65" s="99">
        <f t="shared" si="3"/>
        <v>55</v>
      </c>
      <c r="C65" s="10" t="s">
        <v>67</v>
      </c>
      <c r="D65" s="100" t="s">
        <v>124</v>
      </c>
      <c r="E65" s="101"/>
      <c r="F65" s="17" t="s">
        <v>106</v>
      </c>
      <c r="G65" s="72" t="s">
        <v>183</v>
      </c>
      <c r="H65" s="77">
        <v>12</v>
      </c>
      <c r="I65" s="75">
        <v>5</v>
      </c>
      <c r="J65" s="75">
        <v>6</v>
      </c>
      <c r="K65" s="75">
        <v>6</v>
      </c>
      <c r="L65" s="75">
        <v>4</v>
      </c>
      <c r="M65" s="97">
        <v>2495.13</v>
      </c>
      <c r="N65" s="97"/>
      <c r="O65" s="93">
        <f t="shared" si="1"/>
        <v>2495.13</v>
      </c>
      <c r="P65" s="123">
        <v>7</v>
      </c>
      <c r="Q65" s="124">
        <v>7</v>
      </c>
      <c r="R65" s="124">
        <v>6</v>
      </c>
      <c r="S65" s="97">
        <v>3377.96</v>
      </c>
      <c r="T65" s="97"/>
      <c r="U65" s="93">
        <f t="shared" si="2"/>
        <v>3377.96</v>
      </c>
    </row>
    <row r="66" spans="1:21" ht="20.100000000000001" customHeight="1" x14ac:dyDescent="0.25">
      <c r="A66" s="110">
        <v>51</v>
      </c>
      <c r="B66" s="99">
        <f t="shared" si="3"/>
        <v>56</v>
      </c>
      <c r="C66" s="10" t="s">
        <v>68</v>
      </c>
      <c r="D66" s="100" t="s">
        <v>124</v>
      </c>
      <c r="E66" s="101"/>
      <c r="F66" s="17" t="s">
        <v>111</v>
      </c>
      <c r="G66" s="72" t="s">
        <v>184</v>
      </c>
      <c r="H66" s="77">
        <v>17</v>
      </c>
      <c r="I66" s="75">
        <v>10</v>
      </c>
      <c r="J66" s="75">
        <v>10</v>
      </c>
      <c r="K66" s="75">
        <v>9</v>
      </c>
      <c r="L66" s="75">
        <v>9</v>
      </c>
      <c r="M66" s="97">
        <f>620.1+6964.42</f>
        <v>7584.52</v>
      </c>
      <c r="N66" s="97">
        <v>620.1</v>
      </c>
      <c r="O66" s="93">
        <f t="shared" si="1"/>
        <v>6964.42</v>
      </c>
      <c r="P66" s="123">
        <v>9</v>
      </c>
      <c r="Q66" s="124">
        <v>8</v>
      </c>
      <c r="R66" s="124">
        <v>8</v>
      </c>
      <c r="S66" s="97">
        <v>5363.21</v>
      </c>
      <c r="T66" s="97">
        <v>5363.21</v>
      </c>
      <c r="U66" s="93">
        <f t="shared" si="2"/>
        <v>0</v>
      </c>
    </row>
    <row r="67" spans="1:21" ht="20.100000000000001" customHeight="1" x14ac:dyDescent="0.25">
      <c r="A67" s="110">
        <v>52</v>
      </c>
      <c r="B67" s="99">
        <f t="shared" si="3"/>
        <v>57</v>
      </c>
      <c r="C67" s="13" t="s">
        <v>69</v>
      </c>
      <c r="D67" s="100" t="s">
        <v>124</v>
      </c>
      <c r="E67" s="101"/>
      <c r="F67" s="17" t="s">
        <v>106</v>
      </c>
      <c r="G67" s="72" t="s">
        <v>185</v>
      </c>
      <c r="H67" s="77">
        <v>3</v>
      </c>
      <c r="I67" s="75">
        <v>2</v>
      </c>
      <c r="J67" s="75">
        <v>3</v>
      </c>
      <c r="K67" s="75">
        <v>3</v>
      </c>
      <c r="L67" s="75">
        <v>1</v>
      </c>
      <c r="M67" s="97">
        <v>463.83</v>
      </c>
      <c r="N67" s="97"/>
      <c r="O67" s="93">
        <f t="shared" si="1"/>
        <v>463.83</v>
      </c>
      <c r="P67" s="123">
        <v>4</v>
      </c>
      <c r="Q67" s="124">
        <v>4</v>
      </c>
      <c r="R67" s="124">
        <v>4</v>
      </c>
      <c r="S67" s="97">
        <v>3148.1</v>
      </c>
      <c r="T67" s="97">
        <v>2318.17</v>
      </c>
      <c r="U67" s="93">
        <f t="shared" si="2"/>
        <v>829.92999999999984</v>
      </c>
    </row>
    <row r="68" spans="1:21" ht="20.100000000000001" customHeight="1" x14ac:dyDescent="0.25">
      <c r="A68" s="110">
        <v>53</v>
      </c>
      <c r="B68" s="99">
        <f t="shared" si="3"/>
        <v>58</v>
      </c>
      <c r="C68" s="11" t="s">
        <v>70</v>
      </c>
      <c r="D68" s="100" t="s">
        <v>124</v>
      </c>
      <c r="E68" s="101"/>
      <c r="F68" s="17" t="s">
        <v>107</v>
      </c>
      <c r="G68" s="72" t="s">
        <v>186</v>
      </c>
      <c r="H68" s="77">
        <v>19</v>
      </c>
      <c r="I68" s="75">
        <v>15</v>
      </c>
      <c r="J68" s="75">
        <v>17</v>
      </c>
      <c r="K68" s="75">
        <v>16</v>
      </c>
      <c r="L68" s="75">
        <v>13</v>
      </c>
      <c r="M68" s="97">
        <f>6122.06+2634.24</f>
        <v>8756.2999999999993</v>
      </c>
      <c r="N68" s="97">
        <v>1327.02</v>
      </c>
      <c r="O68" s="93">
        <f t="shared" si="1"/>
        <v>7429.2799999999988</v>
      </c>
      <c r="P68" s="123">
        <v>7</v>
      </c>
      <c r="Q68" s="124">
        <v>7</v>
      </c>
      <c r="R68" s="124">
        <v>7</v>
      </c>
      <c r="S68" s="97">
        <f>1207.07+5904.8</f>
        <v>7111.87</v>
      </c>
      <c r="T68" s="97">
        <v>1207.07</v>
      </c>
      <c r="U68" s="93">
        <f t="shared" si="2"/>
        <v>5904.8</v>
      </c>
    </row>
    <row r="69" spans="1:21" ht="20.100000000000001" customHeight="1" x14ac:dyDescent="0.25">
      <c r="A69" s="110">
        <v>54</v>
      </c>
      <c r="B69" s="99">
        <f t="shared" si="3"/>
        <v>59</v>
      </c>
      <c r="C69" s="11" t="s">
        <v>71</v>
      </c>
      <c r="D69" s="100" t="s">
        <v>124</v>
      </c>
      <c r="E69" s="101"/>
      <c r="F69" s="17" t="s">
        <v>117</v>
      </c>
      <c r="G69" s="72" t="s">
        <v>187</v>
      </c>
      <c r="H69" s="77">
        <v>18</v>
      </c>
      <c r="I69" s="75">
        <v>11</v>
      </c>
      <c r="J69" s="75">
        <v>17</v>
      </c>
      <c r="K69" s="75">
        <v>17</v>
      </c>
      <c r="L69" s="75">
        <v>17</v>
      </c>
      <c r="M69" s="97">
        <f>4665.7+7448.87</f>
        <v>12114.57</v>
      </c>
      <c r="N69" s="97">
        <v>992.16</v>
      </c>
      <c r="O69" s="93">
        <f t="shared" si="1"/>
        <v>11122.41</v>
      </c>
      <c r="P69" s="123">
        <v>10</v>
      </c>
      <c r="Q69" s="124">
        <v>10</v>
      </c>
      <c r="R69" s="124">
        <v>10</v>
      </c>
      <c r="S69" s="97">
        <v>6249.15</v>
      </c>
      <c r="T69" s="97">
        <v>3017.19</v>
      </c>
      <c r="U69" s="93">
        <f t="shared" si="2"/>
        <v>3231.9599999999996</v>
      </c>
    </row>
    <row r="70" spans="1:21" ht="20.100000000000001" customHeight="1" x14ac:dyDescent="0.25">
      <c r="A70" s="110">
        <v>55</v>
      </c>
      <c r="B70" s="99">
        <f t="shared" si="3"/>
        <v>60</v>
      </c>
      <c r="C70" s="11" t="s">
        <v>72</v>
      </c>
      <c r="D70" s="100" t="s">
        <v>125</v>
      </c>
      <c r="E70" s="106" t="s">
        <v>126</v>
      </c>
      <c r="F70" s="17" t="s">
        <v>106</v>
      </c>
      <c r="G70" s="72" t="s">
        <v>188</v>
      </c>
      <c r="H70" s="77">
        <v>4</v>
      </c>
      <c r="I70" s="75"/>
      <c r="J70" s="75"/>
      <c r="K70" s="75"/>
      <c r="L70" s="75"/>
      <c r="M70" s="97"/>
      <c r="N70" s="97"/>
      <c r="O70" s="93">
        <f t="shared" si="1"/>
        <v>0</v>
      </c>
      <c r="P70" s="123"/>
      <c r="Q70" s="124"/>
      <c r="R70" s="124"/>
      <c r="S70" s="97"/>
      <c r="T70" s="97"/>
      <c r="U70" s="93">
        <f t="shared" si="2"/>
        <v>0</v>
      </c>
    </row>
    <row r="71" spans="1:21" ht="20.100000000000001" customHeight="1" x14ac:dyDescent="0.25">
      <c r="A71" s="110">
        <v>56</v>
      </c>
      <c r="B71" s="99">
        <f t="shared" si="3"/>
        <v>61</v>
      </c>
      <c r="C71" s="10" t="s">
        <v>73</v>
      </c>
      <c r="D71" s="100" t="s">
        <v>124</v>
      </c>
      <c r="E71" s="101"/>
      <c r="F71" s="17" t="s">
        <v>106</v>
      </c>
      <c r="G71" s="72" t="s">
        <v>189</v>
      </c>
      <c r="H71" s="77">
        <v>4</v>
      </c>
      <c r="I71" s="75"/>
      <c r="J71" s="75"/>
      <c r="K71" s="75"/>
      <c r="L71" s="75"/>
      <c r="M71" s="97"/>
      <c r="N71" s="97"/>
      <c r="O71" s="93">
        <f t="shared" si="1"/>
        <v>0</v>
      </c>
      <c r="P71" s="123">
        <v>1</v>
      </c>
      <c r="Q71" s="124">
        <v>1</v>
      </c>
      <c r="R71" s="124"/>
      <c r="S71" s="97"/>
      <c r="T71" s="97"/>
      <c r="U71" s="93">
        <f t="shared" si="2"/>
        <v>0</v>
      </c>
    </row>
    <row r="72" spans="1:21" ht="20.100000000000001" customHeight="1" x14ac:dyDescent="0.25">
      <c r="A72" s="110">
        <v>57</v>
      </c>
      <c r="B72" s="99">
        <f t="shared" si="3"/>
        <v>62</v>
      </c>
      <c r="C72" s="11" t="s">
        <v>74</v>
      </c>
      <c r="D72" s="100" t="s">
        <v>124</v>
      </c>
      <c r="E72" s="101"/>
      <c r="F72" s="17" t="s">
        <v>111</v>
      </c>
      <c r="G72" s="72" t="s">
        <v>190</v>
      </c>
      <c r="H72" s="77">
        <v>8</v>
      </c>
      <c r="I72" s="75">
        <v>3</v>
      </c>
      <c r="J72" s="75">
        <v>3</v>
      </c>
      <c r="K72" s="75">
        <v>2</v>
      </c>
      <c r="L72" s="75">
        <v>2</v>
      </c>
      <c r="M72" s="97">
        <v>2228.5</v>
      </c>
      <c r="N72" s="97">
        <v>2228.5</v>
      </c>
      <c r="O72" s="93">
        <f t="shared" si="1"/>
        <v>0</v>
      </c>
      <c r="P72" s="123">
        <v>18</v>
      </c>
      <c r="Q72" s="124">
        <v>17</v>
      </c>
      <c r="R72" s="124">
        <v>17</v>
      </c>
      <c r="S72" s="97">
        <f>27744.56+14819.18</f>
        <v>42563.740000000005</v>
      </c>
      <c r="T72" s="97">
        <v>27744.560000000001</v>
      </c>
      <c r="U72" s="93">
        <f t="shared" si="2"/>
        <v>14819.180000000004</v>
      </c>
    </row>
    <row r="73" spans="1:21" ht="20.100000000000001" customHeight="1" x14ac:dyDescent="0.25">
      <c r="A73" s="110">
        <v>58</v>
      </c>
      <c r="B73" s="99">
        <f t="shared" si="3"/>
        <v>63</v>
      </c>
      <c r="C73" s="11" t="s">
        <v>75</v>
      </c>
      <c r="D73" s="100" t="s">
        <v>124</v>
      </c>
      <c r="E73" s="101"/>
      <c r="F73" s="17" t="s">
        <v>118</v>
      </c>
      <c r="G73" s="72" t="s">
        <v>191</v>
      </c>
      <c r="H73" s="77">
        <v>6</v>
      </c>
      <c r="I73" s="75">
        <v>2</v>
      </c>
      <c r="J73" s="75">
        <v>2</v>
      </c>
      <c r="K73" s="75">
        <v>2</v>
      </c>
      <c r="L73" s="75">
        <v>2</v>
      </c>
      <c r="M73" s="97">
        <v>1163.72</v>
      </c>
      <c r="N73" s="97"/>
      <c r="O73" s="93">
        <f t="shared" si="1"/>
        <v>1163.72</v>
      </c>
      <c r="P73" s="123">
        <v>7</v>
      </c>
      <c r="Q73" s="124">
        <v>7</v>
      </c>
      <c r="R73" s="124">
        <v>7</v>
      </c>
      <c r="S73" s="97">
        <f>3959.69+961.38</f>
        <v>4921.07</v>
      </c>
      <c r="T73" s="97">
        <v>3959.69</v>
      </c>
      <c r="U73" s="93">
        <f t="shared" si="2"/>
        <v>961.37999999999965</v>
      </c>
    </row>
    <row r="74" spans="1:21" ht="20.100000000000001" customHeight="1" x14ac:dyDescent="0.25">
      <c r="A74" s="110">
        <v>59</v>
      </c>
      <c r="B74" s="99">
        <f t="shared" si="3"/>
        <v>64</v>
      </c>
      <c r="C74" s="10" t="s">
        <v>76</v>
      </c>
      <c r="D74" s="100" t="s">
        <v>124</v>
      </c>
      <c r="E74" s="101"/>
      <c r="F74" s="10" t="s">
        <v>105</v>
      </c>
      <c r="G74" s="72" t="s">
        <v>192</v>
      </c>
      <c r="H74" s="77">
        <v>9</v>
      </c>
      <c r="I74" s="75">
        <v>2</v>
      </c>
      <c r="J74" s="75">
        <v>2</v>
      </c>
      <c r="K74" s="75">
        <v>2</v>
      </c>
      <c r="L74" s="75">
        <v>2</v>
      </c>
      <c r="M74" s="97">
        <v>507.1</v>
      </c>
      <c r="N74" s="97"/>
      <c r="O74" s="93">
        <f t="shared" si="1"/>
        <v>507.1</v>
      </c>
      <c r="P74" s="123">
        <v>3</v>
      </c>
      <c r="Q74" s="124">
        <v>3</v>
      </c>
      <c r="R74" s="124">
        <v>3</v>
      </c>
      <c r="S74" s="97">
        <v>1821.06</v>
      </c>
      <c r="T74" s="97">
        <v>1821.06</v>
      </c>
      <c r="U74" s="93">
        <f t="shared" si="2"/>
        <v>0</v>
      </c>
    </row>
    <row r="75" spans="1:21" ht="20.100000000000001" customHeight="1" x14ac:dyDescent="0.25">
      <c r="B75" s="99">
        <f t="shared" si="3"/>
        <v>65</v>
      </c>
      <c r="C75" s="11" t="s">
        <v>77</v>
      </c>
      <c r="D75" s="100" t="s">
        <v>124</v>
      </c>
      <c r="E75" s="101"/>
      <c r="F75" s="10" t="s">
        <v>111</v>
      </c>
      <c r="G75" s="72" t="s">
        <v>225</v>
      </c>
      <c r="H75" s="77"/>
      <c r="I75" s="75"/>
      <c r="J75" s="75"/>
      <c r="K75" s="75"/>
      <c r="L75" s="75"/>
      <c r="M75" s="97"/>
      <c r="N75" s="97"/>
      <c r="O75" s="93">
        <f t="shared" si="1"/>
        <v>0</v>
      </c>
      <c r="P75" s="123">
        <v>1</v>
      </c>
      <c r="Q75" s="124">
        <v>1</v>
      </c>
      <c r="R75" s="124">
        <v>1</v>
      </c>
      <c r="S75" s="97">
        <v>3278.32</v>
      </c>
      <c r="T75" s="97">
        <v>3278.32</v>
      </c>
      <c r="U75" s="93">
        <f t="shared" si="2"/>
        <v>0</v>
      </c>
    </row>
    <row r="76" spans="1:21" ht="20.100000000000001" customHeight="1" x14ac:dyDescent="0.25">
      <c r="A76" s="110">
        <v>60</v>
      </c>
      <c r="B76" s="99">
        <f t="shared" ref="B76:B103" si="4">B75+1</f>
        <v>66</v>
      </c>
      <c r="C76" s="10" t="s">
        <v>78</v>
      </c>
      <c r="D76" s="100" t="s">
        <v>124</v>
      </c>
      <c r="E76" s="101"/>
      <c r="F76" s="23" t="s">
        <v>119</v>
      </c>
      <c r="G76" s="72" t="s">
        <v>193</v>
      </c>
      <c r="H76" s="77">
        <v>3</v>
      </c>
      <c r="I76" s="75"/>
      <c r="J76" s="75"/>
      <c r="K76" s="75"/>
      <c r="L76" s="75"/>
      <c r="M76" s="97"/>
      <c r="N76" s="97"/>
      <c r="O76" s="93">
        <f t="shared" ref="O76:O103" si="5" xml:space="preserve"> (M76-N76)</f>
        <v>0</v>
      </c>
      <c r="P76" s="123">
        <v>2</v>
      </c>
      <c r="Q76" s="124">
        <v>2</v>
      </c>
      <c r="R76" s="124">
        <v>2</v>
      </c>
      <c r="S76" s="97">
        <v>617.03</v>
      </c>
      <c r="T76" s="97"/>
      <c r="U76" s="93">
        <f t="shared" ref="U76:U103" si="6" xml:space="preserve"> (S76-T76)</f>
        <v>617.03</v>
      </c>
    </row>
    <row r="77" spans="1:21" ht="20.100000000000001" customHeight="1" x14ac:dyDescent="0.25">
      <c r="A77" s="110">
        <v>61</v>
      </c>
      <c r="B77" s="99">
        <f t="shared" si="4"/>
        <v>67</v>
      </c>
      <c r="C77" s="11" t="s">
        <v>79</v>
      </c>
      <c r="D77" s="100" t="s">
        <v>124</v>
      </c>
      <c r="E77" s="101"/>
      <c r="F77" s="17" t="s">
        <v>106</v>
      </c>
      <c r="G77" s="72" t="s">
        <v>194</v>
      </c>
      <c r="H77" s="77">
        <v>10</v>
      </c>
      <c r="I77" s="75">
        <v>5</v>
      </c>
      <c r="J77" s="75">
        <v>7</v>
      </c>
      <c r="K77" s="75">
        <v>7</v>
      </c>
      <c r="L77" s="75">
        <v>2</v>
      </c>
      <c r="M77" s="97">
        <v>1065.4000000000001</v>
      </c>
      <c r="N77" s="97">
        <v>522.80999999999995</v>
      </c>
      <c r="O77" s="93">
        <f t="shared" si="5"/>
        <v>542.59000000000015</v>
      </c>
      <c r="P77" s="123">
        <v>4</v>
      </c>
      <c r="Q77" s="124">
        <v>4</v>
      </c>
      <c r="R77" s="124">
        <v>3</v>
      </c>
      <c r="S77" s="97">
        <v>2337.1</v>
      </c>
      <c r="T77" s="97">
        <v>373.44</v>
      </c>
      <c r="U77" s="93">
        <f t="shared" si="6"/>
        <v>1963.6599999999999</v>
      </c>
    </row>
    <row r="78" spans="1:21" ht="20.100000000000001" customHeight="1" x14ac:dyDescent="0.25">
      <c r="A78" s="110">
        <v>62</v>
      </c>
      <c r="B78" s="99">
        <f t="shared" si="4"/>
        <v>68</v>
      </c>
      <c r="C78" s="11" t="s">
        <v>80</v>
      </c>
      <c r="D78" s="100" t="s">
        <v>124</v>
      </c>
      <c r="E78" s="101"/>
      <c r="F78" s="17" t="s">
        <v>106</v>
      </c>
      <c r="G78" s="72" t="s">
        <v>195</v>
      </c>
      <c r="H78" s="77">
        <v>5</v>
      </c>
      <c r="I78" s="75">
        <v>2</v>
      </c>
      <c r="J78" s="75">
        <v>2</v>
      </c>
      <c r="K78" s="75">
        <v>2</v>
      </c>
      <c r="L78" s="75"/>
      <c r="M78" s="97"/>
      <c r="N78" s="97"/>
      <c r="O78" s="93">
        <f t="shared" si="5"/>
        <v>0</v>
      </c>
      <c r="P78" s="123"/>
      <c r="Q78" s="124"/>
      <c r="R78" s="124"/>
      <c r="S78" s="97"/>
      <c r="T78" s="97"/>
      <c r="U78" s="93">
        <f t="shared" si="6"/>
        <v>0</v>
      </c>
    </row>
    <row r="79" spans="1:21" ht="20.100000000000001" customHeight="1" x14ac:dyDescent="0.25">
      <c r="B79" s="99">
        <f t="shared" si="4"/>
        <v>69</v>
      </c>
      <c r="C79" s="14" t="s">
        <v>81</v>
      </c>
      <c r="D79" s="100" t="s">
        <v>124</v>
      </c>
      <c r="E79" s="101"/>
      <c r="F79" s="10" t="s">
        <v>106</v>
      </c>
      <c r="G79" s="72" t="s">
        <v>226</v>
      </c>
      <c r="H79" s="77"/>
      <c r="I79" s="75"/>
      <c r="J79" s="75"/>
      <c r="K79" s="75"/>
      <c r="L79" s="75"/>
      <c r="M79" s="97"/>
      <c r="N79" s="97"/>
      <c r="O79" s="93">
        <f t="shared" si="5"/>
        <v>0</v>
      </c>
      <c r="P79" s="123">
        <v>8</v>
      </c>
      <c r="Q79" s="124">
        <v>8</v>
      </c>
      <c r="R79" s="124">
        <v>8</v>
      </c>
      <c r="S79" s="97">
        <v>3889.76</v>
      </c>
      <c r="T79" s="97">
        <v>852.2</v>
      </c>
      <c r="U79" s="93">
        <f t="shared" si="6"/>
        <v>3037.5600000000004</v>
      </c>
    </row>
    <row r="80" spans="1:21" ht="20.100000000000001" customHeight="1" x14ac:dyDescent="0.25">
      <c r="A80" s="110">
        <v>63</v>
      </c>
      <c r="B80" s="99">
        <f t="shared" si="4"/>
        <v>70</v>
      </c>
      <c r="C80" s="14" t="s">
        <v>82</v>
      </c>
      <c r="D80" s="100" t="s">
        <v>124</v>
      </c>
      <c r="E80" s="101"/>
      <c r="F80" s="10" t="s">
        <v>106</v>
      </c>
      <c r="G80" s="72" t="s">
        <v>196</v>
      </c>
      <c r="H80" s="77">
        <v>7</v>
      </c>
      <c r="I80" s="75">
        <v>1</v>
      </c>
      <c r="J80" s="75">
        <v>2</v>
      </c>
      <c r="K80" s="75">
        <v>2</v>
      </c>
      <c r="L80" s="75">
        <v>1</v>
      </c>
      <c r="M80" s="97">
        <v>272.83999999999997</v>
      </c>
      <c r="N80" s="97">
        <v>272.83999999999997</v>
      </c>
      <c r="O80" s="93">
        <f t="shared" si="5"/>
        <v>0</v>
      </c>
      <c r="P80" s="123">
        <v>1</v>
      </c>
      <c r="Q80" s="124">
        <v>1</v>
      </c>
      <c r="R80" s="124">
        <v>1</v>
      </c>
      <c r="S80" s="97">
        <v>275.60000000000002</v>
      </c>
      <c r="T80" s="97">
        <v>275.60000000000002</v>
      </c>
      <c r="U80" s="93">
        <f t="shared" si="6"/>
        <v>0</v>
      </c>
    </row>
    <row r="81" spans="1:21" ht="20.100000000000001" customHeight="1" x14ac:dyDescent="0.25">
      <c r="A81" s="110">
        <v>64</v>
      </c>
      <c r="B81" s="99">
        <f t="shared" si="4"/>
        <v>71</v>
      </c>
      <c r="C81" s="14" t="s">
        <v>83</v>
      </c>
      <c r="D81" s="100" t="s">
        <v>124</v>
      </c>
      <c r="E81" s="101"/>
      <c r="F81" s="10" t="s">
        <v>106</v>
      </c>
      <c r="G81" s="72" t="s">
        <v>197</v>
      </c>
      <c r="H81" s="77">
        <v>10</v>
      </c>
      <c r="I81" s="75">
        <v>3</v>
      </c>
      <c r="J81" s="75">
        <v>3</v>
      </c>
      <c r="K81" s="75">
        <v>3</v>
      </c>
      <c r="L81" s="75">
        <v>1</v>
      </c>
      <c r="M81" s="97">
        <v>531.74</v>
      </c>
      <c r="N81" s="97">
        <v>531.74</v>
      </c>
      <c r="O81" s="93">
        <f t="shared" si="5"/>
        <v>0</v>
      </c>
      <c r="P81" s="123">
        <v>6</v>
      </c>
      <c r="Q81" s="124">
        <v>6</v>
      </c>
      <c r="R81" s="124">
        <v>5</v>
      </c>
      <c r="S81" s="97">
        <v>12327.43</v>
      </c>
      <c r="T81" s="97">
        <v>12327.43</v>
      </c>
      <c r="U81" s="93">
        <f t="shared" si="6"/>
        <v>0</v>
      </c>
    </row>
    <row r="82" spans="1:21" ht="20.100000000000001" customHeight="1" x14ac:dyDescent="0.25">
      <c r="A82" s="110">
        <v>65</v>
      </c>
      <c r="B82" s="99">
        <f t="shared" si="4"/>
        <v>72</v>
      </c>
      <c r="C82" s="11" t="s">
        <v>84</v>
      </c>
      <c r="D82" s="100" t="s">
        <v>124</v>
      </c>
      <c r="E82" s="101"/>
      <c r="F82" s="10" t="s">
        <v>120</v>
      </c>
      <c r="G82" s="72" t="s">
        <v>198</v>
      </c>
      <c r="H82" s="77">
        <v>1</v>
      </c>
      <c r="I82" s="75"/>
      <c r="J82" s="75"/>
      <c r="K82" s="75"/>
      <c r="L82" s="75"/>
      <c r="M82" s="97"/>
      <c r="N82" s="97"/>
      <c r="O82" s="93">
        <f t="shared" si="5"/>
        <v>0</v>
      </c>
      <c r="P82" s="123"/>
      <c r="Q82" s="124"/>
      <c r="R82" s="124"/>
      <c r="S82" s="97"/>
      <c r="T82" s="97"/>
      <c r="U82" s="93">
        <f t="shared" si="6"/>
        <v>0</v>
      </c>
    </row>
    <row r="83" spans="1:21" ht="20.100000000000001" customHeight="1" x14ac:dyDescent="0.25">
      <c r="A83" s="110">
        <v>66</v>
      </c>
      <c r="B83" s="99">
        <f t="shared" si="4"/>
        <v>73</v>
      </c>
      <c r="C83" s="13" t="s">
        <v>85</v>
      </c>
      <c r="D83" s="100" t="s">
        <v>124</v>
      </c>
      <c r="E83" s="101"/>
      <c r="F83" s="19" t="s">
        <v>106</v>
      </c>
      <c r="G83" s="72" t="s">
        <v>199</v>
      </c>
      <c r="H83" s="77">
        <v>9</v>
      </c>
      <c r="I83" s="75">
        <v>4</v>
      </c>
      <c r="J83" s="75">
        <v>4</v>
      </c>
      <c r="K83" s="75">
        <v>4</v>
      </c>
      <c r="L83" s="75">
        <v>4</v>
      </c>
      <c r="M83" s="97">
        <v>2282.25</v>
      </c>
      <c r="N83" s="97"/>
      <c r="O83" s="93">
        <f t="shared" si="5"/>
        <v>2282.25</v>
      </c>
      <c r="P83" s="123">
        <v>6</v>
      </c>
      <c r="Q83" s="124">
        <v>6</v>
      </c>
      <c r="R83" s="124">
        <v>5</v>
      </c>
      <c r="S83" s="97">
        <v>15935.59</v>
      </c>
      <c r="T83" s="97">
        <v>5274.97</v>
      </c>
      <c r="U83" s="93">
        <f t="shared" si="6"/>
        <v>10660.619999999999</v>
      </c>
    </row>
    <row r="84" spans="1:21" ht="20.100000000000001" customHeight="1" x14ac:dyDescent="0.25">
      <c r="A84" s="110">
        <v>67</v>
      </c>
      <c r="B84" s="99">
        <f t="shared" si="4"/>
        <v>74</v>
      </c>
      <c r="C84" s="10" t="s">
        <v>86</v>
      </c>
      <c r="D84" s="100" t="s">
        <v>124</v>
      </c>
      <c r="E84" s="101"/>
      <c r="F84" s="22" t="s">
        <v>118</v>
      </c>
      <c r="G84" s="72" t="s">
        <v>200</v>
      </c>
      <c r="H84" s="77">
        <v>10</v>
      </c>
      <c r="I84" s="75">
        <v>3</v>
      </c>
      <c r="J84" s="75">
        <v>3</v>
      </c>
      <c r="K84" s="75">
        <v>3</v>
      </c>
      <c r="L84" s="75">
        <v>3</v>
      </c>
      <c r="M84" s="97">
        <v>2803.04</v>
      </c>
      <c r="N84" s="97">
        <v>2803.04</v>
      </c>
      <c r="O84" s="93">
        <f t="shared" si="5"/>
        <v>0</v>
      </c>
      <c r="P84" s="123">
        <v>3</v>
      </c>
      <c r="Q84" s="124">
        <v>3</v>
      </c>
      <c r="R84" s="124">
        <v>3</v>
      </c>
      <c r="S84" s="97">
        <v>6465.89</v>
      </c>
      <c r="T84" s="97">
        <v>6465.89</v>
      </c>
      <c r="U84" s="93">
        <f t="shared" si="6"/>
        <v>0</v>
      </c>
    </row>
    <row r="85" spans="1:21" ht="20.100000000000001" customHeight="1" x14ac:dyDescent="0.25">
      <c r="A85" s="110">
        <v>68</v>
      </c>
      <c r="B85" s="99">
        <f t="shared" si="4"/>
        <v>75</v>
      </c>
      <c r="C85" s="10" t="s">
        <v>87</v>
      </c>
      <c r="D85" s="100" t="s">
        <v>124</v>
      </c>
      <c r="E85" s="101"/>
      <c r="F85" s="22" t="s">
        <v>115</v>
      </c>
      <c r="G85" s="72" t="s">
        <v>201</v>
      </c>
      <c r="H85" s="77">
        <v>9</v>
      </c>
      <c r="I85" s="75">
        <v>3</v>
      </c>
      <c r="J85" s="75">
        <v>4</v>
      </c>
      <c r="K85" s="75">
        <v>2</v>
      </c>
      <c r="L85" s="75">
        <v>1</v>
      </c>
      <c r="M85" s="97">
        <v>409.27</v>
      </c>
      <c r="N85" s="97"/>
      <c r="O85" s="93">
        <f t="shared" si="5"/>
        <v>409.27</v>
      </c>
      <c r="P85" s="123">
        <v>1</v>
      </c>
      <c r="Q85" s="124">
        <v>1</v>
      </c>
      <c r="R85" s="124">
        <v>1</v>
      </c>
      <c r="S85" s="97">
        <v>1515.31</v>
      </c>
      <c r="T85" s="97"/>
      <c r="U85" s="93">
        <f t="shared" si="6"/>
        <v>1515.31</v>
      </c>
    </row>
    <row r="86" spans="1:21" ht="20.100000000000001" customHeight="1" x14ac:dyDescent="0.25">
      <c r="A86" s="110">
        <v>70</v>
      </c>
      <c r="B86" s="99">
        <f t="shared" si="4"/>
        <v>76</v>
      </c>
      <c r="C86" s="11" t="s">
        <v>88</v>
      </c>
      <c r="D86" s="100" t="s">
        <v>124</v>
      </c>
      <c r="E86" s="101"/>
      <c r="F86" s="17" t="s">
        <v>121</v>
      </c>
      <c r="G86" s="72" t="s">
        <v>203</v>
      </c>
      <c r="H86" s="77">
        <v>13</v>
      </c>
      <c r="I86" s="75">
        <v>8</v>
      </c>
      <c r="J86" s="75">
        <v>13</v>
      </c>
      <c r="K86" s="75">
        <v>13</v>
      </c>
      <c r="L86" s="75">
        <v>13</v>
      </c>
      <c r="M86" s="97">
        <f>4781.94+3598.27</f>
        <v>8380.2099999999991</v>
      </c>
      <c r="N86" s="97"/>
      <c r="O86" s="93">
        <f t="shared" si="5"/>
        <v>8380.2099999999991</v>
      </c>
      <c r="P86" s="123">
        <v>6</v>
      </c>
      <c r="Q86" s="124">
        <v>5</v>
      </c>
      <c r="R86" s="124">
        <v>5</v>
      </c>
      <c r="S86" s="97">
        <f>2068.47+2492.49</f>
        <v>4560.9599999999991</v>
      </c>
      <c r="T86" s="97"/>
      <c r="U86" s="93">
        <f t="shared" si="6"/>
        <v>4560.9599999999991</v>
      </c>
    </row>
    <row r="87" spans="1:21" ht="20.100000000000001" customHeight="1" x14ac:dyDescent="0.25">
      <c r="A87" s="110">
        <v>69</v>
      </c>
      <c r="B87" s="99">
        <f t="shared" si="4"/>
        <v>77</v>
      </c>
      <c r="C87" s="14" t="s">
        <v>89</v>
      </c>
      <c r="D87" s="100" t="s">
        <v>124</v>
      </c>
      <c r="E87" s="101"/>
      <c r="F87" s="19" t="s">
        <v>106</v>
      </c>
      <c r="G87" s="72" t="s">
        <v>202</v>
      </c>
      <c r="H87" s="77">
        <v>3</v>
      </c>
      <c r="I87" s="75"/>
      <c r="J87" s="75"/>
      <c r="K87" s="75"/>
      <c r="L87" s="75"/>
      <c r="M87" s="97"/>
      <c r="N87" s="97"/>
      <c r="O87" s="93">
        <f t="shared" si="5"/>
        <v>0</v>
      </c>
      <c r="P87" s="123">
        <v>2</v>
      </c>
      <c r="Q87" s="124">
        <v>2</v>
      </c>
      <c r="R87" s="124">
        <v>2</v>
      </c>
      <c r="S87" s="97">
        <v>839.18</v>
      </c>
      <c r="T87" s="97"/>
      <c r="U87" s="93">
        <f t="shared" si="6"/>
        <v>839.18</v>
      </c>
    </row>
    <row r="88" spans="1:21" ht="20.100000000000001" customHeight="1" x14ac:dyDescent="0.25">
      <c r="A88" s="110">
        <v>71</v>
      </c>
      <c r="B88" s="99">
        <f t="shared" si="4"/>
        <v>78</v>
      </c>
      <c r="C88" s="14" t="s">
        <v>90</v>
      </c>
      <c r="D88" s="100" t="s">
        <v>124</v>
      </c>
      <c r="E88" s="101"/>
      <c r="F88" s="19" t="s">
        <v>106</v>
      </c>
      <c r="G88" s="72" t="s">
        <v>204</v>
      </c>
      <c r="H88" s="77">
        <v>4</v>
      </c>
      <c r="I88" s="75">
        <v>4</v>
      </c>
      <c r="J88" s="75">
        <v>4</v>
      </c>
      <c r="K88" s="75">
        <v>4</v>
      </c>
      <c r="L88" s="75">
        <v>2</v>
      </c>
      <c r="M88" s="97">
        <v>795.8</v>
      </c>
      <c r="N88" s="97">
        <v>250.11</v>
      </c>
      <c r="O88" s="93">
        <f t="shared" si="5"/>
        <v>545.68999999999994</v>
      </c>
      <c r="P88" s="123">
        <v>3</v>
      </c>
      <c r="Q88" s="124">
        <v>3</v>
      </c>
      <c r="R88" s="124">
        <v>2</v>
      </c>
      <c r="S88" s="97">
        <v>2723.78</v>
      </c>
      <c r="T88" s="97">
        <v>2723.78</v>
      </c>
      <c r="U88" s="93">
        <f t="shared" si="6"/>
        <v>0</v>
      </c>
    </row>
    <row r="89" spans="1:21" ht="20.100000000000001" customHeight="1" x14ac:dyDescent="0.25">
      <c r="B89" s="99">
        <f t="shared" si="4"/>
        <v>79</v>
      </c>
      <c r="C89" s="10" t="s">
        <v>91</v>
      </c>
      <c r="D89" s="100" t="s">
        <v>124</v>
      </c>
      <c r="E89" s="101"/>
      <c r="F89" s="17" t="s">
        <v>111</v>
      </c>
      <c r="G89" s="72" t="s">
        <v>231</v>
      </c>
      <c r="H89" s="77">
        <v>1</v>
      </c>
      <c r="I89" s="75"/>
      <c r="J89" s="75"/>
      <c r="K89" s="75"/>
      <c r="L89" s="75"/>
      <c r="M89" s="97"/>
      <c r="N89" s="97"/>
      <c r="O89" s="93">
        <f t="shared" si="5"/>
        <v>0</v>
      </c>
      <c r="P89" s="123">
        <v>6</v>
      </c>
      <c r="Q89" s="124">
        <v>6</v>
      </c>
      <c r="R89" s="124">
        <v>6</v>
      </c>
      <c r="S89" s="97">
        <v>7502.29</v>
      </c>
      <c r="T89" s="97">
        <v>4474.76</v>
      </c>
      <c r="U89" s="93">
        <f t="shared" si="6"/>
        <v>3027.5299999999997</v>
      </c>
    </row>
    <row r="90" spans="1:21" ht="20.100000000000001" customHeight="1" x14ac:dyDescent="0.25">
      <c r="A90" s="110">
        <v>72</v>
      </c>
      <c r="B90" s="99">
        <f t="shared" si="4"/>
        <v>80</v>
      </c>
      <c r="C90" s="10" t="s">
        <v>92</v>
      </c>
      <c r="D90" s="100" t="s">
        <v>124</v>
      </c>
      <c r="E90" s="101"/>
      <c r="F90" s="19" t="s">
        <v>106</v>
      </c>
      <c r="G90" s="72" t="s">
        <v>205</v>
      </c>
      <c r="H90" s="77">
        <v>3</v>
      </c>
      <c r="I90" s="75">
        <v>1</v>
      </c>
      <c r="J90" s="75">
        <v>2</v>
      </c>
      <c r="K90" s="75">
        <v>2</v>
      </c>
      <c r="L90" s="75">
        <v>1</v>
      </c>
      <c r="M90" s="97">
        <v>725.77</v>
      </c>
      <c r="N90" s="97"/>
      <c r="O90" s="93">
        <f t="shared" si="5"/>
        <v>725.77</v>
      </c>
      <c r="P90" s="123">
        <v>4</v>
      </c>
      <c r="Q90" s="124">
        <v>4</v>
      </c>
      <c r="R90" s="124">
        <v>2</v>
      </c>
      <c r="S90" s="97">
        <v>8161.92</v>
      </c>
      <c r="T90" s="97">
        <v>5032.46</v>
      </c>
      <c r="U90" s="93">
        <f t="shared" si="6"/>
        <v>3129.46</v>
      </c>
    </row>
    <row r="91" spans="1:21" ht="20.100000000000001" customHeight="1" x14ac:dyDescent="0.25">
      <c r="A91" s="110">
        <v>73</v>
      </c>
      <c r="B91" s="99">
        <f t="shared" si="4"/>
        <v>81</v>
      </c>
      <c r="C91" s="11" t="s">
        <v>93</v>
      </c>
      <c r="D91" s="100" t="s">
        <v>124</v>
      </c>
      <c r="E91" s="101"/>
      <c r="F91" s="17" t="s">
        <v>122</v>
      </c>
      <c r="G91" s="72" t="s">
        <v>206</v>
      </c>
      <c r="H91" s="77">
        <v>15</v>
      </c>
      <c r="I91" s="75">
        <v>12</v>
      </c>
      <c r="J91" s="75">
        <v>21</v>
      </c>
      <c r="K91" s="75">
        <v>21</v>
      </c>
      <c r="L91" s="75">
        <v>6</v>
      </c>
      <c r="M91" s="97">
        <v>2814.78</v>
      </c>
      <c r="N91" s="97"/>
      <c r="O91" s="93">
        <f t="shared" si="5"/>
        <v>2814.78</v>
      </c>
      <c r="P91" s="123">
        <v>8</v>
      </c>
      <c r="Q91" s="124">
        <v>7</v>
      </c>
      <c r="R91" s="124">
        <v>0</v>
      </c>
      <c r="S91" s="97"/>
      <c r="T91" s="97"/>
      <c r="U91" s="93">
        <f t="shared" si="6"/>
        <v>0</v>
      </c>
    </row>
    <row r="92" spans="1:21" ht="20.100000000000001" customHeight="1" x14ac:dyDescent="0.25">
      <c r="A92" s="110">
        <v>74</v>
      </c>
      <c r="B92" s="99">
        <f t="shared" si="4"/>
        <v>82</v>
      </c>
      <c r="C92" s="11" t="s">
        <v>94</v>
      </c>
      <c r="D92" s="100" t="s">
        <v>124</v>
      </c>
      <c r="E92" s="101"/>
      <c r="F92" s="19" t="s">
        <v>106</v>
      </c>
      <c r="G92" s="72" t="s">
        <v>218</v>
      </c>
      <c r="H92" s="77">
        <v>8</v>
      </c>
      <c r="I92" s="75">
        <v>4</v>
      </c>
      <c r="J92" s="75">
        <v>5</v>
      </c>
      <c r="K92" s="75">
        <v>5</v>
      </c>
      <c r="L92" s="75">
        <v>1</v>
      </c>
      <c r="M92" s="97">
        <v>1255.05</v>
      </c>
      <c r="N92" s="97"/>
      <c r="O92" s="93">
        <f t="shared" si="5"/>
        <v>1255.05</v>
      </c>
      <c r="P92" s="123">
        <v>6</v>
      </c>
      <c r="Q92" s="124">
        <v>6</v>
      </c>
      <c r="R92" s="124">
        <v>4</v>
      </c>
      <c r="S92" s="97">
        <v>6219.66</v>
      </c>
      <c r="T92" s="97"/>
      <c r="U92" s="93">
        <f t="shared" si="6"/>
        <v>6219.66</v>
      </c>
    </row>
    <row r="93" spans="1:21" ht="20.100000000000001" customHeight="1" x14ac:dyDescent="0.25">
      <c r="A93" s="110">
        <v>75</v>
      </c>
      <c r="B93" s="99">
        <f t="shared" si="4"/>
        <v>83</v>
      </c>
      <c r="C93" s="11" t="s">
        <v>95</v>
      </c>
      <c r="D93" s="100" t="s">
        <v>124</v>
      </c>
      <c r="E93" s="101"/>
      <c r="F93" s="19" t="s">
        <v>123</v>
      </c>
      <c r="G93" s="72" t="s">
        <v>217</v>
      </c>
      <c r="H93" s="77">
        <v>10</v>
      </c>
      <c r="I93" s="75">
        <v>4</v>
      </c>
      <c r="J93" s="75">
        <v>6</v>
      </c>
      <c r="K93" s="75">
        <v>6</v>
      </c>
      <c r="L93" s="75">
        <v>5</v>
      </c>
      <c r="M93" s="97">
        <v>2301.54</v>
      </c>
      <c r="N93" s="97"/>
      <c r="O93" s="93">
        <f t="shared" si="5"/>
        <v>2301.54</v>
      </c>
      <c r="P93" s="123">
        <v>1</v>
      </c>
      <c r="Q93" s="124">
        <v>1</v>
      </c>
      <c r="R93" s="124">
        <v>1</v>
      </c>
      <c r="S93" s="97">
        <v>206.7</v>
      </c>
      <c r="T93" s="97">
        <v>206.7</v>
      </c>
      <c r="U93" s="93">
        <f t="shared" si="6"/>
        <v>0</v>
      </c>
    </row>
    <row r="94" spans="1:21" ht="20.100000000000001" customHeight="1" x14ac:dyDescent="0.25">
      <c r="A94" s="110">
        <v>76</v>
      </c>
      <c r="B94" s="99">
        <f t="shared" si="4"/>
        <v>84</v>
      </c>
      <c r="C94" s="11" t="s">
        <v>96</v>
      </c>
      <c r="D94" s="100" t="s">
        <v>124</v>
      </c>
      <c r="E94" s="101"/>
      <c r="F94" s="22" t="s">
        <v>112</v>
      </c>
      <c r="G94" s="72" t="s">
        <v>216</v>
      </c>
      <c r="H94" s="77">
        <v>22</v>
      </c>
      <c r="I94" s="75">
        <v>11</v>
      </c>
      <c r="J94" s="75">
        <v>14</v>
      </c>
      <c r="K94" s="75">
        <v>10</v>
      </c>
      <c r="L94" s="75">
        <v>10</v>
      </c>
      <c r="M94" s="97">
        <v>4236.8100000000004</v>
      </c>
      <c r="N94" s="97"/>
      <c r="O94" s="93">
        <f t="shared" si="5"/>
        <v>4236.8100000000004</v>
      </c>
      <c r="P94" s="123">
        <v>7</v>
      </c>
      <c r="Q94" s="124">
        <v>5</v>
      </c>
      <c r="R94" s="124">
        <v>5</v>
      </c>
      <c r="S94" s="97">
        <f>5838.31+135.69</f>
        <v>5974</v>
      </c>
      <c r="T94" s="97">
        <v>5838.31</v>
      </c>
      <c r="U94" s="93">
        <f t="shared" si="6"/>
        <v>135.6899999999996</v>
      </c>
    </row>
    <row r="95" spans="1:21" ht="20.100000000000001" customHeight="1" x14ac:dyDescent="0.25">
      <c r="A95" s="110">
        <v>77</v>
      </c>
      <c r="B95" s="99">
        <f t="shared" si="4"/>
        <v>85</v>
      </c>
      <c r="C95" s="11" t="s">
        <v>97</v>
      </c>
      <c r="D95" s="100" t="s">
        <v>124</v>
      </c>
      <c r="E95" s="101"/>
      <c r="F95" s="17" t="s">
        <v>111</v>
      </c>
      <c r="G95" s="72" t="s">
        <v>215</v>
      </c>
      <c r="H95" s="77">
        <v>12</v>
      </c>
      <c r="I95" s="75">
        <v>4</v>
      </c>
      <c r="J95" s="75">
        <v>5</v>
      </c>
      <c r="K95" s="75">
        <v>4</v>
      </c>
      <c r="L95" s="75">
        <v>4</v>
      </c>
      <c r="M95" s="97">
        <v>3291.36</v>
      </c>
      <c r="N95" s="97"/>
      <c r="O95" s="93">
        <f t="shared" si="5"/>
        <v>3291.36</v>
      </c>
      <c r="P95" s="123">
        <v>19</v>
      </c>
      <c r="Q95" s="124">
        <v>19</v>
      </c>
      <c r="R95" s="124">
        <v>19</v>
      </c>
      <c r="S95" s="97">
        <f>18253.04+4245.2</f>
        <v>22498.240000000002</v>
      </c>
      <c r="T95" s="97">
        <v>18253.04</v>
      </c>
      <c r="U95" s="93">
        <f t="shared" si="6"/>
        <v>4245.2000000000007</v>
      </c>
    </row>
    <row r="96" spans="1:21" ht="20.100000000000001" customHeight="1" x14ac:dyDescent="0.25">
      <c r="A96" s="110">
        <v>78</v>
      </c>
      <c r="B96" s="99">
        <f t="shared" si="4"/>
        <v>86</v>
      </c>
      <c r="C96" s="10" t="s">
        <v>98</v>
      </c>
      <c r="D96" s="100" t="s">
        <v>124</v>
      </c>
      <c r="E96" s="101"/>
      <c r="F96" s="19" t="s">
        <v>106</v>
      </c>
      <c r="G96" s="72" t="s">
        <v>214</v>
      </c>
      <c r="H96" s="77">
        <v>14</v>
      </c>
      <c r="I96" s="75">
        <v>3</v>
      </c>
      <c r="J96" s="75">
        <v>3</v>
      </c>
      <c r="K96" s="75">
        <v>3</v>
      </c>
      <c r="L96" s="75">
        <v>1</v>
      </c>
      <c r="M96" s="97">
        <v>413.4</v>
      </c>
      <c r="N96" s="97">
        <v>413.4</v>
      </c>
      <c r="O96" s="93">
        <f t="shared" si="5"/>
        <v>0</v>
      </c>
      <c r="P96" s="123">
        <v>9</v>
      </c>
      <c r="Q96" s="124">
        <v>9</v>
      </c>
      <c r="R96" s="124">
        <v>9</v>
      </c>
      <c r="S96" s="97">
        <v>22276.25</v>
      </c>
      <c r="T96" s="97">
        <v>22276.25</v>
      </c>
      <c r="U96" s="93">
        <f t="shared" si="6"/>
        <v>0</v>
      </c>
    </row>
    <row r="97" spans="1:27" ht="20.100000000000001" customHeight="1" x14ac:dyDescent="0.25">
      <c r="A97" s="110">
        <v>80</v>
      </c>
      <c r="B97" s="99">
        <f t="shared" si="4"/>
        <v>87</v>
      </c>
      <c r="C97" s="10" t="s">
        <v>129</v>
      </c>
      <c r="D97" s="100" t="s">
        <v>124</v>
      </c>
      <c r="E97" s="101"/>
      <c r="F97" s="19" t="s">
        <v>106</v>
      </c>
      <c r="G97" s="72" t="s">
        <v>212</v>
      </c>
      <c r="H97" s="77">
        <v>5</v>
      </c>
      <c r="I97" s="75"/>
      <c r="J97" s="75"/>
      <c r="K97" s="75"/>
      <c r="L97" s="75"/>
      <c r="M97" s="97"/>
      <c r="N97" s="97"/>
      <c r="O97" s="93">
        <f t="shared" si="5"/>
        <v>0</v>
      </c>
      <c r="P97" s="123"/>
      <c r="Q97" s="124"/>
      <c r="R97" s="124"/>
      <c r="S97" s="97"/>
      <c r="T97" s="97"/>
      <c r="U97" s="93">
        <f t="shared" si="6"/>
        <v>0</v>
      </c>
    </row>
    <row r="98" spans="1:27" ht="20.100000000000001" customHeight="1" x14ac:dyDescent="0.25">
      <c r="A98" s="110">
        <v>79</v>
      </c>
      <c r="B98" s="99">
        <f t="shared" si="4"/>
        <v>88</v>
      </c>
      <c r="C98" s="10" t="s">
        <v>99</v>
      </c>
      <c r="D98" s="100" t="s">
        <v>124</v>
      </c>
      <c r="E98" s="101"/>
      <c r="F98" s="19" t="s">
        <v>106</v>
      </c>
      <c r="G98" s="72" t="s">
        <v>213</v>
      </c>
      <c r="H98" s="77">
        <v>6</v>
      </c>
      <c r="I98" s="75">
        <v>3</v>
      </c>
      <c r="J98" s="75">
        <v>3</v>
      </c>
      <c r="K98" s="75">
        <v>3</v>
      </c>
      <c r="L98" s="75">
        <v>2</v>
      </c>
      <c r="M98" s="97">
        <v>1545.67</v>
      </c>
      <c r="N98" s="97">
        <v>408.82</v>
      </c>
      <c r="O98" s="93">
        <f t="shared" si="5"/>
        <v>1136.8500000000001</v>
      </c>
      <c r="P98" s="123">
        <v>4</v>
      </c>
      <c r="Q98" s="124">
        <v>4</v>
      </c>
      <c r="R98" s="124">
        <v>4</v>
      </c>
      <c r="S98" s="97">
        <v>1744.35</v>
      </c>
      <c r="T98" s="97">
        <v>822.22</v>
      </c>
      <c r="U98" s="93">
        <f t="shared" si="6"/>
        <v>922.12999999999988</v>
      </c>
    </row>
    <row r="99" spans="1:27" ht="20.100000000000001" customHeight="1" x14ac:dyDescent="0.25">
      <c r="A99" s="110">
        <v>81</v>
      </c>
      <c r="B99" s="99">
        <f t="shared" si="4"/>
        <v>89</v>
      </c>
      <c r="C99" s="13" t="s">
        <v>100</v>
      </c>
      <c r="D99" s="100" t="s">
        <v>124</v>
      </c>
      <c r="E99" s="101"/>
      <c r="F99" s="19" t="s">
        <v>106</v>
      </c>
      <c r="G99" s="72" t="s">
        <v>211</v>
      </c>
      <c r="H99" s="77">
        <v>9</v>
      </c>
      <c r="I99" s="75">
        <v>2</v>
      </c>
      <c r="J99" s="75">
        <v>2</v>
      </c>
      <c r="K99" s="75">
        <v>2</v>
      </c>
      <c r="L99" s="75"/>
      <c r="M99" s="97"/>
      <c r="N99" s="97"/>
      <c r="O99" s="93">
        <f t="shared" si="5"/>
        <v>0</v>
      </c>
      <c r="P99" s="123">
        <v>6</v>
      </c>
      <c r="Q99" s="124">
        <v>6</v>
      </c>
      <c r="R99" s="124">
        <v>5</v>
      </c>
      <c r="S99" s="97">
        <v>6457</v>
      </c>
      <c r="T99" s="97">
        <v>6457</v>
      </c>
      <c r="U99" s="93">
        <f t="shared" si="6"/>
        <v>0</v>
      </c>
    </row>
    <row r="100" spans="1:27" ht="20.100000000000001" customHeight="1" x14ac:dyDescent="0.25">
      <c r="A100" s="110">
        <v>82</v>
      </c>
      <c r="B100" s="99">
        <f t="shared" si="4"/>
        <v>90</v>
      </c>
      <c r="C100" s="13" t="s">
        <v>101</v>
      </c>
      <c r="D100" s="100" t="s">
        <v>124</v>
      </c>
      <c r="E100" s="101"/>
      <c r="F100" s="17" t="s">
        <v>106</v>
      </c>
      <c r="G100" s="72" t="s">
        <v>210</v>
      </c>
      <c r="H100" s="77">
        <v>8</v>
      </c>
      <c r="I100" s="75">
        <v>1</v>
      </c>
      <c r="J100" s="75">
        <v>1</v>
      </c>
      <c r="K100" s="75">
        <v>1</v>
      </c>
      <c r="L100" s="75"/>
      <c r="M100" s="97"/>
      <c r="N100" s="97"/>
      <c r="O100" s="93">
        <f t="shared" si="5"/>
        <v>0</v>
      </c>
      <c r="P100" s="123">
        <v>6</v>
      </c>
      <c r="Q100" s="124">
        <v>6</v>
      </c>
      <c r="R100" s="124">
        <v>6</v>
      </c>
      <c r="S100" s="97">
        <v>5077.71</v>
      </c>
      <c r="T100" s="97">
        <v>2190.71</v>
      </c>
      <c r="U100" s="93">
        <f t="shared" si="6"/>
        <v>2887</v>
      </c>
    </row>
    <row r="101" spans="1:27" ht="20.100000000000001" customHeight="1" x14ac:dyDescent="0.25">
      <c r="A101" s="110">
        <v>83</v>
      </c>
      <c r="B101" s="99">
        <f t="shared" si="4"/>
        <v>91</v>
      </c>
      <c r="C101" s="13" t="s">
        <v>102</v>
      </c>
      <c r="D101" s="100" t="s">
        <v>124</v>
      </c>
      <c r="E101" s="101"/>
      <c r="F101" s="17" t="s">
        <v>106</v>
      </c>
      <c r="G101" s="72" t="s">
        <v>209</v>
      </c>
      <c r="H101" s="77">
        <v>11</v>
      </c>
      <c r="I101" s="75">
        <v>5</v>
      </c>
      <c r="J101" s="75">
        <v>6</v>
      </c>
      <c r="K101" s="75">
        <v>6</v>
      </c>
      <c r="L101" s="75">
        <v>4</v>
      </c>
      <c r="M101" s="97">
        <v>4459.37</v>
      </c>
      <c r="N101" s="97">
        <v>2669.35</v>
      </c>
      <c r="O101" s="93">
        <f t="shared" si="5"/>
        <v>1790.02</v>
      </c>
      <c r="P101" s="123">
        <v>7</v>
      </c>
      <c r="Q101" s="124">
        <v>7</v>
      </c>
      <c r="R101" s="124">
        <v>7</v>
      </c>
      <c r="S101" s="97">
        <v>4232.91</v>
      </c>
      <c r="T101" s="97">
        <v>2274.39</v>
      </c>
      <c r="U101" s="93">
        <f t="shared" si="6"/>
        <v>1958.52</v>
      </c>
    </row>
    <row r="102" spans="1:27" ht="20.100000000000001" customHeight="1" x14ac:dyDescent="0.25">
      <c r="A102" s="110">
        <v>84</v>
      </c>
      <c r="B102" s="99">
        <f t="shared" si="4"/>
        <v>92</v>
      </c>
      <c r="C102" s="11" t="s">
        <v>103</v>
      </c>
      <c r="D102" s="100" t="s">
        <v>124</v>
      </c>
      <c r="E102" s="101"/>
      <c r="F102" s="22" t="s">
        <v>112</v>
      </c>
      <c r="G102" s="72" t="s">
        <v>208</v>
      </c>
      <c r="H102" s="77">
        <v>24</v>
      </c>
      <c r="I102" s="75">
        <v>6</v>
      </c>
      <c r="J102" s="75">
        <v>7</v>
      </c>
      <c r="K102" s="75">
        <v>6</v>
      </c>
      <c r="L102" s="75">
        <v>6</v>
      </c>
      <c r="M102" s="97">
        <f>234.26+3190.4</f>
        <v>3424.66</v>
      </c>
      <c r="N102" s="97"/>
      <c r="O102" s="93">
        <f t="shared" si="5"/>
        <v>3424.66</v>
      </c>
      <c r="P102" s="123">
        <v>17</v>
      </c>
      <c r="Q102" s="124">
        <v>13</v>
      </c>
      <c r="R102" s="124">
        <v>13</v>
      </c>
      <c r="S102" s="97">
        <f>16946.83+3092.58</f>
        <v>20039.410000000003</v>
      </c>
      <c r="T102" s="97">
        <v>6585.82</v>
      </c>
      <c r="U102" s="93">
        <f t="shared" si="6"/>
        <v>13453.590000000004</v>
      </c>
    </row>
    <row r="103" spans="1:27" ht="20.100000000000001" customHeight="1" thickBot="1" x14ac:dyDescent="0.3">
      <c r="A103" s="110">
        <v>85</v>
      </c>
      <c r="B103" s="99">
        <f t="shared" si="4"/>
        <v>93</v>
      </c>
      <c r="C103" s="30" t="s">
        <v>104</v>
      </c>
      <c r="D103" s="107" t="s">
        <v>124</v>
      </c>
      <c r="E103" s="108"/>
      <c r="F103" s="33" t="s">
        <v>106</v>
      </c>
      <c r="G103" s="72" t="s">
        <v>207</v>
      </c>
      <c r="H103" s="84">
        <v>3</v>
      </c>
      <c r="I103" s="83">
        <v>1</v>
      </c>
      <c r="J103" s="83">
        <v>1</v>
      </c>
      <c r="K103" s="83">
        <v>1</v>
      </c>
      <c r="L103" s="83">
        <v>1</v>
      </c>
      <c r="M103" s="98">
        <v>137.80000000000001</v>
      </c>
      <c r="N103" s="98">
        <v>137.80000000000001</v>
      </c>
      <c r="O103" s="93">
        <f t="shared" si="5"/>
        <v>0</v>
      </c>
      <c r="P103" s="125">
        <v>3</v>
      </c>
      <c r="Q103" s="126">
        <v>3</v>
      </c>
      <c r="R103" s="126">
        <v>3</v>
      </c>
      <c r="S103" s="98">
        <v>1193.3</v>
      </c>
      <c r="T103" s="98">
        <v>1193.3</v>
      </c>
      <c r="U103" s="93">
        <f t="shared" si="6"/>
        <v>0</v>
      </c>
    </row>
    <row r="104" spans="1:27" ht="20.100000000000001" customHeight="1" x14ac:dyDescent="0.25">
      <c r="B104" s="343"/>
      <c r="C104" s="343"/>
      <c r="D104" s="343"/>
      <c r="E104" s="343"/>
      <c r="F104" s="343"/>
      <c r="G104" s="343"/>
      <c r="H104" s="86">
        <f t="shared" ref="H104:O104" si="7">SUM(H10:H103)</f>
        <v>746</v>
      </c>
      <c r="I104" s="86">
        <f t="shared" si="7"/>
        <v>306</v>
      </c>
      <c r="J104" s="86">
        <f t="shared" si="7"/>
        <v>377</v>
      </c>
      <c r="K104" s="86">
        <f t="shared" si="7"/>
        <v>356</v>
      </c>
      <c r="L104" s="86">
        <f t="shared" si="7"/>
        <v>253</v>
      </c>
      <c r="M104" s="91">
        <f t="shared" si="7"/>
        <v>162817.62999999995</v>
      </c>
      <c r="N104" s="91">
        <f t="shared" si="7"/>
        <v>34381.610000000015</v>
      </c>
      <c r="O104" s="91">
        <f t="shared" si="7"/>
        <v>128436.02</v>
      </c>
      <c r="P104" s="127">
        <f>SUM(P10:P103)</f>
        <v>506</v>
      </c>
      <c r="Q104" s="127">
        <f>SUM(Q10:Q103)</f>
        <v>481</v>
      </c>
      <c r="R104" s="127">
        <f>SUM(R11:R103)</f>
        <v>428</v>
      </c>
      <c r="S104" s="91">
        <f>SUM(S10:S103)</f>
        <v>594130.16000000015</v>
      </c>
      <c r="T104" s="91">
        <f>SUM(T10:T103)</f>
        <v>320781.75000000006</v>
      </c>
      <c r="U104" s="92">
        <f>SUM(U10:U103)</f>
        <v>273348.40999999997</v>
      </c>
      <c r="W104" s="59">
        <f>O104+U104</f>
        <v>401784.43</v>
      </c>
      <c r="Y104" s="59">
        <f>M104+S104</f>
        <v>756947.79</v>
      </c>
      <c r="AA104" s="59">
        <f>N104+T104</f>
        <v>355163.3600000001</v>
      </c>
    </row>
    <row r="106" spans="1:27" x14ac:dyDescent="0.25">
      <c r="W106" s="59">
        <f>O104+U104</f>
        <v>401784.43</v>
      </c>
    </row>
  </sheetData>
  <mergeCells count="8">
    <mergeCell ref="B104:G104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6">
    <cfRule type="cellIs" dxfId="435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7"/>
  <sheetViews>
    <sheetView topLeftCell="H93" zoomScale="82" zoomScaleNormal="82" workbookViewId="0">
      <selection activeCell="V105" sqref="V105:AG105"/>
    </sheetView>
  </sheetViews>
  <sheetFormatPr defaultRowHeight="15" x14ac:dyDescent="0.25"/>
  <cols>
    <col min="1" max="1" width="9.140625" style="110" hidden="1" customWidth="1"/>
    <col min="2" max="2" width="9.140625" style="55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9.5703125" style="109" bestFit="1" customWidth="1"/>
    <col min="15" max="15" width="12.28515625" style="109" customWidth="1"/>
    <col min="16" max="18" width="9.140625" style="109" customWidth="1"/>
    <col min="19" max="19" width="14" style="109" customWidth="1"/>
    <col min="20" max="20" width="10.7109375" style="109" bestFit="1" customWidth="1"/>
    <col min="21" max="21" width="10.7109375" style="133" bestFit="1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3" width="10.28515625" style="134" bestFit="1" customWidth="1"/>
    <col min="34" max="34" width="9.140625" style="134" customWidth="1"/>
    <col min="35" max="37" width="0" style="134" hidden="1" customWidth="1"/>
    <col min="38" max="42" width="9.140625" style="134" customWidth="1"/>
  </cols>
  <sheetData>
    <row r="1" spans="1:40" ht="15.7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256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5.7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257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ht="15.75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10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15</v>
      </c>
      <c r="I10" s="75">
        <v>3</v>
      </c>
      <c r="J10" s="75">
        <v>3</v>
      </c>
      <c r="K10" s="75">
        <v>3</v>
      </c>
      <c r="L10" s="75">
        <v>3</v>
      </c>
      <c r="M10" s="97">
        <f>1033.5+1418.08</f>
        <v>2451.58</v>
      </c>
      <c r="N10" s="97">
        <v>1033.5</v>
      </c>
      <c r="O10" s="93">
        <f xml:space="preserve"> (M10-N10)</f>
        <v>1418.08</v>
      </c>
      <c r="P10" s="123">
        <v>6</v>
      </c>
      <c r="Q10" s="124">
        <v>6</v>
      </c>
      <c r="R10" s="124">
        <v>6</v>
      </c>
      <c r="S10" s="97">
        <v>4246.75</v>
      </c>
      <c r="T10" s="131">
        <v>4246.75</v>
      </c>
      <c r="U10" s="97">
        <f xml:space="preserve"> (S10-T10)</f>
        <v>0</v>
      </c>
      <c r="V10" s="135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10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3</v>
      </c>
      <c r="I11" s="75">
        <v>1</v>
      </c>
      <c r="J11" s="75">
        <v>1</v>
      </c>
      <c r="K11" s="75">
        <v>1</v>
      </c>
      <c r="L11" s="75">
        <v>1</v>
      </c>
      <c r="M11" s="97"/>
      <c r="N11" s="97"/>
      <c r="O11" s="93">
        <f t="shared" ref="O11:O75" si="1" xml:space="preserve"> (M11-N11)</f>
        <v>0</v>
      </c>
      <c r="P11" s="123">
        <v>2</v>
      </c>
      <c r="Q11" s="124">
        <v>2</v>
      </c>
      <c r="R11" s="124">
        <v>1</v>
      </c>
      <c r="S11" s="97">
        <v>234.26</v>
      </c>
      <c r="T11" s="131">
        <v>234.26</v>
      </c>
      <c r="U11" s="97">
        <f t="shared" ref="U11:U75" si="2" xml:space="preserve"> (S11-T11)</f>
        <v>0</v>
      </c>
      <c r="V11" s="135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10" t="s">
        <v>241</v>
      </c>
      <c r="B12" s="99">
        <f t="shared" ref="B12:B75" si="3">B11+1</f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2</v>
      </c>
      <c r="S12" s="97">
        <v>1548.67</v>
      </c>
      <c r="T12" s="131">
        <v>1548.67</v>
      </c>
      <c r="U12" s="97">
        <f t="shared" si="2"/>
        <v>0</v>
      </c>
      <c r="V12" s="14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10">
        <v>7</v>
      </c>
      <c r="B13" s="99">
        <f t="shared" si="3"/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7</v>
      </c>
      <c r="I13" s="75">
        <v>4</v>
      </c>
      <c r="J13" s="75">
        <v>5</v>
      </c>
      <c r="K13" s="75">
        <v>5</v>
      </c>
      <c r="L13" s="75">
        <v>5</v>
      </c>
      <c r="M13" s="97">
        <f>272.84+2699.54</f>
        <v>2972.38</v>
      </c>
      <c r="N13" s="97">
        <v>272.83999999999997</v>
      </c>
      <c r="O13" s="93">
        <f t="shared" si="1"/>
        <v>2699.54</v>
      </c>
      <c r="P13" s="123">
        <v>4</v>
      </c>
      <c r="Q13" s="124">
        <v>4</v>
      </c>
      <c r="R13" s="124">
        <v>4</v>
      </c>
      <c r="S13" s="97">
        <f>7385.53+1228.66</f>
        <v>8614.19</v>
      </c>
      <c r="T13" s="131">
        <v>7385.53</v>
      </c>
      <c r="U13" s="97">
        <f t="shared" si="2"/>
        <v>1228.6600000000008</v>
      </c>
      <c r="V13" s="14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10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13</v>
      </c>
      <c r="I14" s="75">
        <v>7</v>
      </c>
      <c r="J14" s="75">
        <v>8</v>
      </c>
      <c r="K14" s="75">
        <v>7</v>
      </c>
      <c r="L14" s="75">
        <v>2</v>
      </c>
      <c r="M14" s="97">
        <v>2277.13</v>
      </c>
      <c r="N14" s="97">
        <v>2277.13</v>
      </c>
      <c r="O14" s="93">
        <f t="shared" si="1"/>
        <v>0</v>
      </c>
      <c r="P14" s="123">
        <v>5</v>
      </c>
      <c r="Q14" s="124">
        <v>4</v>
      </c>
      <c r="R14" s="124">
        <v>3</v>
      </c>
      <c r="S14" s="97">
        <v>1800.7</v>
      </c>
      <c r="T14" s="131">
        <v>1800.7</v>
      </c>
      <c r="U14" s="97">
        <f t="shared" si="2"/>
        <v>0</v>
      </c>
      <c r="V14" s="135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10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12</v>
      </c>
      <c r="I15" s="75">
        <v>6</v>
      </c>
      <c r="J15" s="75">
        <v>9</v>
      </c>
      <c r="K15" s="75">
        <v>9</v>
      </c>
      <c r="L15" s="75">
        <v>3</v>
      </c>
      <c r="M15" s="97">
        <v>3475.33</v>
      </c>
      <c r="N15" s="97"/>
      <c r="O15" s="93">
        <f t="shared" si="1"/>
        <v>3475.33</v>
      </c>
      <c r="P15" s="123">
        <v>11</v>
      </c>
      <c r="Q15" s="124">
        <v>11</v>
      </c>
      <c r="R15" s="124">
        <v>8</v>
      </c>
      <c r="S15" s="97">
        <v>9375.69</v>
      </c>
      <c r="T15" s="131">
        <v>4569.41</v>
      </c>
      <c r="U15" s="97">
        <f t="shared" si="2"/>
        <v>4806.2800000000007</v>
      </c>
      <c r="V15" s="135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10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131"/>
      <c r="U16" s="97">
        <f t="shared" si="2"/>
        <v>0</v>
      </c>
      <c r="V16" s="135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10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6</v>
      </c>
      <c r="I17" s="75">
        <v>2</v>
      </c>
      <c r="J17" s="75">
        <v>2</v>
      </c>
      <c r="K17" s="75"/>
      <c r="L17" s="75"/>
      <c r="M17" s="97"/>
      <c r="N17" s="97"/>
      <c r="O17" s="93">
        <f t="shared" si="1"/>
        <v>0</v>
      </c>
      <c r="P17" s="123">
        <v>1</v>
      </c>
      <c r="Q17" s="124"/>
      <c r="R17" s="124"/>
      <c r="S17" s="97"/>
      <c r="T17" s="131"/>
      <c r="U17" s="97">
        <f t="shared" si="2"/>
        <v>0</v>
      </c>
      <c r="V17" s="135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10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2</v>
      </c>
      <c r="I18" s="75"/>
      <c r="J18" s="75"/>
      <c r="K18" s="75"/>
      <c r="L18" s="75"/>
      <c r="M18" s="97"/>
      <c r="N18" s="97"/>
      <c r="O18" s="93">
        <f t="shared" si="1"/>
        <v>0</v>
      </c>
      <c r="P18" s="123">
        <v>5</v>
      </c>
      <c r="Q18" s="124">
        <v>3</v>
      </c>
      <c r="R18" s="124">
        <v>3</v>
      </c>
      <c r="S18" s="97">
        <v>14748.55</v>
      </c>
      <c r="T18" s="131">
        <v>14748.55</v>
      </c>
      <c r="U18" s="97">
        <f t="shared" si="2"/>
        <v>0</v>
      </c>
      <c r="V18" s="135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10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15</v>
      </c>
      <c r="I19" s="75">
        <v>6</v>
      </c>
      <c r="J19" s="75">
        <v>9</v>
      </c>
      <c r="K19" s="75">
        <v>9</v>
      </c>
      <c r="L19" s="75">
        <v>6</v>
      </c>
      <c r="M19" s="97">
        <f>1744.9+542.59</f>
        <v>2287.4900000000002</v>
      </c>
      <c r="N19" s="97">
        <f>749.29</f>
        <v>749.29</v>
      </c>
      <c r="O19" s="93">
        <f t="shared" si="1"/>
        <v>1538.2000000000003</v>
      </c>
      <c r="P19" s="123">
        <v>11</v>
      </c>
      <c r="Q19" s="124">
        <v>11</v>
      </c>
      <c r="R19" s="124">
        <v>9</v>
      </c>
      <c r="S19" s="97">
        <f>12589.36+4299.58</f>
        <v>16888.940000000002</v>
      </c>
      <c r="T19" s="131">
        <f>9246.57</f>
        <v>9246.57</v>
      </c>
      <c r="U19" s="97">
        <f t="shared" si="2"/>
        <v>7642.3700000000026</v>
      </c>
      <c r="V19" s="143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10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12</v>
      </c>
      <c r="I20" s="75">
        <v>4</v>
      </c>
      <c r="J20" s="75">
        <v>4</v>
      </c>
      <c r="K20" s="75">
        <v>3</v>
      </c>
      <c r="L20" s="75">
        <v>3</v>
      </c>
      <c r="M20" s="97">
        <v>1581.26</v>
      </c>
      <c r="N20" s="97"/>
      <c r="O20" s="93">
        <f t="shared" si="1"/>
        <v>1581.26</v>
      </c>
      <c r="P20" s="123">
        <v>22</v>
      </c>
      <c r="Q20" s="124">
        <v>19</v>
      </c>
      <c r="R20" s="124">
        <v>19</v>
      </c>
      <c r="S20" s="97">
        <f>14391.07+12609.01</f>
        <v>27000.080000000002</v>
      </c>
      <c r="T20" s="131">
        <v>14391.07</v>
      </c>
      <c r="U20" s="97">
        <f t="shared" si="2"/>
        <v>12609.010000000002</v>
      </c>
      <c r="V20" s="14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10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7</v>
      </c>
      <c r="I21" s="75">
        <v>2</v>
      </c>
      <c r="J21" s="75">
        <v>2</v>
      </c>
      <c r="K21" s="75">
        <v>2</v>
      </c>
      <c r="L21" s="75">
        <v>1</v>
      </c>
      <c r="M21" s="97">
        <v>427.18</v>
      </c>
      <c r="N21" s="97">
        <v>427.18</v>
      </c>
      <c r="O21" s="93">
        <f t="shared" si="1"/>
        <v>0</v>
      </c>
      <c r="P21" s="123">
        <v>4</v>
      </c>
      <c r="Q21" s="124">
        <v>4</v>
      </c>
      <c r="R21" s="124">
        <v>2</v>
      </c>
      <c r="S21" s="97">
        <v>5005.45</v>
      </c>
      <c r="T21" s="131">
        <f>1928.2+3077.25</f>
        <v>5005.45</v>
      </c>
      <c r="U21" s="97">
        <f t="shared" si="2"/>
        <v>0</v>
      </c>
      <c r="V21" s="135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10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27</v>
      </c>
      <c r="I22" s="75">
        <v>8</v>
      </c>
      <c r="J22" s="75">
        <v>9</v>
      </c>
      <c r="K22" s="75">
        <v>9</v>
      </c>
      <c r="L22" s="75">
        <v>9</v>
      </c>
      <c r="M22" s="97">
        <f>910.39+3506.19</f>
        <v>4416.58</v>
      </c>
      <c r="N22" s="97">
        <v>910.39</v>
      </c>
      <c r="O22" s="93">
        <f t="shared" si="1"/>
        <v>3506.19</v>
      </c>
      <c r="P22" s="123">
        <v>15</v>
      </c>
      <c r="Q22" s="124">
        <v>15</v>
      </c>
      <c r="R22" s="124">
        <v>15</v>
      </c>
      <c r="S22" s="97">
        <f>16007.48+3068.6</f>
        <v>19076.079999999998</v>
      </c>
      <c r="T22" s="131">
        <f>14006.59+2000.89</f>
        <v>16007.48</v>
      </c>
      <c r="U22" s="97">
        <f t="shared" si="2"/>
        <v>3068.5999999999985</v>
      </c>
      <c r="V22" s="135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10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6</v>
      </c>
      <c r="I23" s="75">
        <v>3</v>
      </c>
      <c r="J23" s="75">
        <v>3</v>
      </c>
      <c r="K23" s="75">
        <v>3</v>
      </c>
      <c r="L23" s="75">
        <v>3</v>
      </c>
      <c r="M23" s="97">
        <f>1852.03+375.16</f>
        <v>2227.19</v>
      </c>
      <c r="N23" s="97">
        <v>1852.03</v>
      </c>
      <c r="O23" s="93">
        <f t="shared" si="1"/>
        <v>375.16000000000008</v>
      </c>
      <c r="P23" s="123">
        <v>11</v>
      </c>
      <c r="Q23" s="124">
        <v>10</v>
      </c>
      <c r="R23" s="124">
        <v>10</v>
      </c>
      <c r="S23" s="97">
        <f>23953.14+1377.56</f>
        <v>25330.7</v>
      </c>
      <c r="T23" s="131">
        <f>13330.21</f>
        <v>13330.21</v>
      </c>
      <c r="U23" s="97">
        <f t="shared" si="2"/>
        <v>12000.490000000002</v>
      </c>
      <c r="V23" s="143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10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12</v>
      </c>
      <c r="I24" s="75">
        <v>6</v>
      </c>
      <c r="J24" s="75">
        <v>6</v>
      </c>
      <c r="K24" s="75">
        <v>5</v>
      </c>
      <c r="L24" s="75">
        <v>5</v>
      </c>
      <c r="M24" s="97">
        <v>1515.11</v>
      </c>
      <c r="N24" s="97"/>
      <c r="O24" s="93">
        <f t="shared" si="1"/>
        <v>1515.11</v>
      </c>
      <c r="P24" s="123">
        <v>6</v>
      </c>
      <c r="Q24" s="124">
        <v>6</v>
      </c>
      <c r="R24" s="124">
        <v>5</v>
      </c>
      <c r="S24" s="97">
        <v>4998.37</v>
      </c>
      <c r="T24" s="131">
        <f>274.6+334.74</f>
        <v>609.34</v>
      </c>
      <c r="U24" s="97">
        <f t="shared" si="2"/>
        <v>4389.03</v>
      </c>
      <c r="V24" s="135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10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10</v>
      </c>
      <c r="I25" s="75">
        <v>8</v>
      </c>
      <c r="J25" s="75">
        <v>8</v>
      </c>
      <c r="K25" s="75">
        <v>8</v>
      </c>
      <c r="L25" s="75">
        <v>2</v>
      </c>
      <c r="M25" s="97">
        <v>2255.39</v>
      </c>
      <c r="N25" s="97">
        <v>2255.39</v>
      </c>
      <c r="O25" s="93">
        <f t="shared" si="1"/>
        <v>0</v>
      </c>
      <c r="P25" s="123">
        <v>21</v>
      </c>
      <c r="Q25" s="124">
        <v>18</v>
      </c>
      <c r="R25" s="124">
        <v>15</v>
      </c>
      <c r="S25" s="97">
        <v>17792.25</v>
      </c>
      <c r="T25" s="131">
        <f>14484.31+3307.94</f>
        <v>17792.25</v>
      </c>
      <c r="U25" s="97">
        <f t="shared" si="2"/>
        <v>0</v>
      </c>
      <c r="V25" s="142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10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13</v>
      </c>
      <c r="I26" s="75"/>
      <c r="J26" s="75"/>
      <c r="K26" s="75"/>
      <c r="L26" s="75"/>
      <c r="M26" s="97"/>
      <c r="N26" s="97"/>
      <c r="O26" s="93">
        <f t="shared" si="1"/>
        <v>0</v>
      </c>
      <c r="P26" s="123"/>
      <c r="Q26" s="124"/>
      <c r="R26" s="124"/>
      <c r="S26" s="97"/>
      <c r="T26" s="131"/>
      <c r="U26" s="97">
        <f t="shared" si="2"/>
        <v>0</v>
      </c>
      <c r="V26" s="135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10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11</v>
      </c>
      <c r="I27" s="75">
        <v>7</v>
      </c>
      <c r="J27" s="75">
        <v>12</v>
      </c>
      <c r="K27" s="75">
        <v>12</v>
      </c>
      <c r="L27" s="75">
        <v>9</v>
      </c>
      <c r="M27" s="97">
        <f>2738.38+1698.1</f>
        <v>4436.4799999999996</v>
      </c>
      <c r="N27" s="97"/>
      <c r="O27" s="93">
        <f t="shared" si="1"/>
        <v>4436.4799999999996</v>
      </c>
      <c r="P27" s="123">
        <v>12</v>
      </c>
      <c r="Q27" s="124">
        <v>12</v>
      </c>
      <c r="R27" s="124">
        <v>12</v>
      </c>
      <c r="S27" s="97">
        <f>11399.36+591.16</f>
        <v>11990.52</v>
      </c>
      <c r="T27" s="131">
        <v>3370.97</v>
      </c>
      <c r="U27" s="97">
        <f t="shared" si="2"/>
        <v>8619.5500000000011</v>
      </c>
      <c r="V27" s="135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131"/>
      <c r="U28" s="97">
        <f t="shared" si="2"/>
        <v>0</v>
      </c>
      <c r="V28" s="135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10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12</v>
      </c>
      <c r="I29" s="75">
        <v>11</v>
      </c>
      <c r="J29" s="75">
        <v>13</v>
      </c>
      <c r="K29" s="75">
        <v>11</v>
      </c>
      <c r="L29" s="75">
        <v>9</v>
      </c>
      <c r="M29" s="97">
        <f>2023.14+2605.8</f>
        <v>4628.9400000000005</v>
      </c>
      <c r="N29" s="97">
        <f>358.28+1664.86</f>
        <v>2023.1399999999999</v>
      </c>
      <c r="O29" s="93">
        <f t="shared" si="1"/>
        <v>2605.8000000000006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131">
        <v>15185.09</v>
      </c>
      <c r="U29" s="97">
        <f t="shared" si="2"/>
        <v>570.43000000000029</v>
      </c>
      <c r="V29" s="143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10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14</v>
      </c>
      <c r="I30" s="75">
        <v>7</v>
      </c>
      <c r="J30" s="75">
        <v>8</v>
      </c>
      <c r="K30" s="75">
        <v>8</v>
      </c>
      <c r="L30" s="75">
        <v>5</v>
      </c>
      <c r="M30" s="97">
        <v>2487.52</v>
      </c>
      <c r="N30" s="97"/>
      <c r="O30" s="93">
        <f t="shared" si="1"/>
        <v>2487.52</v>
      </c>
      <c r="P30" s="123">
        <v>14</v>
      </c>
      <c r="Q30" s="124">
        <v>14</v>
      </c>
      <c r="R30" s="124">
        <v>13</v>
      </c>
      <c r="S30" s="97">
        <f>7176.8+21702.37</f>
        <v>28879.17</v>
      </c>
      <c r="T30" s="131">
        <v>5755.74</v>
      </c>
      <c r="U30" s="97">
        <f t="shared" si="2"/>
        <v>23123.43</v>
      </c>
      <c r="V30" s="14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10">
        <v>20</v>
      </c>
      <c r="B31" s="99"/>
      <c r="C31" s="11" t="s">
        <v>242</v>
      </c>
      <c r="D31" s="100" t="s">
        <v>124</v>
      </c>
      <c r="E31" s="101"/>
      <c r="F31" s="17" t="s">
        <v>117</v>
      </c>
      <c r="G31" s="72" t="s">
        <v>259</v>
      </c>
      <c r="H31" s="77">
        <v>3</v>
      </c>
      <c r="I31" s="75"/>
      <c r="J31" s="75"/>
      <c r="K31" s="75"/>
      <c r="L31" s="75"/>
      <c r="M31" s="97"/>
      <c r="N31" s="97"/>
      <c r="O31" s="93"/>
      <c r="P31" s="123"/>
      <c r="Q31" s="124"/>
      <c r="R31" s="124"/>
      <c r="S31" s="97"/>
      <c r="T31" s="131"/>
      <c r="U31" s="97"/>
      <c r="V31" s="14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A32" s="110">
        <v>23</v>
      </c>
      <c r="B32" s="99">
        <f>B30+1</f>
        <v>22</v>
      </c>
      <c r="C32" s="11" t="s">
        <v>38</v>
      </c>
      <c r="D32" s="100" t="s">
        <v>124</v>
      </c>
      <c r="E32" s="101"/>
      <c r="F32" s="17" t="s">
        <v>106</v>
      </c>
      <c r="G32" s="72" t="s">
        <v>157</v>
      </c>
      <c r="H32" s="77">
        <v>4</v>
      </c>
      <c r="I32" s="75">
        <v>1</v>
      </c>
      <c r="J32" s="75">
        <v>2</v>
      </c>
      <c r="K32" s="75">
        <v>2</v>
      </c>
      <c r="L32" s="75"/>
      <c r="M32" s="97"/>
      <c r="N32" s="97"/>
      <c r="O32" s="93">
        <f t="shared" si="1"/>
        <v>0</v>
      </c>
      <c r="P32" s="123">
        <v>2</v>
      </c>
      <c r="Q32" s="124">
        <v>2</v>
      </c>
      <c r="R32" s="124">
        <v>1</v>
      </c>
      <c r="S32" s="97">
        <v>442.37</v>
      </c>
      <c r="T32" s="131">
        <v>442.37</v>
      </c>
      <c r="U32" s="97">
        <f t="shared" si="2"/>
        <v>0</v>
      </c>
      <c r="V32" s="14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B33" s="99">
        <f t="shared" si="3"/>
        <v>23</v>
      </c>
      <c r="C33" s="10" t="s">
        <v>39</v>
      </c>
      <c r="D33" s="100" t="s">
        <v>124</v>
      </c>
      <c r="E33" s="101"/>
      <c r="F33" s="10" t="s">
        <v>105</v>
      </c>
      <c r="G33" s="72" t="s">
        <v>220</v>
      </c>
      <c r="H33" s="77"/>
      <c r="I33" s="75"/>
      <c r="J33" s="75"/>
      <c r="K33" s="75"/>
      <c r="L33" s="75"/>
      <c r="M33" s="97"/>
      <c r="N33" s="97"/>
      <c r="O33" s="93">
        <f t="shared" si="1"/>
        <v>0</v>
      </c>
      <c r="P33" s="123"/>
      <c r="Q33" s="124"/>
      <c r="R33" s="124"/>
      <c r="S33" s="97"/>
      <c r="T33" s="131"/>
      <c r="U33" s="97">
        <f t="shared" si="2"/>
        <v>0</v>
      </c>
      <c r="V33" s="135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10">
        <v>86</v>
      </c>
      <c r="B34" s="99">
        <f t="shared" si="3"/>
        <v>24</v>
      </c>
      <c r="C34" s="10" t="s">
        <v>137</v>
      </c>
      <c r="D34" s="100" t="s">
        <v>124</v>
      </c>
      <c r="E34" s="101"/>
      <c r="F34" s="17" t="s">
        <v>106</v>
      </c>
      <c r="G34" s="72" t="s">
        <v>158</v>
      </c>
      <c r="H34" s="77">
        <v>7</v>
      </c>
      <c r="I34" s="75">
        <v>4</v>
      </c>
      <c r="J34" s="75">
        <v>4</v>
      </c>
      <c r="K34" s="75">
        <v>3</v>
      </c>
      <c r="L34" s="75"/>
      <c r="M34" s="97"/>
      <c r="N34" s="97"/>
      <c r="O34" s="93">
        <f t="shared" si="1"/>
        <v>0</v>
      </c>
      <c r="P34" s="123"/>
      <c r="Q34" s="124"/>
      <c r="R34" s="124"/>
      <c r="S34" s="97"/>
      <c r="T34" s="131"/>
      <c r="U34" s="97">
        <f t="shared" si="2"/>
        <v>0</v>
      </c>
      <c r="V34" s="135"/>
      <c r="W34" s="136"/>
      <c r="X34" s="137"/>
      <c r="Y34" s="135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10">
        <v>24</v>
      </c>
      <c r="B35" s="99">
        <f t="shared" si="3"/>
        <v>25</v>
      </c>
      <c r="C35" s="12" t="s">
        <v>40</v>
      </c>
      <c r="D35" s="100" t="s">
        <v>124</v>
      </c>
      <c r="E35" s="101"/>
      <c r="F35" s="19" t="s">
        <v>115</v>
      </c>
      <c r="G35" s="72" t="s">
        <v>159</v>
      </c>
      <c r="H35" s="77">
        <v>8</v>
      </c>
      <c r="I35" s="75">
        <v>6</v>
      </c>
      <c r="J35" s="75">
        <v>11</v>
      </c>
      <c r="K35" s="75">
        <v>11</v>
      </c>
      <c r="L35" s="75">
        <v>8</v>
      </c>
      <c r="M35" s="97">
        <f>1580.26+3633.22</f>
        <v>5213.4799999999996</v>
      </c>
      <c r="N35" s="97">
        <v>1580.26</v>
      </c>
      <c r="O35" s="93">
        <f t="shared" si="1"/>
        <v>3633.2199999999993</v>
      </c>
      <c r="P35" s="123">
        <v>2</v>
      </c>
      <c r="Q35" s="124">
        <v>2</v>
      </c>
      <c r="R35" s="124">
        <v>2</v>
      </c>
      <c r="S35" s="97">
        <v>872.59</v>
      </c>
      <c r="T35" s="131">
        <v>872.59</v>
      </c>
      <c r="U35" s="97">
        <f t="shared" si="2"/>
        <v>0</v>
      </c>
      <c r="V35" s="143"/>
      <c r="W35" s="136"/>
      <c r="X35" s="137"/>
      <c r="Y35" s="143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10">
        <v>25</v>
      </c>
      <c r="B36" s="99">
        <f t="shared" si="3"/>
        <v>26</v>
      </c>
      <c r="C36" s="11" t="s">
        <v>41</v>
      </c>
      <c r="D36" s="100" t="s">
        <v>124</v>
      </c>
      <c r="E36" s="101"/>
      <c r="F36" s="17" t="s">
        <v>106</v>
      </c>
      <c r="G36" s="72" t="s">
        <v>160</v>
      </c>
      <c r="H36" s="77">
        <v>8</v>
      </c>
      <c r="I36" s="75">
        <v>2</v>
      </c>
      <c r="J36" s="75">
        <v>3</v>
      </c>
      <c r="K36" s="75">
        <v>3</v>
      </c>
      <c r="L36" s="75">
        <v>3</v>
      </c>
      <c r="M36" s="97">
        <f>738.32+1081.83</f>
        <v>1820.15</v>
      </c>
      <c r="N36" s="97">
        <v>738.32</v>
      </c>
      <c r="O36" s="93">
        <f t="shared" si="1"/>
        <v>1081.83</v>
      </c>
      <c r="P36" s="123">
        <v>7</v>
      </c>
      <c r="Q36" s="124">
        <v>7</v>
      </c>
      <c r="R36" s="124">
        <v>7</v>
      </c>
      <c r="S36" s="97">
        <f>7876.12+900.18</f>
        <v>8776.2999999999993</v>
      </c>
      <c r="T36" s="131">
        <v>7876.12</v>
      </c>
      <c r="U36" s="97">
        <f t="shared" si="2"/>
        <v>900.17999999999938</v>
      </c>
      <c r="V36" s="14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10">
        <v>87</v>
      </c>
      <c r="B37" s="99">
        <f t="shared" si="3"/>
        <v>27</v>
      </c>
      <c r="C37" s="13" t="s">
        <v>42</v>
      </c>
      <c r="D37" s="100" t="s">
        <v>124</v>
      </c>
      <c r="E37" s="101"/>
      <c r="F37" s="17" t="s">
        <v>106</v>
      </c>
      <c r="G37" s="72" t="s">
        <v>221</v>
      </c>
      <c r="H37" s="77">
        <v>4</v>
      </c>
      <c r="I37" s="75"/>
      <c r="J37" s="75"/>
      <c r="K37" s="75"/>
      <c r="L37" s="75"/>
      <c r="M37" s="97"/>
      <c r="N37" s="97"/>
      <c r="O37" s="93">
        <f t="shared" si="1"/>
        <v>0</v>
      </c>
      <c r="P37" s="123">
        <v>4</v>
      </c>
      <c r="Q37" s="124">
        <v>4</v>
      </c>
      <c r="R37" s="124">
        <v>3</v>
      </c>
      <c r="S37" s="97">
        <v>1436.08</v>
      </c>
      <c r="T37" s="131">
        <v>1436.08</v>
      </c>
      <c r="U37" s="97">
        <f t="shared" si="2"/>
        <v>0</v>
      </c>
      <c r="V37" s="142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10">
        <v>26</v>
      </c>
      <c r="B38" s="99">
        <f t="shared" si="3"/>
        <v>28</v>
      </c>
      <c r="C38" s="13" t="s">
        <v>43</v>
      </c>
      <c r="D38" s="100" t="s">
        <v>124</v>
      </c>
      <c r="E38" s="101"/>
      <c r="F38" s="17" t="s">
        <v>106</v>
      </c>
      <c r="G38" s="72" t="s">
        <v>161</v>
      </c>
      <c r="H38" s="77">
        <v>8</v>
      </c>
      <c r="I38" s="75">
        <v>6</v>
      </c>
      <c r="J38" s="75">
        <v>6</v>
      </c>
      <c r="K38" s="75">
        <v>5</v>
      </c>
      <c r="L38" s="75">
        <v>2</v>
      </c>
      <c r="M38" s="97">
        <v>568.42999999999995</v>
      </c>
      <c r="N38" s="97">
        <v>568.42999999999995</v>
      </c>
      <c r="O38" s="93">
        <f t="shared" si="1"/>
        <v>0</v>
      </c>
      <c r="P38" s="123">
        <v>2</v>
      </c>
      <c r="Q38" s="124">
        <v>1</v>
      </c>
      <c r="R38" s="124">
        <v>1</v>
      </c>
      <c r="S38" s="97">
        <v>552.96</v>
      </c>
      <c r="T38" s="131">
        <v>552.96</v>
      </c>
      <c r="U38" s="97">
        <f t="shared" si="2"/>
        <v>0</v>
      </c>
      <c r="V38" s="142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10">
        <v>27</v>
      </c>
      <c r="B39" s="99">
        <f t="shared" si="3"/>
        <v>29</v>
      </c>
      <c r="C39" s="11" t="s">
        <v>44</v>
      </c>
      <c r="D39" s="100" t="s">
        <v>124</v>
      </c>
      <c r="E39" s="101"/>
      <c r="F39" s="17" t="s">
        <v>105</v>
      </c>
      <c r="G39" s="72" t="s">
        <v>162</v>
      </c>
      <c r="H39" s="77">
        <v>23</v>
      </c>
      <c r="I39" s="75">
        <v>6</v>
      </c>
      <c r="J39" s="75">
        <v>8</v>
      </c>
      <c r="K39" s="75">
        <v>8</v>
      </c>
      <c r="L39" s="75">
        <v>5</v>
      </c>
      <c r="M39" s="97">
        <f>1783.68+344.5</f>
        <v>2128.1800000000003</v>
      </c>
      <c r="N39" s="97"/>
      <c r="O39" s="93">
        <f t="shared" si="1"/>
        <v>2128.1800000000003</v>
      </c>
      <c r="P39" s="123">
        <v>16</v>
      </c>
      <c r="Q39" s="124">
        <v>16</v>
      </c>
      <c r="R39" s="124">
        <v>16</v>
      </c>
      <c r="S39" s="97">
        <f>13233.81+6471.95</f>
        <v>19705.759999999998</v>
      </c>
      <c r="T39" s="131">
        <v>10213.92</v>
      </c>
      <c r="U39" s="97">
        <f t="shared" si="2"/>
        <v>9491.8399999999983</v>
      </c>
      <c r="V39" s="14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10">
        <v>28</v>
      </c>
      <c r="B40" s="99">
        <f t="shared" si="3"/>
        <v>30</v>
      </c>
      <c r="C40" s="11" t="s">
        <v>45</v>
      </c>
      <c r="D40" s="100" t="s">
        <v>124</v>
      </c>
      <c r="E40" s="101"/>
      <c r="F40" s="17" t="s">
        <v>111</v>
      </c>
      <c r="G40" s="72" t="s">
        <v>163</v>
      </c>
      <c r="H40" s="77">
        <v>8</v>
      </c>
      <c r="I40" s="75">
        <v>4</v>
      </c>
      <c r="J40" s="75">
        <v>6</v>
      </c>
      <c r="K40" s="75">
        <v>4</v>
      </c>
      <c r="L40" s="75">
        <v>4</v>
      </c>
      <c r="M40" s="97">
        <f>821.67+1815.65</f>
        <v>2637.32</v>
      </c>
      <c r="N40" s="97">
        <f>821.67</f>
        <v>821.67</v>
      </c>
      <c r="O40" s="93">
        <f t="shared" si="1"/>
        <v>1815.65</v>
      </c>
      <c r="P40" s="123">
        <v>2</v>
      </c>
      <c r="Q40" s="124"/>
      <c r="R40" s="124"/>
      <c r="S40" s="97"/>
      <c r="T40" s="131"/>
      <c r="U40" s="97">
        <f t="shared" si="2"/>
        <v>0</v>
      </c>
      <c r="V40" s="14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10">
        <v>29</v>
      </c>
      <c r="B41" s="99">
        <f>B40+1</f>
        <v>31</v>
      </c>
      <c r="C41" s="10" t="s">
        <v>46</v>
      </c>
      <c r="D41" s="100" t="s">
        <v>124</v>
      </c>
      <c r="E41" s="101"/>
      <c r="F41" s="17" t="s">
        <v>106</v>
      </c>
      <c r="G41" s="72" t="s">
        <v>164</v>
      </c>
      <c r="H41" s="77">
        <v>5</v>
      </c>
      <c r="I41" s="75">
        <v>5</v>
      </c>
      <c r="J41" s="75">
        <v>5</v>
      </c>
      <c r="K41" s="75">
        <v>3</v>
      </c>
      <c r="L41" s="75">
        <v>1</v>
      </c>
      <c r="M41" s="97">
        <v>2273.6999999999998</v>
      </c>
      <c r="N41" s="97">
        <v>2273.6999999999998</v>
      </c>
      <c r="O41" s="93">
        <f t="shared" si="1"/>
        <v>0</v>
      </c>
      <c r="P41" s="123">
        <v>4</v>
      </c>
      <c r="Q41" s="124">
        <v>3</v>
      </c>
      <c r="R41" s="124">
        <v>2</v>
      </c>
      <c r="S41" s="97">
        <v>3996.7</v>
      </c>
      <c r="T41" s="131">
        <v>3996.7</v>
      </c>
      <c r="U41" s="97">
        <f t="shared" si="2"/>
        <v>0</v>
      </c>
      <c r="V41" s="135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10">
        <v>30</v>
      </c>
      <c r="B42" s="99">
        <f t="shared" si="3"/>
        <v>32</v>
      </c>
      <c r="C42" s="10" t="s">
        <v>47</v>
      </c>
      <c r="D42" s="100" t="s">
        <v>124</v>
      </c>
      <c r="E42" s="101"/>
      <c r="F42" s="17" t="s">
        <v>116</v>
      </c>
      <c r="G42" s="72" t="s">
        <v>165</v>
      </c>
      <c r="H42" s="77">
        <v>8</v>
      </c>
      <c r="I42" s="75">
        <v>4</v>
      </c>
      <c r="J42" s="75">
        <v>5</v>
      </c>
      <c r="K42" s="75">
        <v>3</v>
      </c>
      <c r="L42" s="75">
        <v>3</v>
      </c>
      <c r="M42" s="97">
        <f>1322.88+206.7</f>
        <v>1529.5800000000002</v>
      </c>
      <c r="N42" s="97">
        <v>1322.88</v>
      </c>
      <c r="O42" s="93">
        <f t="shared" si="1"/>
        <v>206.70000000000005</v>
      </c>
      <c r="P42" s="123">
        <v>3</v>
      </c>
      <c r="Q42" s="124">
        <v>2</v>
      </c>
      <c r="R42" s="124">
        <v>2</v>
      </c>
      <c r="S42" s="97">
        <v>1016.08</v>
      </c>
      <c r="T42" s="131">
        <v>1016.08</v>
      </c>
      <c r="U42" s="97">
        <f t="shared" si="2"/>
        <v>0</v>
      </c>
      <c r="V42" s="135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10">
        <v>32</v>
      </c>
      <c r="B43" s="99">
        <f t="shared" si="3"/>
        <v>33</v>
      </c>
      <c r="C43" s="13" t="s">
        <v>48</v>
      </c>
      <c r="D43" s="100" t="s">
        <v>124</v>
      </c>
      <c r="E43" s="101"/>
      <c r="F43" s="17" t="s">
        <v>106</v>
      </c>
      <c r="G43" s="72" t="s">
        <v>166</v>
      </c>
      <c r="H43" s="77">
        <v>5</v>
      </c>
      <c r="I43" s="75">
        <v>2</v>
      </c>
      <c r="J43" s="75">
        <v>2</v>
      </c>
      <c r="K43" s="75">
        <v>2</v>
      </c>
      <c r="L43" s="75"/>
      <c r="M43" s="97"/>
      <c r="N43" s="97"/>
      <c r="O43" s="93">
        <f t="shared" si="1"/>
        <v>0</v>
      </c>
      <c r="P43" s="123">
        <v>4</v>
      </c>
      <c r="Q43" s="124">
        <v>3</v>
      </c>
      <c r="R43" s="124">
        <v>2</v>
      </c>
      <c r="S43" s="97">
        <v>3907.41</v>
      </c>
      <c r="T43" s="131">
        <v>1733.58</v>
      </c>
      <c r="U43" s="97">
        <f t="shared" si="2"/>
        <v>2173.83</v>
      </c>
      <c r="V43" s="142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10">
        <v>33</v>
      </c>
      <c r="B44" s="99">
        <f t="shared" si="3"/>
        <v>34</v>
      </c>
      <c r="C44" s="10" t="s">
        <v>49</v>
      </c>
      <c r="D44" s="100" t="s">
        <v>124</v>
      </c>
      <c r="E44" s="101"/>
      <c r="F44" s="17" t="s">
        <v>106</v>
      </c>
      <c r="G44" s="72" t="s">
        <v>167</v>
      </c>
      <c r="H44" s="77">
        <v>7</v>
      </c>
      <c r="I44" s="75">
        <v>1</v>
      </c>
      <c r="J44" s="75">
        <v>1</v>
      </c>
      <c r="K44" s="75">
        <v>1</v>
      </c>
      <c r="L44" s="75"/>
      <c r="M44" s="97"/>
      <c r="N44" s="97"/>
      <c r="O44" s="93">
        <f t="shared" si="1"/>
        <v>0</v>
      </c>
      <c r="P44" s="123">
        <v>6</v>
      </c>
      <c r="Q44" s="124">
        <v>5</v>
      </c>
      <c r="R44" s="124">
        <v>4</v>
      </c>
      <c r="S44" s="97">
        <v>6437</v>
      </c>
      <c r="T44" s="131">
        <f>3957.6+2479.4</f>
        <v>6437</v>
      </c>
      <c r="U44" s="97">
        <f t="shared" si="2"/>
        <v>0</v>
      </c>
      <c r="V44" s="135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A45" s="110">
        <v>34</v>
      </c>
      <c r="B45" s="99">
        <f t="shared" si="3"/>
        <v>35</v>
      </c>
      <c r="C45" s="13" t="s">
        <v>50</v>
      </c>
      <c r="D45" s="100" t="s">
        <v>124</v>
      </c>
      <c r="E45" s="101"/>
      <c r="F45" s="17" t="s">
        <v>106</v>
      </c>
      <c r="G45" s="72" t="s">
        <v>168</v>
      </c>
      <c r="H45" s="77">
        <v>5</v>
      </c>
      <c r="I45" s="75">
        <v>5</v>
      </c>
      <c r="J45" s="75">
        <v>5</v>
      </c>
      <c r="K45" s="75">
        <v>4</v>
      </c>
      <c r="L45" s="75">
        <v>2</v>
      </c>
      <c r="M45" s="97">
        <v>1345.04</v>
      </c>
      <c r="N45" s="97">
        <f>1345.04</f>
        <v>1345.04</v>
      </c>
      <c r="O45" s="93">
        <f t="shared" si="1"/>
        <v>0</v>
      </c>
      <c r="P45" s="123">
        <v>4</v>
      </c>
      <c r="Q45" s="124">
        <v>4</v>
      </c>
      <c r="R45" s="124">
        <v>3</v>
      </c>
      <c r="S45" s="97">
        <v>3997.92</v>
      </c>
      <c r="T45" s="131">
        <f>3997.92</f>
        <v>3997.92</v>
      </c>
      <c r="U45" s="97">
        <f t="shared" si="2"/>
        <v>0</v>
      </c>
      <c r="V45" s="142"/>
      <c r="W45" s="136"/>
      <c r="X45" s="137"/>
      <c r="Y45" s="135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B46" s="99">
        <f t="shared" si="3"/>
        <v>36</v>
      </c>
      <c r="C46" s="11" t="s">
        <v>51</v>
      </c>
      <c r="D46" s="100" t="s">
        <v>124</v>
      </c>
      <c r="E46" s="101"/>
      <c r="F46" s="22" t="s">
        <v>112</v>
      </c>
      <c r="G46" s="72"/>
      <c r="H46" s="77"/>
      <c r="I46" s="75"/>
      <c r="J46" s="75"/>
      <c r="K46" s="75"/>
      <c r="L46" s="75"/>
      <c r="M46" s="97"/>
      <c r="N46" s="97"/>
      <c r="O46" s="93">
        <f t="shared" si="1"/>
        <v>0</v>
      </c>
      <c r="P46" s="123"/>
      <c r="Q46" s="124"/>
      <c r="R46" s="124"/>
      <c r="S46" s="97"/>
      <c r="T46" s="131"/>
      <c r="U46" s="97">
        <f t="shared" si="2"/>
        <v>0</v>
      </c>
      <c r="V46" s="14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10">
        <v>37</v>
      </c>
      <c r="B47" s="99">
        <f t="shared" si="3"/>
        <v>37</v>
      </c>
      <c r="C47" s="11" t="s">
        <v>131</v>
      </c>
      <c r="D47" s="100" t="s">
        <v>124</v>
      </c>
      <c r="E47" s="101"/>
      <c r="F47" s="22" t="s">
        <v>106</v>
      </c>
      <c r="G47" s="72" t="s">
        <v>171</v>
      </c>
      <c r="H47" s="77">
        <v>2</v>
      </c>
      <c r="I47" s="75"/>
      <c r="J47" s="75"/>
      <c r="K47" s="75"/>
      <c r="L47" s="75"/>
      <c r="M47" s="97"/>
      <c r="N47" s="97"/>
      <c r="O47" s="93">
        <f t="shared" si="1"/>
        <v>0</v>
      </c>
      <c r="P47" s="123">
        <v>1</v>
      </c>
      <c r="Q47" s="124">
        <v>1</v>
      </c>
      <c r="R47" s="124">
        <v>1</v>
      </c>
      <c r="S47" s="97">
        <v>11787.49</v>
      </c>
      <c r="T47" s="131">
        <v>11787.49</v>
      </c>
      <c r="U47" s="97">
        <f t="shared" si="2"/>
        <v>0</v>
      </c>
      <c r="V47" s="141"/>
      <c r="W47" s="136"/>
      <c r="X47" s="137"/>
      <c r="Y47" s="142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10">
        <v>35</v>
      </c>
      <c r="B48" s="99">
        <f t="shared" si="3"/>
        <v>38</v>
      </c>
      <c r="C48" s="13" t="s">
        <v>52</v>
      </c>
      <c r="D48" s="100" t="s">
        <v>124</v>
      </c>
      <c r="E48" s="101"/>
      <c r="F48" s="17" t="s">
        <v>106</v>
      </c>
      <c r="G48" s="72" t="s">
        <v>169</v>
      </c>
      <c r="H48" s="77">
        <v>12</v>
      </c>
      <c r="I48" s="75">
        <v>3</v>
      </c>
      <c r="J48" s="75">
        <v>4</v>
      </c>
      <c r="K48" s="75">
        <v>4</v>
      </c>
      <c r="L48" s="75">
        <v>3</v>
      </c>
      <c r="M48" s="97">
        <v>2714.54</v>
      </c>
      <c r="N48" s="97">
        <f>2335.59+378.95</f>
        <v>2714.54</v>
      </c>
      <c r="O48" s="93">
        <f t="shared" si="1"/>
        <v>0</v>
      </c>
      <c r="P48" s="123">
        <v>1</v>
      </c>
      <c r="Q48" s="124">
        <v>1</v>
      </c>
      <c r="R48" s="124">
        <v>1</v>
      </c>
      <c r="S48" s="97">
        <v>689</v>
      </c>
      <c r="T48" s="131">
        <f>689</f>
        <v>689</v>
      </c>
      <c r="U48" s="97">
        <f t="shared" si="2"/>
        <v>0</v>
      </c>
      <c r="V48" s="142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10">
        <v>36</v>
      </c>
      <c r="B49" s="99">
        <f t="shared" si="3"/>
        <v>39</v>
      </c>
      <c r="C49" s="10" t="s">
        <v>53</v>
      </c>
      <c r="D49" s="100" t="s">
        <v>124</v>
      </c>
      <c r="E49" s="101"/>
      <c r="F49" s="17" t="s">
        <v>105</v>
      </c>
      <c r="G49" s="72" t="s">
        <v>171</v>
      </c>
      <c r="H49" s="77">
        <v>8</v>
      </c>
      <c r="I49" s="75">
        <v>1</v>
      </c>
      <c r="J49" s="75">
        <v>1</v>
      </c>
      <c r="K49" s="75">
        <v>1</v>
      </c>
      <c r="L49" s="75">
        <v>1</v>
      </c>
      <c r="M49" s="97">
        <v>3786.47</v>
      </c>
      <c r="N49" s="97">
        <f>305.5</f>
        <v>305.5</v>
      </c>
      <c r="O49" s="93">
        <f t="shared" si="1"/>
        <v>3480.97</v>
      </c>
      <c r="P49" s="123">
        <v>3</v>
      </c>
      <c r="Q49" s="124">
        <v>3</v>
      </c>
      <c r="R49" s="124">
        <v>3</v>
      </c>
      <c r="S49" s="97">
        <f>2800.4+5022.92</f>
        <v>7823.32</v>
      </c>
      <c r="T49" s="131">
        <f>2494.9</f>
        <v>2494.9</v>
      </c>
      <c r="U49" s="97">
        <f t="shared" si="2"/>
        <v>5328.42</v>
      </c>
      <c r="V49" s="135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10">
        <v>38</v>
      </c>
      <c r="B50" s="99">
        <f t="shared" si="3"/>
        <v>40</v>
      </c>
      <c r="C50" s="10" t="s">
        <v>54</v>
      </c>
      <c r="D50" s="100" t="s">
        <v>124</v>
      </c>
      <c r="E50" s="101"/>
      <c r="F50" s="17" t="s">
        <v>106</v>
      </c>
      <c r="G50" s="72" t="s">
        <v>172</v>
      </c>
      <c r="H50" s="77">
        <v>9</v>
      </c>
      <c r="I50" s="75">
        <v>1</v>
      </c>
      <c r="J50" s="75">
        <v>1</v>
      </c>
      <c r="K50" s="75">
        <v>1</v>
      </c>
      <c r="L50" s="75"/>
      <c r="M50" s="97"/>
      <c r="N50" s="97"/>
      <c r="O50" s="93">
        <f t="shared" si="1"/>
        <v>0</v>
      </c>
      <c r="P50" s="123">
        <v>6</v>
      </c>
      <c r="Q50" s="124">
        <v>5</v>
      </c>
      <c r="R50" s="124">
        <v>3</v>
      </c>
      <c r="S50" s="97">
        <v>4105.0600000000004</v>
      </c>
      <c r="T50" s="131">
        <f>4105.06</f>
        <v>4105.0600000000004</v>
      </c>
      <c r="U50" s="97">
        <f t="shared" si="2"/>
        <v>0</v>
      </c>
      <c r="V50" s="135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10">
        <v>39</v>
      </c>
      <c r="B51" s="99">
        <f t="shared" si="3"/>
        <v>41</v>
      </c>
      <c r="C51" s="10" t="s">
        <v>55</v>
      </c>
      <c r="D51" s="100" t="s">
        <v>124</v>
      </c>
      <c r="E51" s="101"/>
      <c r="F51" s="17" t="s">
        <v>106</v>
      </c>
      <c r="G51" s="72" t="s">
        <v>173</v>
      </c>
      <c r="H51" s="77">
        <v>10</v>
      </c>
      <c r="I51" s="75">
        <v>5</v>
      </c>
      <c r="J51" s="75">
        <v>5</v>
      </c>
      <c r="K51" s="75">
        <v>5</v>
      </c>
      <c r="L51" s="75">
        <v>3</v>
      </c>
      <c r="M51" s="97">
        <v>2478.12</v>
      </c>
      <c r="N51" s="97">
        <v>2478.12</v>
      </c>
      <c r="O51" s="93">
        <f t="shared" si="1"/>
        <v>0</v>
      </c>
      <c r="P51" s="123">
        <v>6</v>
      </c>
      <c r="Q51" s="124">
        <v>5</v>
      </c>
      <c r="R51" s="124">
        <v>4</v>
      </c>
      <c r="S51" s="97">
        <v>2457.2800000000002</v>
      </c>
      <c r="T51" s="131"/>
      <c r="U51" s="97">
        <f t="shared" si="2"/>
        <v>2457.2800000000002</v>
      </c>
      <c r="V51" s="135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10">
        <v>40</v>
      </c>
      <c r="B52" s="99">
        <f t="shared" si="3"/>
        <v>42</v>
      </c>
      <c r="C52" s="10" t="s">
        <v>56</v>
      </c>
      <c r="D52" s="100" t="s">
        <v>124</v>
      </c>
      <c r="E52" s="101"/>
      <c r="F52" s="17" t="s">
        <v>106</v>
      </c>
      <c r="G52" s="72" t="s">
        <v>174</v>
      </c>
      <c r="H52" s="77">
        <v>8</v>
      </c>
      <c r="I52" s="75">
        <v>3</v>
      </c>
      <c r="J52" s="75">
        <v>3</v>
      </c>
      <c r="K52" s="75">
        <v>3</v>
      </c>
      <c r="L52" s="75">
        <v>3</v>
      </c>
      <c r="M52" s="97">
        <v>1308.27</v>
      </c>
      <c r="N52" s="97">
        <v>1308.27</v>
      </c>
      <c r="O52" s="93">
        <f t="shared" si="1"/>
        <v>0</v>
      </c>
      <c r="P52" s="123">
        <v>1</v>
      </c>
      <c r="Q52" s="124">
        <v>1</v>
      </c>
      <c r="R52" s="124">
        <v>1</v>
      </c>
      <c r="S52" s="97">
        <v>728.15</v>
      </c>
      <c r="T52" s="131">
        <v>728.15</v>
      </c>
      <c r="U52" s="97">
        <f t="shared" si="2"/>
        <v>0</v>
      </c>
      <c r="V52" s="135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10">
        <v>41</v>
      </c>
      <c r="B53" s="99">
        <f t="shared" si="3"/>
        <v>43</v>
      </c>
      <c r="C53" s="13" t="s">
        <v>57</v>
      </c>
      <c r="D53" s="100" t="s">
        <v>124</v>
      </c>
      <c r="E53" s="101"/>
      <c r="F53" s="17" t="s">
        <v>106</v>
      </c>
      <c r="G53" s="72" t="s">
        <v>175</v>
      </c>
      <c r="H53" s="77">
        <v>10</v>
      </c>
      <c r="I53" s="75">
        <v>3</v>
      </c>
      <c r="J53" s="75">
        <v>4</v>
      </c>
      <c r="K53" s="75">
        <v>4</v>
      </c>
      <c r="L53" s="75">
        <v>2</v>
      </c>
      <c r="M53" s="97">
        <v>613.9</v>
      </c>
      <c r="N53" s="97">
        <v>341.06</v>
      </c>
      <c r="O53" s="93">
        <f t="shared" si="1"/>
        <v>272.83999999999997</v>
      </c>
      <c r="P53" s="123">
        <v>5</v>
      </c>
      <c r="Q53" s="124">
        <v>4</v>
      </c>
      <c r="R53" s="124">
        <v>3</v>
      </c>
      <c r="S53" s="97">
        <v>1535.39</v>
      </c>
      <c r="T53" s="131">
        <v>530.53</v>
      </c>
      <c r="U53" s="97">
        <f t="shared" si="2"/>
        <v>1004.8600000000001</v>
      </c>
      <c r="V53" s="142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10">
        <v>42</v>
      </c>
      <c r="B54" s="99">
        <f t="shared" si="3"/>
        <v>44</v>
      </c>
      <c r="C54" s="13" t="s">
        <v>58</v>
      </c>
      <c r="D54" s="100" t="s">
        <v>124</v>
      </c>
      <c r="E54" s="101"/>
      <c r="F54" s="17" t="s">
        <v>106</v>
      </c>
      <c r="G54" s="72" t="s">
        <v>260</v>
      </c>
      <c r="H54" s="77">
        <v>3</v>
      </c>
      <c r="I54" s="75"/>
      <c r="J54" s="75"/>
      <c r="K54" s="75"/>
      <c r="L54" s="75"/>
      <c r="M54" s="97"/>
      <c r="N54" s="97"/>
      <c r="O54" s="93">
        <f t="shared" si="1"/>
        <v>0</v>
      </c>
      <c r="P54" s="123">
        <v>2</v>
      </c>
      <c r="Q54" s="124">
        <v>2</v>
      </c>
      <c r="R54" s="124">
        <v>2</v>
      </c>
      <c r="S54" s="97">
        <v>688</v>
      </c>
      <c r="T54" s="131">
        <f>688</f>
        <v>688</v>
      </c>
      <c r="U54" s="97">
        <f t="shared" si="2"/>
        <v>0</v>
      </c>
      <c r="V54" s="142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10">
        <v>43</v>
      </c>
      <c r="B55" s="99">
        <f t="shared" si="3"/>
        <v>45</v>
      </c>
      <c r="C55" s="13" t="s">
        <v>59</v>
      </c>
      <c r="D55" s="100" t="s">
        <v>124</v>
      </c>
      <c r="E55" s="101"/>
      <c r="F55" s="17" t="s">
        <v>112</v>
      </c>
      <c r="G55" s="72" t="s">
        <v>176</v>
      </c>
      <c r="H55" s="77">
        <v>23</v>
      </c>
      <c r="I55" s="75">
        <v>14</v>
      </c>
      <c r="J55" s="75">
        <v>17</v>
      </c>
      <c r="K55" s="75">
        <v>17</v>
      </c>
      <c r="L55" s="75">
        <v>17</v>
      </c>
      <c r="M55" s="97">
        <f>575.32+6377.18</f>
        <v>6952.5</v>
      </c>
      <c r="N55" s="97">
        <v>413.4</v>
      </c>
      <c r="O55" s="93">
        <f t="shared" si="1"/>
        <v>6539.1</v>
      </c>
      <c r="P55" s="123">
        <v>17</v>
      </c>
      <c r="Q55" s="124">
        <v>17</v>
      </c>
      <c r="R55" s="124">
        <v>17</v>
      </c>
      <c r="S55" s="97">
        <f>9629.72+1321.59</f>
        <v>10951.31</v>
      </c>
      <c r="T55" s="131">
        <v>2632.7</v>
      </c>
      <c r="U55" s="97">
        <f t="shared" si="2"/>
        <v>8318.61</v>
      </c>
      <c r="V55" s="142"/>
      <c r="W55" s="136"/>
      <c r="X55" s="137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10">
        <v>44</v>
      </c>
      <c r="B56" s="99">
        <f t="shared" si="3"/>
        <v>46</v>
      </c>
      <c r="C56" s="13" t="s">
        <v>60</v>
      </c>
      <c r="D56" s="100" t="s">
        <v>125</v>
      </c>
      <c r="E56" s="106" t="s">
        <v>126</v>
      </c>
      <c r="F56" s="17" t="s">
        <v>106</v>
      </c>
      <c r="G56" s="72" t="s">
        <v>177</v>
      </c>
      <c r="H56" s="77">
        <v>3</v>
      </c>
      <c r="I56" s="75"/>
      <c r="J56" s="75"/>
      <c r="K56" s="75"/>
      <c r="L56" s="75"/>
      <c r="M56" s="97">
        <v>1887.9</v>
      </c>
      <c r="N56" s="97">
        <v>1887.9</v>
      </c>
      <c r="O56" s="93">
        <f t="shared" si="1"/>
        <v>0</v>
      </c>
      <c r="P56" s="123">
        <v>3</v>
      </c>
      <c r="Q56" s="124">
        <v>3</v>
      </c>
      <c r="R56" s="124">
        <v>2</v>
      </c>
      <c r="S56" s="97">
        <f>757.9+1321.55</f>
        <v>2079.4499999999998</v>
      </c>
      <c r="T56" s="131">
        <v>757.9</v>
      </c>
      <c r="U56" s="97">
        <f t="shared" si="2"/>
        <v>1321.5499999999997</v>
      </c>
      <c r="V56" s="142"/>
      <c r="W56" s="136"/>
      <c r="X56" s="144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10">
        <v>45</v>
      </c>
      <c r="B57" s="99">
        <f t="shared" si="3"/>
        <v>47</v>
      </c>
      <c r="C57" s="11" t="s">
        <v>61</v>
      </c>
      <c r="D57" s="100" t="s">
        <v>124</v>
      </c>
      <c r="E57" s="101"/>
      <c r="F57" s="17" t="s">
        <v>107</v>
      </c>
      <c r="G57" s="72" t="s">
        <v>178</v>
      </c>
      <c r="H57" s="77">
        <v>21</v>
      </c>
      <c r="I57" s="75">
        <v>12</v>
      </c>
      <c r="J57" s="75">
        <v>13</v>
      </c>
      <c r="K57" s="75">
        <v>13</v>
      </c>
      <c r="L57" s="75">
        <v>4</v>
      </c>
      <c r="M57" s="97">
        <v>2880.54</v>
      </c>
      <c r="N57" s="97">
        <v>272.83999999999997</v>
      </c>
      <c r="O57" s="93">
        <f t="shared" si="1"/>
        <v>2607.6999999999998</v>
      </c>
      <c r="P57" s="123">
        <v>26</v>
      </c>
      <c r="Q57" s="124">
        <v>23</v>
      </c>
      <c r="R57" s="124">
        <v>18</v>
      </c>
      <c r="S57" s="97">
        <v>35028.07</v>
      </c>
      <c r="T57" s="131">
        <v>14478.7</v>
      </c>
      <c r="U57" s="97">
        <f t="shared" si="2"/>
        <v>20549.37</v>
      </c>
      <c r="V57" s="14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A58" s="110">
        <v>46</v>
      </c>
      <c r="B58" s="99">
        <f t="shared" si="3"/>
        <v>48</v>
      </c>
      <c r="C58" s="11" t="s">
        <v>134</v>
      </c>
      <c r="D58" s="100" t="s">
        <v>124</v>
      </c>
      <c r="E58" s="101"/>
      <c r="F58" s="17" t="s">
        <v>112</v>
      </c>
      <c r="G58" s="72" t="s">
        <v>179</v>
      </c>
      <c r="H58" s="77">
        <v>8</v>
      </c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131"/>
      <c r="U58" s="97">
        <f t="shared" si="2"/>
        <v>0</v>
      </c>
      <c r="V58" s="14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49</v>
      </c>
      <c r="C59" s="11" t="s">
        <v>62</v>
      </c>
      <c r="D59" s="100" t="s">
        <v>124</v>
      </c>
      <c r="E59" s="101"/>
      <c r="F59" s="17" t="s">
        <v>106</v>
      </c>
      <c r="G59" s="72" t="s">
        <v>230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131"/>
      <c r="U59" s="97">
        <f t="shared" si="2"/>
        <v>0</v>
      </c>
      <c r="V59" s="141"/>
      <c r="W59" s="136"/>
      <c r="X59" s="137"/>
      <c r="Y59" s="135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B60" s="99">
        <f t="shared" si="3"/>
        <v>50</v>
      </c>
      <c r="C60" s="11" t="s">
        <v>63</v>
      </c>
      <c r="D60" s="100" t="s">
        <v>124</v>
      </c>
      <c r="E60" s="101"/>
      <c r="F60" s="22" t="s">
        <v>112</v>
      </c>
      <c r="G60" s="72" t="s">
        <v>224</v>
      </c>
      <c r="H60" s="77"/>
      <c r="I60" s="75"/>
      <c r="J60" s="75"/>
      <c r="K60" s="75"/>
      <c r="L60" s="75"/>
      <c r="M60" s="97"/>
      <c r="N60" s="97"/>
      <c r="O60" s="93">
        <f t="shared" si="1"/>
        <v>0</v>
      </c>
      <c r="P60" s="123"/>
      <c r="Q60" s="124"/>
      <c r="R60" s="124"/>
      <c r="S60" s="97"/>
      <c r="T60" s="131"/>
      <c r="U60" s="97">
        <f t="shared" si="2"/>
        <v>0</v>
      </c>
      <c r="V60" s="14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10">
        <v>48</v>
      </c>
      <c r="B61" s="99">
        <f t="shared" si="3"/>
        <v>51</v>
      </c>
      <c r="C61" s="11" t="s">
        <v>64</v>
      </c>
      <c r="D61" s="100" t="s">
        <v>124</v>
      </c>
      <c r="E61" s="101"/>
      <c r="F61" s="22" t="s">
        <v>107</v>
      </c>
      <c r="G61" s="72" t="s">
        <v>180</v>
      </c>
      <c r="H61" s="77">
        <v>23</v>
      </c>
      <c r="I61" s="75">
        <v>12</v>
      </c>
      <c r="J61" s="75">
        <v>14</v>
      </c>
      <c r="K61" s="75">
        <v>12</v>
      </c>
      <c r="L61" s="75">
        <v>8</v>
      </c>
      <c r="M61" s="97">
        <f>4967.08+2976.17</f>
        <v>7943.25</v>
      </c>
      <c r="N61" s="97">
        <f>4967.08</f>
        <v>4967.08</v>
      </c>
      <c r="O61" s="93">
        <f t="shared" si="1"/>
        <v>2976.17</v>
      </c>
      <c r="P61" s="123">
        <v>6</v>
      </c>
      <c r="Q61" s="124">
        <v>5</v>
      </c>
      <c r="R61" s="124">
        <v>5</v>
      </c>
      <c r="S61" s="97">
        <v>6524.72</v>
      </c>
      <c r="T61" s="131">
        <f>6524.72</f>
        <v>6524.72</v>
      </c>
      <c r="U61" s="97">
        <f t="shared" si="2"/>
        <v>0</v>
      </c>
      <c r="V61" s="14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10">
        <v>47</v>
      </c>
      <c r="B62" s="99">
        <f t="shared" si="3"/>
        <v>52</v>
      </c>
      <c r="C62" s="11" t="s">
        <v>135</v>
      </c>
      <c r="D62" s="100" t="s">
        <v>124</v>
      </c>
      <c r="E62" s="101"/>
      <c r="F62" s="22" t="s">
        <v>111</v>
      </c>
      <c r="G62" s="72" t="s">
        <v>181</v>
      </c>
      <c r="H62" s="77">
        <v>8</v>
      </c>
      <c r="I62" s="75">
        <v>4</v>
      </c>
      <c r="J62" s="75">
        <v>4</v>
      </c>
      <c r="K62" s="75">
        <v>2</v>
      </c>
      <c r="L62" s="75"/>
      <c r="M62" s="97"/>
      <c r="N62" s="97"/>
      <c r="O62" s="93">
        <f t="shared" si="1"/>
        <v>0</v>
      </c>
      <c r="P62" s="123"/>
      <c r="Q62" s="124"/>
      <c r="R62" s="124"/>
      <c r="S62" s="97"/>
      <c r="T62" s="131"/>
      <c r="U62" s="97">
        <f t="shared" si="2"/>
        <v>0</v>
      </c>
      <c r="V62" s="141"/>
      <c r="W62" s="136"/>
      <c r="X62" s="137"/>
      <c r="Y62" s="142"/>
      <c r="Z62" s="137"/>
      <c r="AA62" s="138"/>
      <c r="AB62" s="138"/>
      <c r="AC62" s="138"/>
      <c r="AD62" s="138"/>
      <c r="AE62" s="138"/>
      <c r="AF62" s="139"/>
      <c r="AG62" s="139"/>
      <c r="AH62" s="139"/>
      <c r="AI62" s="140"/>
      <c r="AJ62" s="140"/>
      <c r="AK62" s="140"/>
      <c r="AL62" s="139"/>
      <c r="AM62" s="139"/>
      <c r="AN62" s="139"/>
    </row>
    <row r="63" spans="1:40" ht="20.100000000000001" customHeight="1" x14ac:dyDescent="0.25">
      <c r="A63" s="110">
        <v>49</v>
      </c>
      <c r="B63" s="99">
        <f t="shared" si="3"/>
        <v>53</v>
      </c>
      <c r="C63" s="13" t="s">
        <v>65</v>
      </c>
      <c r="D63" s="100" t="s">
        <v>124</v>
      </c>
      <c r="E63" s="101"/>
      <c r="F63" s="17" t="s">
        <v>106</v>
      </c>
      <c r="G63" s="72" t="s">
        <v>182</v>
      </c>
      <c r="H63" s="77">
        <v>7</v>
      </c>
      <c r="I63" s="75">
        <v>2</v>
      </c>
      <c r="J63" s="75">
        <v>2</v>
      </c>
      <c r="K63" s="75">
        <v>2</v>
      </c>
      <c r="L63" s="75">
        <v>1</v>
      </c>
      <c r="M63" s="97">
        <v>1263.45</v>
      </c>
      <c r="N63" s="97">
        <v>1263.45</v>
      </c>
      <c r="O63" s="93">
        <f t="shared" si="1"/>
        <v>0</v>
      </c>
      <c r="P63" s="123">
        <v>6</v>
      </c>
      <c r="Q63" s="124">
        <v>6</v>
      </c>
      <c r="R63" s="124">
        <v>2</v>
      </c>
      <c r="S63" s="97">
        <v>740.14</v>
      </c>
      <c r="T63" s="131">
        <v>740.14</v>
      </c>
      <c r="U63" s="97">
        <f t="shared" si="2"/>
        <v>0</v>
      </c>
    </row>
    <row r="64" spans="1:40" ht="20.100000000000001" customHeight="1" x14ac:dyDescent="0.25">
      <c r="B64" s="99">
        <f t="shared" si="3"/>
        <v>54</v>
      </c>
      <c r="C64" s="13" t="s">
        <v>66</v>
      </c>
      <c r="D64" s="100" t="s">
        <v>124</v>
      </c>
      <c r="E64" s="101"/>
      <c r="F64" s="17" t="s">
        <v>112</v>
      </c>
      <c r="G64" s="72" t="s">
        <v>227</v>
      </c>
      <c r="H64" s="77"/>
      <c r="I64" s="75"/>
      <c r="J64" s="75"/>
      <c r="K64" s="75"/>
      <c r="L64" s="75"/>
      <c r="M64" s="97"/>
      <c r="N64" s="97"/>
      <c r="O64" s="93">
        <f t="shared" si="1"/>
        <v>0</v>
      </c>
      <c r="P64" s="123">
        <v>8</v>
      </c>
      <c r="Q64" s="124">
        <v>8</v>
      </c>
      <c r="R64" s="124">
        <v>8</v>
      </c>
      <c r="S64" s="97">
        <v>3232.69</v>
      </c>
      <c r="T64" s="131">
        <v>3232.69</v>
      </c>
      <c r="U64" s="97">
        <f t="shared" si="2"/>
        <v>0</v>
      </c>
    </row>
    <row r="65" spans="1:21" ht="20.100000000000001" customHeight="1" x14ac:dyDescent="0.25">
      <c r="A65" s="110">
        <v>50</v>
      </c>
      <c r="B65" s="99">
        <f t="shared" si="3"/>
        <v>55</v>
      </c>
      <c r="C65" s="10" t="s">
        <v>67</v>
      </c>
      <c r="D65" s="100" t="s">
        <v>124</v>
      </c>
      <c r="E65" s="101"/>
      <c r="F65" s="17" t="s">
        <v>106</v>
      </c>
      <c r="G65" s="72" t="s">
        <v>183</v>
      </c>
      <c r="H65" s="77">
        <v>14</v>
      </c>
      <c r="I65" s="75">
        <v>5</v>
      </c>
      <c r="J65" s="75">
        <v>6</v>
      </c>
      <c r="K65" s="75">
        <v>6</v>
      </c>
      <c r="L65" s="75">
        <v>4</v>
      </c>
      <c r="M65" s="97">
        <v>2495.13</v>
      </c>
      <c r="N65" s="97">
        <v>2495.13</v>
      </c>
      <c r="O65" s="93">
        <f t="shared" si="1"/>
        <v>0</v>
      </c>
      <c r="P65" s="123">
        <v>7</v>
      </c>
      <c r="Q65" s="124">
        <v>7</v>
      </c>
      <c r="R65" s="124">
        <v>6</v>
      </c>
      <c r="S65" s="97">
        <v>3377.96</v>
      </c>
      <c r="T65" s="131">
        <v>3377.96</v>
      </c>
      <c r="U65" s="97">
        <f t="shared" si="2"/>
        <v>0</v>
      </c>
    </row>
    <row r="66" spans="1:21" ht="20.100000000000001" customHeight="1" x14ac:dyDescent="0.25">
      <c r="A66" s="110">
        <v>51</v>
      </c>
      <c r="B66" s="99">
        <f t="shared" si="3"/>
        <v>56</v>
      </c>
      <c r="C66" s="10" t="s">
        <v>68</v>
      </c>
      <c r="D66" s="100" t="s">
        <v>124</v>
      </c>
      <c r="E66" s="101"/>
      <c r="F66" s="17" t="s">
        <v>111</v>
      </c>
      <c r="G66" s="72" t="s">
        <v>184</v>
      </c>
      <c r="H66" s="77">
        <v>17</v>
      </c>
      <c r="I66" s="75">
        <v>11</v>
      </c>
      <c r="J66" s="75">
        <v>11</v>
      </c>
      <c r="K66" s="75">
        <v>9</v>
      </c>
      <c r="L66" s="75">
        <v>9</v>
      </c>
      <c r="M66" s="97">
        <f>620.1+6964.42</f>
        <v>7584.52</v>
      </c>
      <c r="N66" s="97">
        <v>620.1</v>
      </c>
      <c r="O66" s="93">
        <f t="shared" si="1"/>
        <v>6964.42</v>
      </c>
      <c r="P66" s="123">
        <v>9</v>
      </c>
      <c r="Q66" s="124">
        <v>8</v>
      </c>
      <c r="R66" s="124">
        <v>8</v>
      </c>
      <c r="S66" s="97">
        <v>5363.21</v>
      </c>
      <c r="T66" s="131">
        <v>5363.21</v>
      </c>
      <c r="U66" s="97">
        <f t="shared" si="2"/>
        <v>0</v>
      </c>
    </row>
    <row r="67" spans="1:21" ht="20.100000000000001" customHeight="1" x14ac:dyDescent="0.25">
      <c r="A67" s="110">
        <v>52</v>
      </c>
      <c r="B67" s="99">
        <f t="shared" si="3"/>
        <v>57</v>
      </c>
      <c r="C67" s="13" t="s">
        <v>69</v>
      </c>
      <c r="D67" s="100" t="s">
        <v>124</v>
      </c>
      <c r="E67" s="101"/>
      <c r="F67" s="17" t="s">
        <v>106</v>
      </c>
      <c r="G67" s="72" t="s">
        <v>185</v>
      </c>
      <c r="H67" s="77">
        <v>3</v>
      </c>
      <c r="I67" s="75">
        <v>2</v>
      </c>
      <c r="J67" s="75">
        <v>3</v>
      </c>
      <c r="K67" s="75">
        <v>3</v>
      </c>
      <c r="L67" s="75">
        <v>1</v>
      </c>
      <c r="M67" s="97">
        <v>463.83</v>
      </c>
      <c r="N67" s="97"/>
      <c r="O67" s="93">
        <f t="shared" si="1"/>
        <v>463.83</v>
      </c>
      <c r="P67" s="123">
        <v>4</v>
      </c>
      <c r="Q67" s="124">
        <v>4</v>
      </c>
      <c r="R67" s="124">
        <v>4</v>
      </c>
      <c r="S67" s="97">
        <v>3148.1</v>
      </c>
      <c r="T67" s="131">
        <v>2318.17</v>
      </c>
      <c r="U67" s="97">
        <f t="shared" si="2"/>
        <v>829.92999999999984</v>
      </c>
    </row>
    <row r="68" spans="1:21" ht="20.100000000000001" customHeight="1" x14ac:dyDescent="0.25">
      <c r="A68" s="110">
        <v>53</v>
      </c>
      <c r="B68" s="99">
        <f t="shared" si="3"/>
        <v>58</v>
      </c>
      <c r="C68" s="11" t="s">
        <v>70</v>
      </c>
      <c r="D68" s="100" t="s">
        <v>124</v>
      </c>
      <c r="E68" s="101"/>
      <c r="F68" s="17" t="s">
        <v>107</v>
      </c>
      <c r="G68" s="72" t="s">
        <v>186</v>
      </c>
      <c r="H68" s="77">
        <v>20</v>
      </c>
      <c r="I68" s="75">
        <v>18</v>
      </c>
      <c r="J68" s="75">
        <v>22</v>
      </c>
      <c r="K68" s="75">
        <v>16</v>
      </c>
      <c r="L68" s="75">
        <v>13</v>
      </c>
      <c r="M68" s="97">
        <f>6122.06+2634.24</f>
        <v>8756.2999999999993</v>
      </c>
      <c r="N68" s="97">
        <v>1327.02</v>
      </c>
      <c r="O68" s="93">
        <f t="shared" si="1"/>
        <v>7429.2799999999988</v>
      </c>
      <c r="P68" s="123">
        <v>7</v>
      </c>
      <c r="Q68" s="124">
        <v>7</v>
      </c>
      <c r="R68" s="124">
        <v>7</v>
      </c>
      <c r="S68" s="97">
        <f>1207.07+5904.8</f>
        <v>7111.87</v>
      </c>
      <c r="T68" s="131">
        <v>1207.07</v>
      </c>
      <c r="U68" s="97">
        <f t="shared" si="2"/>
        <v>5904.8</v>
      </c>
    </row>
    <row r="69" spans="1:21" ht="20.100000000000001" customHeight="1" x14ac:dyDescent="0.25">
      <c r="A69" s="110">
        <v>54</v>
      </c>
      <c r="B69" s="99">
        <f t="shared" si="3"/>
        <v>59</v>
      </c>
      <c r="C69" s="11" t="s">
        <v>71</v>
      </c>
      <c r="D69" s="100" t="s">
        <v>124</v>
      </c>
      <c r="E69" s="101"/>
      <c r="F69" s="17" t="s">
        <v>117</v>
      </c>
      <c r="G69" s="72" t="s">
        <v>187</v>
      </c>
      <c r="H69" s="77">
        <v>18</v>
      </c>
      <c r="I69" s="75">
        <v>11</v>
      </c>
      <c r="J69" s="75">
        <v>17</v>
      </c>
      <c r="K69" s="75">
        <v>17</v>
      </c>
      <c r="L69" s="75">
        <v>17</v>
      </c>
      <c r="M69" s="97">
        <f>4665.7+7448.87</f>
        <v>12114.57</v>
      </c>
      <c r="N69" s="97">
        <v>992.16</v>
      </c>
      <c r="O69" s="93">
        <f t="shared" si="1"/>
        <v>11122.41</v>
      </c>
      <c r="P69" s="123">
        <v>10</v>
      </c>
      <c r="Q69" s="124">
        <v>10</v>
      </c>
      <c r="R69" s="124">
        <v>10</v>
      </c>
      <c r="S69" s="97">
        <v>6249.15</v>
      </c>
      <c r="T69" s="131">
        <v>3017.19</v>
      </c>
      <c r="U69" s="97">
        <f t="shared" si="2"/>
        <v>3231.9599999999996</v>
      </c>
    </row>
    <row r="70" spans="1:21" ht="20.100000000000001" customHeight="1" x14ac:dyDescent="0.25">
      <c r="A70" s="110">
        <v>55</v>
      </c>
      <c r="B70" s="99">
        <f t="shared" si="3"/>
        <v>60</v>
      </c>
      <c r="C70" s="11" t="s">
        <v>72</v>
      </c>
      <c r="D70" s="100" t="s">
        <v>125</v>
      </c>
      <c r="E70" s="106" t="s">
        <v>126</v>
      </c>
      <c r="F70" s="17" t="s">
        <v>106</v>
      </c>
      <c r="G70" s="72" t="s">
        <v>188</v>
      </c>
      <c r="H70" s="77">
        <v>4</v>
      </c>
      <c r="I70" s="75"/>
      <c r="J70" s="75"/>
      <c r="K70" s="75"/>
      <c r="L70" s="75"/>
      <c r="M70" s="97"/>
      <c r="N70" s="97"/>
      <c r="O70" s="93">
        <f t="shared" si="1"/>
        <v>0</v>
      </c>
      <c r="P70" s="123"/>
      <c r="Q70" s="124"/>
      <c r="R70" s="124"/>
      <c r="S70" s="97"/>
      <c r="T70" s="131"/>
      <c r="U70" s="97">
        <f t="shared" si="2"/>
        <v>0</v>
      </c>
    </row>
    <row r="71" spans="1:21" ht="20.100000000000001" customHeight="1" x14ac:dyDescent="0.25">
      <c r="A71" s="110">
        <v>56</v>
      </c>
      <c r="B71" s="99">
        <f t="shared" si="3"/>
        <v>61</v>
      </c>
      <c r="C71" s="10" t="s">
        <v>73</v>
      </c>
      <c r="D71" s="100" t="s">
        <v>124</v>
      </c>
      <c r="E71" s="101"/>
      <c r="F71" s="17" t="s">
        <v>106</v>
      </c>
      <c r="G71" s="72" t="s">
        <v>189</v>
      </c>
      <c r="H71" s="77">
        <v>5</v>
      </c>
      <c r="I71" s="75"/>
      <c r="J71" s="75"/>
      <c r="K71" s="75"/>
      <c r="L71" s="75"/>
      <c r="M71" s="97"/>
      <c r="N71" s="97"/>
      <c r="O71" s="93">
        <f t="shared" si="1"/>
        <v>0</v>
      </c>
      <c r="P71" s="123">
        <v>1</v>
      </c>
      <c r="Q71" s="124">
        <v>1</v>
      </c>
      <c r="R71" s="124"/>
      <c r="S71" s="97"/>
      <c r="T71" s="131"/>
      <c r="U71" s="97">
        <f t="shared" si="2"/>
        <v>0</v>
      </c>
    </row>
    <row r="72" spans="1:21" ht="20.100000000000001" customHeight="1" x14ac:dyDescent="0.25">
      <c r="A72" s="110">
        <v>57</v>
      </c>
      <c r="B72" s="99">
        <f t="shared" si="3"/>
        <v>62</v>
      </c>
      <c r="C72" s="11" t="s">
        <v>74</v>
      </c>
      <c r="D72" s="100" t="s">
        <v>124</v>
      </c>
      <c r="E72" s="101"/>
      <c r="F72" s="17" t="s">
        <v>111</v>
      </c>
      <c r="G72" s="72" t="s">
        <v>190</v>
      </c>
      <c r="H72" s="77">
        <v>8</v>
      </c>
      <c r="I72" s="75">
        <v>3</v>
      </c>
      <c r="J72" s="75">
        <v>3</v>
      </c>
      <c r="K72" s="75">
        <v>2</v>
      </c>
      <c r="L72" s="75">
        <v>2</v>
      </c>
      <c r="M72" s="97">
        <v>2228.5</v>
      </c>
      <c r="N72" s="97">
        <v>2228.5</v>
      </c>
      <c r="O72" s="93">
        <f t="shared" si="1"/>
        <v>0</v>
      </c>
      <c r="P72" s="123">
        <v>20</v>
      </c>
      <c r="Q72" s="124">
        <v>17</v>
      </c>
      <c r="R72" s="124">
        <v>17</v>
      </c>
      <c r="S72" s="97">
        <f>27744.56+14819.18</f>
        <v>42563.740000000005</v>
      </c>
      <c r="T72" s="131">
        <v>27744.560000000001</v>
      </c>
      <c r="U72" s="97">
        <f t="shared" si="2"/>
        <v>14819.180000000004</v>
      </c>
    </row>
    <row r="73" spans="1:21" ht="20.100000000000001" customHeight="1" x14ac:dyDescent="0.25">
      <c r="A73" s="110">
        <v>58</v>
      </c>
      <c r="B73" s="99">
        <f t="shared" si="3"/>
        <v>63</v>
      </c>
      <c r="C73" s="11" t="s">
        <v>75</v>
      </c>
      <c r="D73" s="100" t="s">
        <v>124</v>
      </c>
      <c r="E73" s="101"/>
      <c r="F73" s="17" t="s">
        <v>118</v>
      </c>
      <c r="G73" s="72" t="s">
        <v>191</v>
      </c>
      <c r="H73" s="77">
        <v>6</v>
      </c>
      <c r="I73" s="75">
        <v>2</v>
      </c>
      <c r="J73" s="75">
        <v>3</v>
      </c>
      <c r="K73" s="75">
        <v>2</v>
      </c>
      <c r="L73" s="75">
        <v>2</v>
      </c>
      <c r="M73" s="97">
        <v>1163.72</v>
      </c>
      <c r="N73" s="97"/>
      <c r="O73" s="93">
        <f t="shared" si="1"/>
        <v>1163.72</v>
      </c>
      <c r="P73" s="123">
        <v>7</v>
      </c>
      <c r="Q73" s="124">
        <v>7</v>
      </c>
      <c r="R73" s="124">
        <v>7</v>
      </c>
      <c r="S73" s="97">
        <f>3959.69+961.38</f>
        <v>4921.07</v>
      </c>
      <c r="T73" s="131">
        <v>3959.69</v>
      </c>
      <c r="U73" s="97">
        <f t="shared" si="2"/>
        <v>961.37999999999965</v>
      </c>
    </row>
    <row r="74" spans="1:21" ht="20.100000000000001" customHeight="1" x14ac:dyDescent="0.25">
      <c r="A74" s="110">
        <v>59</v>
      </c>
      <c r="B74" s="99">
        <f t="shared" si="3"/>
        <v>64</v>
      </c>
      <c r="C74" s="10" t="s">
        <v>76</v>
      </c>
      <c r="D74" s="100" t="s">
        <v>124</v>
      </c>
      <c r="E74" s="101"/>
      <c r="F74" s="10" t="s">
        <v>105</v>
      </c>
      <c r="G74" s="72" t="s">
        <v>192</v>
      </c>
      <c r="H74" s="77">
        <v>9</v>
      </c>
      <c r="I74" s="75">
        <v>2</v>
      </c>
      <c r="J74" s="75">
        <v>2</v>
      </c>
      <c r="K74" s="75">
        <v>2</v>
      </c>
      <c r="L74" s="75">
        <v>2</v>
      </c>
      <c r="M74" s="97">
        <v>507.1</v>
      </c>
      <c r="N74" s="97"/>
      <c r="O74" s="93">
        <f t="shared" si="1"/>
        <v>507.1</v>
      </c>
      <c r="P74" s="123">
        <v>3</v>
      </c>
      <c r="Q74" s="124">
        <v>3</v>
      </c>
      <c r="R74" s="124">
        <v>3</v>
      </c>
      <c r="S74" s="97">
        <v>1821.06</v>
      </c>
      <c r="T74" s="131">
        <v>1821.06</v>
      </c>
      <c r="U74" s="97">
        <f t="shared" si="2"/>
        <v>0</v>
      </c>
    </row>
    <row r="75" spans="1:21" ht="20.100000000000001" customHeight="1" x14ac:dyDescent="0.25">
      <c r="B75" s="99">
        <f t="shared" si="3"/>
        <v>65</v>
      </c>
      <c r="C75" s="11" t="s">
        <v>77</v>
      </c>
      <c r="D75" s="100" t="s">
        <v>124</v>
      </c>
      <c r="E75" s="101"/>
      <c r="F75" s="10" t="s">
        <v>111</v>
      </c>
      <c r="G75" s="72" t="s">
        <v>225</v>
      </c>
      <c r="H75" s="77"/>
      <c r="I75" s="75"/>
      <c r="J75" s="75"/>
      <c r="K75" s="75"/>
      <c r="L75" s="75"/>
      <c r="M75" s="97"/>
      <c r="N75" s="97"/>
      <c r="O75" s="93">
        <f t="shared" si="1"/>
        <v>0</v>
      </c>
      <c r="P75" s="123">
        <v>1</v>
      </c>
      <c r="Q75" s="124">
        <v>1</v>
      </c>
      <c r="R75" s="124">
        <v>1</v>
      </c>
      <c r="S75" s="97">
        <v>3278.32</v>
      </c>
      <c r="T75" s="131">
        <v>3278.32</v>
      </c>
      <c r="U75" s="97">
        <f t="shared" si="2"/>
        <v>0</v>
      </c>
    </row>
    <row r="76" spans="1:21" ht="20.100000000000001" customHeight="1" x14ac:dyDescent="0.25">
      <c r="A76" s="110">
        <v>60</v>
      </c>
      <c r="B76" s="99">
        <f t="shared" ref="B76:B102" si="4">B75+1</f>
        <v>66</v>
      </c>
      <c r="C76" s="10" t="s">
        <v>78</v>
      </c>
      <c r="D76" s="100" t="s">
        <v>124</v>
      </c>
      <c r="E76" s="101"/>
      <c r="F76" s="23" t="s">
        <v>119</v>
      </c>
      <c r="G76" s="72" t="s">
        <v>193</v>
      </c>
      <c r="H76" s="77">
        <v>4</v>
      </c>
      <c r="I76" s="75"/>
      <c r="J76" s="75"/>
      <c r="K76" s="75"/>
      <c r="L76" s="75"/>
      <c r="M76" s="97"/>
      <c r="N76" s="97"/>
      <c r="O76" s="93">
        <f t="shared" ref="O76:O103" si="5" xml:space="preserve"> (M76-N76)</f>
        <v>0</v>
      </c>
      <c r="P76" s="123">
        <v>2</v>
      </c>
      <c r="Q76" s="124">
        <v>2</v>
      </c>
      <c r="R76" s="124">
        <v>2</v>
      </c>
      <c r="S76" s="97">
        <v>617.03</v>
      </c>
      <c r="T76" s="131">
        <v>617.03</v>
      </c>
      <c r="U76" s="97">
        <f t="shared" ref="U76:U103" si="6" xml:space="preserve"> (S76-T76)</f>
        <v>0</v>
      </c>
    </row>
    <row r="77" spans="1:21" ht="20.100000000000001" customHeight="1" x14ac:dyDescent="0.25">
      <c r="A77" s="110">
        <v>61</v>
      </c>
      <c r="B77" s="99">
        <f t="shared" si="4"/>
        <v>67</v>
      </c>
      <c r="C77" s="11" t="s">
        <v>79</v>
      </c>
      <c r="D77" s="100" t="s">
        <v>124</v>
      </c>
      <c r="E77" s="101"/>
      <c r="F77" s="17" t="s">
        <v>106</v>
      </c>
      <c r="G77" s="72" t="s">
        <v>194</v>
      </c>
      <c r="H77" s="77">
        <v>10</v>
      </c>
      <c r="I77" s="75">
        <v>7</v>
      </c>
      <c r="J77" s="75">
        <v>9</v>
      </c>
      <c r="K77" s="75">
        <v>8</v>
      </c>
      <c r="L77" s="75">
        <v>2</v>
      </c>
      <c r="M77" s="97">
        <v>1065.4000000000001</v>
      </c>
      <c r="N77" s="97">
        <v>522.80999999999995</v>
      </c>
      <c r="O77" s="93">
        <f t="shared" si="5"/>
        <v>542.59000000000015</v>
      </c>
      <c r="P77" s="123">
        <v>4</v>
      </c>
      <c r="Q77" s="124">
        <v>4</v>
      </c>
      <c r="R77" s="124">
        <v>3</v>
      </c>
      <c r="S77" s="97">
        <v>2337.1</v>
      </c>
      <c r="T77" s="131">
        <v>373.44</v>
      </c>
      <c r="U77" s="97">
        <f t="shared" si="6"/>
        <v>1963.6599999999999</v>
      </c>
    </row>
    <row r="78" spans="1:21" ht="20.100000000000001" customHeight="1" x14ac:dyDescent="0.25">
      <c r="A78" s="110">
        <v>62</v>
      </c>
      <c r="B78" s="99">
        <f t="shared" si="4"/>
        <v>68</v>
      </c>
      <c r="C78" s="11" t="s">
        <v>80</v>
      </c>
      <c r="D78" s="100" t="s">
        <v>124</v>
      </c>
      <c r="E78" s="101"/>
      <c r="F78" s="17" t="s">
        <v>106</v>
      </c>
      <c r="G78" s="72" t="s">
        <v>195</v>
      </c>
      <c r="H78" s="77">
        <v>5</v>
      </c>
      <c r="I78" s="75">
        <v>2</v>
      </c>
      <c r="J78" s="75">
        <v>2</v>
      </c>
      <c r="K78" s="75">
        <v>2</v>
      </c>
      <c r="L78" s="75"/>
      <c r="M78" s="97"/>
      <c r="N78" s="97"/>
      <c r="O78" s="93">
        <f t="shared" si="5"/>
        <v>0</v>
      </c>
      <c r="P78" s="123"/>
      <c r="Q78" s="124"/>
      <c r="R78" s="124"/>
      <c r="S78" s="97"/>
      <c r="T78" s="131"/>
      <c r="U78" s="97">
        <f t="shared" si="6"/>
        <v>0</v>
      </c>
    </row>
    <row r="79" spans="1:21" ht="20.100000000000001" customHeight="1" x14ac:dyDescent="0.25">
      <c r="B79" s="99">
        <f t="shared" si="4"/>
        <v>69</v>
      </c>
      <c r="C79" s="14" t="s">
        <v>81</v>
      </c>
      <c r="D79" s="100" t="s">
        <v>124</v>
      </c>
      <c r="E79" s="101"/>
      <c r="F79" s="10" t="s">
        <v>106</v>
      </c>
      <c r="G79" s="72" t="s">
        <v>226</v>
      </c>
      <c r="H79" s="77"/>
      <c r="I79" s="75"/>
      <c r="J79" s="75"/>
      <c r="K79" s="75"/>
      <c r="L79" s="75"/>
      <c r="M79" s="97"/>
      <c r="N79" s="97"/>
      <c r="O79" s="93">
        <f t="shared" si="5"/>
        <v>0</v>
      </c>
      <c r="P79" s="123">
        <v>8</v>
      </c>
      <c r="Q79" s="124">
        <v>8</v>
      </c>
      <c r="R79" s="124">
        <v>8</v>
      </c>
      <c r="S79" s="97">
        <v>3889.76</v>
      </c>
      <c r="T79" s="131">
        <v>3889.76</v>
      </c>
      <c r="U79" s="97">
        <f t="shared" si="6"/>
        <v>0</v>
      </c>
    </row>
    <row r="80" spans="1:21" ht="20.100000000000001" customHeight="1" x14ac:dyDescent="0.25">
      <c r="A80" s="110">
        <v>63</v>
      </c>
      <c r="B80" s="99">
        <f t="shared" si="4"/>
        <v>70</v>
      </c>
      <c r="C80" s="14" t="s">
        <v>82</v>
      </c>
      <c r="D80" s="100" t="s">
        <v>124</v>
      </c>
      <c r="E80" s="101"/>
      <c r="F80" s="10" t="s">
        <v>106</v>
      </c>
      <c r="G80" s="72" t="s">
        <v>196</v>
      </c>
      <c r="H80" s="77">
        <v>8</v>
      </c>
      <c r="I80" s="75">
        <v>1</v>
      </c>
      <c r="J80" s="75">
        <v>2</v>
      </c>
      <c r="K80" s="75">
        <v>2</v>
      </c>
      <c r="L80" s="75">
        <v>1</v>
      </c>
      <c r="M80" s="97">
        <v>272.83999999999997</v>
      </c>
      <c r="N80" s="97">
        <v>272.83999999999997</v>
      </c>
      <c r="O80" s="93">
        <f t="shared" si="5"/>
        <v>0</v>
      </c>
      <c r="P80" s="123">
        <v>1</v>
      </c>
      <c r="Q80" s="124">
        <v>1</v>
      </c>
      <c r="R80" s="124">
        <v>1</v>
      </c>
      <c r="S80" s="97">
        <v>275.60000000000002</v>
      </c>
      <c r="T80" s="131">
        <v>275.60000000000002</v>
      </c>
      <c r="U80" s="97">
        <f t="shared" si="6"/>
        <v>0</v>
      </c>
    </row>
    <row r="81" spans="1:21" ht="20.100000000000001" customHeight="1" x14ac:dyDescent="0.25">
      <c r="A81" s="110">
        <v>64</v>
      </c>
      <c r="B81" s="99">
        <f t="shared" si="4"/>
        <v>71</v>
      </c>
      <c r="C81" s="14" t="s">
        <v>83</v>
      </c>
      <c r="D81" s="100" t="s">
        <v>124</v>
      </c>
      <c r="E81" s="101"/>
      <c r="F81" s="10" t="s">
        <v>106</v>
      </c>
      <c r="G81" s="72" t="s">
        <v>197</v>
      </c>
      <c r="H81" s="77">
        <v>11</v>
      </c>
      <c r="I81" s="75">
        <v>3</v>
      </c>
      <c r="J81" s="75">
        <v>3</v>
      </c>
      <c r="K81" s="75">
        <v>3</v>
      </c>
      <c r="L81" s="75">
        <v>1</v>
      </c>
      <c r="M81" s="97">
        <v>531.74</v>
      </c>
      <c r="N81" s="97">
        <v>531.74</v>
      </c>
      <c r="O81" s="93">
        <f t="shared" si="5"/>
        <v>0</v>
      </c>
      <c r="P81" s="123">
        <v>6</v>
      </c>
      <c r="Q81" s="124">
        <v>6</v>
      </c>
      <c r="R81" s="124">
        <v>5</v>
      </c>
      <c r="S81" s="97">
        <v>12327.43</v>
      </c>
      <c r="T81" s="131">
        <v>12327.43</v>
      </c>
      <c r="U81" s="97">
        <f t="shared" si="6"/>
        <v>0</v>
      </c>
    </row>
    <row r="82" spans="1:21" ht="20.100000000000001" customHeight="1" x14ac:dyDescent="0.25">
      <c r="A82" s="110">
        <v>65</v>
      </c>
      <c r="B82" s="99">
        <f t="shared" si="4"/>
        <v>72</v>
      </c>
      <c r="C82" s="11" t="s">
        <v>84</v>
      </c>
      <c r="D82" s="100" t="s">
        <v>124</v>
      </c>
      <c r="E82" s="101"/>
      <c r="F82" s="10" t="s">
        <v>120</v>
      </c>
      <c r="G82" s="72" t="s">
        <v>198</v>
      </c>
      <c r="H82" s="77">
        <v>1</v>
      </c>
      <c r="I82" s="75"/>
      <c r="J82" s="75"/>
      <c r="K82" s="75"/>
      <c r="L82" s="75"/>
      <c r="M82" s="97"/>
      <c r="N82" s="97"/>
      <c r="O82" s="93">
        <f t="shared" si="5"/>
        <v>0</v>
      </c>
      <c r="P82" s="123"/>
      <c r="Q82" s="124"/>
      <c r="R82" s="124"/>
      <c r="S82" s="97"/>
      <c r="T82" s="131"/>
      <c r="U82" s="97">
        <f t="shared" si="6"/>
        <v>0</v>
      </c>
    </row>
    <row r="83" spans="1:21" ht="20.100000000000001" customHeight="1" x14ac:dyDescent="0.25">
      <c r="A83" s="110">
        <v>66</v>
      </c>
      <c r="B83" s="99">
        <f t="shared" si="4"/>
        <v>73</v>
      </c>
      <c r="C83" s="13" t="s">
        <v>85</v>
      </c>
      <c r="D83" s="100" t="s">
        <v>124</v>
      </c>
      <c r="E83" s="101"/>
      <c r="F83" s="19" t="s">
        <v>106</v>
      </c>
      <c r="G83" s="72" t="s">
        <v>199</v>
      </c>
      <c r="H83" s="77">
        <v>11</v>
      </c>
      <c r="I83" s="75">
        <v>4</v>
      </c>
      <c r="J83" s="75">
        <v>4</v>
      </c>
      <c r="K83" s="75">
        <v>4</v>
      </c>
      <c r="L83" s="75">
        <v>4</v>
      </c>
      <c r="M83" s="97">
        <v>2282.25</v>
      </c>
      <c r="N83" s="97"/>
      <c r="O83" s="93">
        <f t="shared" si="5"/>
        <v>2282.25</v>
      </c>
      <c r="P83" s="123">
        <v>6</v>
      </c>
      <c r="Q83" s="124">
        <v>6</v>
      </c>
      <c r="R83" s="124">
        <v>5</v>
      </c>
      <c r="S83" s="97">
        <v>15935.59</v>
      </c>
      <c r="T83" s="131">
        <v>5274.97</v>
      </c>
      <c r="U83" s="97">
        <f t="shared" si="6"/>
        <v>10660.619999999999</v>
      </c>
    </row>
    <row r="84" spans="1:21" ht="20.100000000000001" customHeight="1" x14ac:dyDescent="0.25">
      <c r="A84" s="110">
        <v>67</v>
      </c>
      <c r="B84" s="99">
        <f t="shared" si="4"/>
        <v>74</v>
      </c>
      <c r="C84" s="10" t="s">
        <v>86</v>
      </c>
      <c r="D84" s="100" t="s">
        <v>124</v>
      </c>
      <c r="E84" s="101"/>
      <c r="F84" s="22" t="s">
        <v>118</v>
      </c>
      <c r="G84" s="72" t="s">
        <v>200</v>
      </c>
      <c r="H84" s="77">
        <v>10</v>
      </c>
      <c r="I84" s="75">
        <v>11</v>
      </c>
      <c r="J84" s="75">
        <v>11</v>
      </c>
      <c r="K84" s="75">
        <v>7</v>
      </c>
      <c r="L84" s="75">
        <v>3</v>
      </c>
      <c r="M84" s="97">
        <v>2803.04</v>
      </c>
      <c r="N84" s="97">
        <v>2803.04</v>
      </c>
      <c r="O84" s="93">
        <f t="shared" si="5"/>
        <v>0</v>
      </c>
      <c r="P84" s="123">
        <v>9</v>
      </c>
      <c r="Q84" s="124">
        <v>6</v>
      </c>
      <c r="R84" s="124">
        <v>3</v>
      </c>
      <c r="S84" s="97">
        <v>6465.89</v>
      </c>
      <c r="T84" s="131">
        <v>6465.89</v>
      </c>
      <c r="U84" s="97">
        <f t="shared" si="6"/>
        <v>0</v>
      </c>
    </row>
    <row r="85" spans="1:21" ht="20.100000000000001" customHeight="1" x14ac:dyDescent="0.25">
      <c r="A85" s="110">
        <v>68</v>
      </c>
      <c r="B85" s="99">
        <f t="shared" si="4"/>
        <v>75</v>
      </c>
      <c r="C85" s="10" t="s">
        <v>87</v>
      </c>
      <c r="D85" s="100" t="s">
        <v>124</v>
      </c>
      <c r="E85" s="101"/>
      <c r="F85" s="22" t="s">
        <v>115</v>
      </c>
      <c r="G85" s="72" t="s">
        <v>201</v>
      </c>
      <c r="H85" s="77">
        <v>9</v>
      </c>
      <c r="I85" s="75">
        <v>3</v>
      </c>
      <c r="J85" s="75">
        <v>4</v>
      </c>
      <c r="K85" s="75">
        <v>3</v>
      </c>
      <c r="L85" s="75">
        <v>1</v>
      </c>
      <c r="M85" s="97">
        <v>409.27</v>
      </c>
      <c r="N85" s="97">
        <v>409.27</v>
      </c>
      <c r="O85" s="93">
        <f t="shared" si="5"/>
        <v>0</v>
      </c>
      <c r="P85" s="123">
        <v>1</v>
      </c>
      <c r="Q85" s="124">
        <v>1</v>
      </c>
      <c r="R85" s="124">
        <v>1</v>
      </c>
      <c r="S85" s="97">
        <v>1515.31</v>
      </c>
      <c r="T85" s="131"/>
      <c r="U85" s="97">
        <f t="shared" si="6"/>
        <v>1515.31</v>
      </c>
    </row>
    <row r="86" spans="1:21" ht="20.100000000000001" customHeight="1" x14ac:dyDescent="0.25">
      <c r="A86" s="110">
        <v>70</v>
      </c>
      <c r="B86" s="99">
        <f t="shared" si="4"/>
        <v>76</v>
      </c>
      <c r="C86" s="11" t="s">
        <v>88</v>
      </c>
      <c r="D86" s="100" t="s">
        <v>124</v>
      </c>
      <c r="E86" s="101"/>
      <c r="F86" s="17" t="s">
        <v>121</v>
      </c>
      <c r="G86" s="72" t="s">
        <v>203</v>
      </c>
      <c r="H86" s="77">
        <v>14</v>
      </c>
      <c r="I86" s="75">
        <v>8</v>
      </c>
      <c r="J86" s="75">
        <v>13</v>
      </c>
      <c r="K86" s="75">
        <v>13</v>
      </c>
      <c r="L86" s="75">
        <v>13</v>
      </c>
      <c r="M86" s="97">
        <f>4781.94+3598.27</f>
        <v>8380.2099999999991</v>
      </c>
      <c r="N86" s="97"/>
      <c r="O86" s="93">
        <f t="shared" si="5"/>
        <v>8380.2099999999991</v>
      </c>
      <c r="P86" s="123">
        <v>6</v>
      </c>
      <c r="Q86" s="124">
        <v>5</v>
      </c>
      <c r="R86" s="124">
        <v>5</v>
      </c>
      <c r="S86" s="97">
        <f>2068.47+2492.49</f>
        <v>4560.9599999999991</v>
      </c>
      <c r="T86" s="131"/>
      <c r="U86" s="97">
        <f t="shared" si="6"/>
        <v>4560.9599999999991</v>
      </c>
    </row>
    <row r="87" spans="1:21" ht="20.100000000000001" customHeight="1" x14ac:dyDescent="0.25">
      <c r="A87" s="110">
        <v>69</v>
      </c>
      <c r="B87" s="99">
        <f t="shared" si="4"/>
        <v>77</v>
      </c>
      <c r="C87" s="14" t="s">
        <v>89</v>
      </c>
      <c r="D87" s="100" t="s">
        <v>124</v>
      </c>
      <c r="E87" s="101"/>
      <c r="F87" s="19" t="s">
        <v>106</v>
      </c>
      <c r="G87" s="72" t="s">
        <v>202</v>
      </c>
      <c r="H87" s="77">
        <v>4</v>
      </c>
      <c r="I87" s="75"/>
      <c r="J87" s="75"/>
      <c r="K87" s="75"/>
      <c r="L87" s="75"/>
      <c r="M87" s="97"/>
      <c r="N87" s="97"/>
      <c r="O87" s="93">
        <f t="shared" si="5"/>
        <v>0</v>
      </c>
      <c r="P87" s="123">
        <v>2</v>
      </c>
      <c r="Q87" s="124">
        <v>2</v>
      </c>
      <c r="R87" s="124">
        <v>2</v>
      </c>
      <c r="S87" s="97">
        <v>839.18</v>
      </c>
      <c r="T87" s="131">
        <v>839.18</v>
      </c>
      <c r="U87" s="97">
        <f t="shared" si="6"/>
        <v>0</v>
      </c>
    </row>
    <row r="88" spans="1:21" ht="20.100000000000001" customHeight="1" x14ac:dyDescent="0.25">
      <c r="A88" s="110">
        <v>71</v>
      </c>
      <c r="B88" s="99">
        <f t="shared" si="4"/>
        <v>78</v>
      </c>
      <c r="C88" s="14" t="s">
        <v>90</v>
      </c>
      <c r="D88" s="100" t="s">
        <v>124</v>
      </c>
      <c r="E88" s="101"/>
      <c r="F88" s="19" t="s">
        <v>106</v>
      </c>
      <c r="G88" s="72" t="s">
        <v>204</v>
      </c>
      <c r="H88" s="77">
        <v>4</v>
      </c>
      <c r="I88" s="75">
        <v>4</v>
      </c>
      <c r="J88" s="75">
        <v>4</v>
      </c>
      <c r="K88" s="75">
        <v>4</v>
      </c>
      <c r="L88" s="75">
        <v>2</v>
      </c>
      <c r="M88" s="97">
        <v>795.8</v>
      </c>
      <c r="N88" s="97">
        <v>250.11</v>
      </c>
      <c r="O88" s="93">
        <f t="shared" si="5"/>
        <v>545.68999999999994</v>
      </c>
      <c r="P88" s="123">
        <v>5</v>
      </c>
      <c r="Q88" s="124">
        <v>4</v>
      </c>
      <c r="R88" s="124">
        <v>2</v>
      </c>
      <c r="S88" s="97">
        <v>2723.78</v>
      </c>
      <c r="T88" s="131">
        <v>2723.78</v>
      </c>
      <c r="U88" s="97">
        <f t="shared" si="6"/>
        <v>0</v>
      </c>
    </row>
    <row r="89" spans="1:21" ht="20.100000000000001" customHeight="1" x14ac:dyDescent="0.25">
      <c r="B89" s="99">
        <f t="shared" si="4"/>
        <v>79</v>
      </c>
      <c r="C89" s="10" t="s">
        <v>91</v>
      </c>
      <c r="D89" s="100" t="s">
        <v>124</v>
      </c>
      <c r="E89" s="101"/>
      <c r="F89" s="17" t="s">
        <v>111</v>
      </c>
      <c r="G89" s="72" t="s">
        <v>231</v>
      </c>
      <c r="H89" s="77">
        <v>1</v>
      </c>
      <c r="I89" s="75"/>
      <c r="J89" s="75"/>
      <c r="K89" s="75"/>
      <c r="L89" s="75"/>
      <c r="M89" s="97"/>
      <c r="N89" s="97"/>
      <c r="O89" s="93">
        <f t="shared" si="5"/>
        <v>0</v>
      </c>
      <c r="P89" s="123">
        <v>6</v>
      </c>
      <c r="Q89" s="124">
        <v>6</v>
      </c>
      <c r="R89" s="124">
        <v>6</v>
      </c>
      <c r="S89" s="97">
        <v>7502.29</v>
      </c>
      <c r="T89" s="131">
        <v>7502.29</v>
      </c>
      <c r="U89" s="97">
        <f t="shared" si="6"/>
        <v>0</v>
      </c>
    </row>
    <row r="90" spans="1:21" ht="20.100000000000001" customHeight="1" x14ac:dyDescent="0.25">
      <c r="A90" s="110">
        <v>72</v>
      </c>
      <c r="B90" s="99">
        <f t="shared" si="4"/>
        <v>80</v>
      </c>
      <c r="C90" s="10" t="s">
        <v>92</v>
      </c>
      <c r="D90" s="100" t="s">
        <v>124</v>
      </c>
      <c r="E90" s="101"/>
      <c r="F90" s="19" t="s">
        <v>106</v>
      </c>
      <c r="G90" s="72" t="s">
        <v>205</v>
      </c>
      <c r="H90" s="77">
        <v>4</v>
      </c>
      <c r="I90" s="75">
        <v>1</v>
      </c>
      <c r="J90" s="75">
        <v>2</v>
      </c>
      <c r="K90" s="75">
        <v>2</v>
      </c>
      <c r="L90" s="75">
        <v>1</v>
      </c>
      <c r="M90" s="97">
        <v>725.77</v>
      </c>
      <c r="N90" s="97"/>
      <c r="O90" s="93">
        <f t="shared" si="5"/>
        <v>725.77</v>
      </c>
      <c r="P90" s="123">
        <v>4</v>
      </c>
      <c r="Q90" s="124">
        <v>4</v>
      </c>
      <c r="R90" s="124">
        <v>2</v>
      </c>
      <c r="S90" s="97">
        <v>8161.92</v>
      </c>
      <c r="T90" s="131">
        <v>5032.46</v>
      </c>
      <c r="U90" s="97">
        <f t="shared" si="6"/>
        <v>3129.46</v>
      </c>
    </row>
    <row r="91" spans="1:21" ht="20.100000000000001" customHeight="1" x14ac:dyDescent="0.25">
      <c r="A91" s="110">
        <v>73</v>
      </c>
      <c r="B91" s="99">
        <f t="shared" si="4"/>
        <v>81</v>
      </c>
      <c r="C91" s="11" t="s">
        <v>93</v>
      </c>
      <c r="D91" s="100" t="s">
        <v>124</v>
      </c>
      <c r="E91" s="101"/>
      <c r="F91" s="17" t="s">
        <v>122</v>
      </c>
      <c r="G91" s="72" t="s">
        <v>206</v>
      </c>
      <c r="H91" s="77">
        <v>16</v>
      </c>
      <c r="I91" s="75">
        <v>12</v>
      </c>
      <c r="J91" s="75">
        <v>22</v>
      </c>
      <c r="K91" s="75">
        <v>22</v>
      </c>
      <c r="L91" s="75">
        <v>6</v>
      </c>
      <c r="M91" s="97">
        <v>2814.78</v>
      </c>
      <c r="N91" s="97">
        <f>2814.78</f>
        <v>2814.78</v>
      </c>
      <c r="O91" s="93">
        <f t="shared" si="5"/>
        <v>0</v>
      </c>
      <c r="P91" s="123">
        <v>8</v>
      </c>
      <c r="Q91" s="124">
        <v>7</v>
      </c>
      <c r="R91" s="124">
        <v>0</v>
      </c>
      <c r="S91" s="97"/>
      <c r="T91" s="131"/>
      <c r="U91" s="97">
        <f t="shared" si="6"/>
        <v>0</v>
      </c>
    </row>
    <row r="92" spans="1:21" ht="20.100000000000001" customHeight="1" x14ac:dyDescent="0.25">
      <c r="A92" s="110">
        <v>74</v>
      </c>
      <c r="B92" s="99">
        <f t="shared" si="4"/>
        <v>82</v>
      </c>
      <c r="C92" s="11" t="s">
        <v>94</v>
      </c>
      <c r="D92" s="100" t="s">
        <v>124</v>
      </c>
      <c r="E92" s="101"/>
      <c r="F92" s="19" t="s">
        <v>106</v>
      </c>
      <c r="G92" s="72" t="s">
        <v>218</v>
      </c>
      <c r="H92" s="77">
        <v>8</v>
      </c>
      <c r="I92" s="75">
        <v>4</v>
      </c>
      <c r="J92" s="75">
        <v>5</v>
      </c>
      <c r="K92" s="75">
        <v>5</v>
      </c>
      <c r="L92" s="75">
        <v>1</v>
      </c>
      <c r="M92" s="97">
        <v>1255.05</v>
      </c>
      <c r="N92" s="97">
        <v>1255.05</v>
      </c>
      <c r="O92" s="93">
        <f t="shared" si="5"/>
        <v>0</v>
      </c>
      <c r="P92" s="123">
        <v>6</v>
      </c>
      <c r="Q92" s="124">
        <v>6</v>
      </c>
      <c r="R92" s="124">
        <v>4</v>
      </c>
      <c r="S92" s="97">
        <v>6219.66</v>
      </c>
      <c r="T92" s="131">
        <f>6219.66</f>
        <v>6219.66</v>
      </c>
      <c r="U92" s="97">
        <f t="shared" si="6"/>
        <v>0</v>
      </c>
    </row>
    <row r="93" spans="1:21" ht="20.100000000000001" customHeight="1" x14ac:dyDescent="0.25">
      <c r="A93" s="110">
        <v>75</v>
      </c>
      <c r="B93" s="99">
        <f t="shared" si="4"/>
        <v>83</v>
      </c>
      <c r="C93" s="11" t="s">
        <v>95</v>
      </c>
      <c r="D93" s="100" t="s">
        <v>124</v>
      </c>
      <c r="E93" s="101"/>
      <c r="F93" s="19" t="s">
        <v>123</v>
      </c>
      <c r="G93" s="72" t="s">
        <v>217</v>
      </c>
      <c r="H93" s="77">
        <v>10</v>
      </c>
      <c r="I93" s="75">
        <v>10</v>
      </c>
      <c r="J93" s="75">
        <v>12</v>
      </c>
      <c r="K93" s="75">
        <v>9</v>
      </c>
      <c r="L93" s="75">
        <v>5</v>
      </c>
      <c r="M93" s="97">
        <v>2301.54</v>
      </c>
      <c r="N93" s="97"/>
      <c r="O93" s="93">
        <f t="shared" si="5"/>
        <v>2301.54</v>
      </c>
      <c r="P93" s="123">
        <v>1</v>
      </c>
      <c r="Q93" s="124">
        <v>1</v>
      </c>
      <c r="R93" s="124">
        <v>1</v>
      </c>
      <c r="S93" s="97">
        <v>206.7</v>
      </c>
      <c r="T93" s="131">
        <v>206.7</v>
      </c>
      <c r="U93" s="97">
        <f t="shared" si="6"/>
        <v>0</v>
      </c>
    </row>
    <row r="94" spans="1:21" ht="20.100000000000001" customHeight="1" x14ac:dyDescent="0.25">
      <c r="A94" s="110">
        <v>76</v>
      </c>
      <c r="B94" s="99">
        <f t="shared" si="4"/>
        <v>84</v>
      </c>
      <c r="C94" s="11" t="s">
        <v>96</v>
      </c>
      <c r="D94" s="100" t="s">
        <v>124</v>
      </c>
      <c r="E94" s="101"/>
      <c r="F94" s="22" t="s">
        <v>112</v>
      </c>
      <c r="G94" s="72" t="s">
        <v>216</v>
      </c>
      <c r="H94" s="77">
        <v>23</v>
      </c>
      <c r="I94" s="75">
        <v>13</v>
      </c>
      <c r="J94" s="75">
        <v>17</v>
      </c>
      <c r="K94" s="75">
        <v>10</v>
      </c>
      <c r="L94" s="75">
        <v>10</v>
      </c>
      <c r="M94" s="97">
        <v>4236.8100000000004</v>
      </c>
      <c r="N94" s="97"/>
      <c r="O94" s="93">
        <f t="shared" si="5"/>
        <v>4236.8100000000004</v>
      </c>
      <c r="P94" s="123">
        <v>7</v>
      </c>
      <c r="Q94" s="124">
        <v>5</v>
      </c>
      <c r="R94" s="124">
        <v>5</v>
      </c>
      <c r="S94" s="97">
        <f>5838.31+135.69</f>
        <v>5974</v>
      </c>
      <c r="T94" s="131">
        <v>5838.31</v>
      </c>
      <c r="U94" s="97">
        <f t="shared" si="6"/>
        <v>135.6899999999996</v>
      </c>
    </row>
    <row r="95" spans="1:21" ht="20.100000000000001" customHeight="1" x14ac:dyDescent="0.25">
      <c r="A95" s="110">
        <v>77</v>
      </c>
      <c r="B95" s="99">
        <f t="shared" si="4"/>
        <v>85</v>
      </c>
      <c r="C95" s="11" t="s">
        <v>97</v>
      </c>
      <c r="D95" s="100" t="s">
        <v>124</v>
      </c>
      <c r="E95" s="101"/>
      <c r="F95" s="17" t="s">
        <v>111</v>
      </c>
      <c r="G95" s="72" t="s">
        <v>215</v>
      </c>
      <c r="H95" s="77">
        <v>12</v>
      </c>
      <c r="I95" s="75">
        <v>4</v>
      </c>
      <c r="J95" s="75">
        <v>5</v>
      </c>
      <c r="K95" s="75">
        <v>4</v>
      </c>
      <c r="L95" s="75">
        <v>4</v>
      </c>
      <c r="M95" s="97">
        <v>3291.36</v>
      </c>
      <c r="N95" s="97"/>
      <c r="O95" s="93">
        <f t="shared" si="5"/>
        <v>3291.36</v>
      </c>
      <c r="P95" s="123">
        <v>19</v>
      </c>
      <c r="Q95" s="124">
        <v>19</v>
      </c>
      <c r="R95" s="124">
        <v>19</v>
      </c>
      <c r="S95" s="97">
        <f>18253.04+4245.2</f>
        <v>22498.240000000002</v>
      </c>
      <c r="T95" s="131">
        <v>18253.04</v>
      </c>
      <c r="U95" s="97">
        <f t="shared" si="6"/>
        <v>4245.2000000000007</v>
      </c>
    </row>
    <row r="96" spans="1:21" ht="20.100000000000001" customHeight="1" x14ac:dyDescent="0.25">
      <c r="A96" s="110">
        <v>78</v>
      </c>
      <c r="B96" s="99">
        <f t="shared" si="4"/>
        <v>86</v>
      </c>
      <c r="C96" s="10" t="s">
        <v>98</v>
      </c>
      <c r="D96" s="100" t="s">
        <v>124</v>
      </c>
      <c r="E96" s="101"/>
      <c r="F96" s="19" t="s">
        <v>106</v>
      </c>
      <c r="G96" s="72" t="s">
        <v>214</v>
      </c>
      <c r="H96" s="77">
        <v>14</v>
      </c>
      <c r="I96" s="75">
        <v>3</v>
      </c>
      <c r="J96" s="75">
        <v>3</v>
      </c>
      <c r="K96" s="75">
        <v>3</v>
      </c>
      <c r="L96" s="75">
        <v>1</v>
      </c>
      <c r="M96" s="97">
        <v>413.4</v>
      </c>
      <c r="N96" s="97">
        <v>413.4</v>
      </c>
      <c r="O96" s="93">
        <f t="shared" si="5"/>
        <v>0</v>
      </c>
      <c r="P96" s="123">
        <v>11</v>
      </c>
      <c r="Q96" s="124">
        <v>10</v>
      </c>
      <c r="R96" s="124">
        <v>9</v>
      </c>
      <c r="S96" s="97">
        <v>22276.25</v>
      </c>
      <c r="T96" s="131">
        <v>22276.25</v>
      </c>
      <c r="U96" s="97">
        <f t="shared" si="6"/>
        <v>0</v>
      </c>
    </row>
    <row r="97" spans="1:33" ht="20.100000000000001" customHeight="1" x14ac:dyDescent="0.25">
      <c r="A97" s="110">
        <v>80</v>
      </c>
      <c r="B97" s="99">
        <f t="shared" si="4"/>
        <v>87</v>
      </c>
      <c r="C97" s="10" t="s">
        <v>129</v>
      </c>
      <c r="D97" s="100" t="s">
        <v>124</v>
      </c>
      <c r="E97" s="101"/>
      <c r="F97" s="19" t="s">
        <v>106</v>
      </c>
      <c r="G97" s="72" t="s">
        <v>212</v>
      </c>
      <c r="H97" s="77">
        <v>6</v>
      </c>
      <c r="I97" s="75"/>
      <c r="J97" s="75"/>
      <c r="K97" s="75"/>
      <c r="L97" s="75"/>
      <c r="M97" s="97"/>
      <c r="N97" s="97"/>
      <c r="O97" s="93">
        <f t="shared" si="5"/>
        <v>0</v>
      </c>
      <c r="P97" s="123"/>
      <c r="Q97" s="124"/>
      <c r="R97" s="124"/>
      <c r="S97" s="97"/>
      <c r="T97" s="131"/>
      <c r="U97" s="97">
        <f t="shared" si="6"/>
        <v>0</v>
      </c>
    </row>
    <row r="98" spans="1:33" ht="20.100000000000001" customHeight="1" x14ac:dyDescent="0.25">
      <c r="A98" s="110">
        <v>79</v>
      </c>
      <c r="B98" s="99">
        <f t="shared" si="4"/>
        <v>88</v>
      </c>
      <c r="C98" s="10" t="s">
        <v>99</v>
      </c>
      <c r="D98" s="100" t="s">
        <v>124</v>
      </c>
      <c r="E98" s="101"/>
      <c r="F98" s="19" t="s">
        <v>106</v>
      </c>
      <c r="G98" s="72" t="s">
        <v>213</v>
      </c>
      <c r="H98" s="77">
        <v>6</v>
      </c>
      <c r="I98" s="75">
        <v>5</v>
      </c>
      <c r="J98" s="75">
        <v>5</v>
      </c>
      <c r="K98" s="75">
        <v>4</v>
      </c>
      <c r="L98" s="75">
        <v>2</v>
      </c>
      <c r="M98" s="97">
        <v>1545.67</v>
      </c>
      <c r="N98" s="97">
        <v>408.82</v>
      </c>
      <c r="O98" s="93">
        <f t="shared" si="5"/>
        <v>1136.8500000000001</v>
      </c>
      <c r="P98" s="123">
        <v>4</v>
      </c>
      <c r="Q98" s="124">
        <v>4</v>
      </c>
      <c r="R98" s="124">
        <v>4</v>
      </c>
      <c r="S98" s="97">
        <v>1744.35</v>
      </c>
      <c r="T98" s="131">
        <v>822.22</v>
      </c>
      <c r="U98" s="97">
        <f t="shared" si="6"/>
        <v>922.12999999999988</v>
      </c>
    </row>
    <row r="99" spans="1:33" ht="20.100000000000001" customHeight="1" x14ac:dyDescent="0.25">
      <c r="A99" s="110">
        <v>81</v>
      </c>
      <c r="B99" s="99">
        <f t="shared" si="4"/>
        <v>89</v>
      </c>
      <c r="C99" s="13" t="s">
        <v>100</v>
      </c>
      <c r="D99" s="100" t="s">
        <v>124</v>
      </c>
      <c r="E99" s="101"/>
      <c r="F99" s="19" t="s">
        <v>106</v>
      </c>
      <c r="G99" s="72" t="s">
        <v>211</v>
      </c>
      <c r="H99" s="77">
        <v>10</v>
      </c>
      <c r="I99" s="75">
        <v>2</v>
      </c>
      <c r="J99" s="75">
        <v>2</v>
      </c>
      <c r="K99" s="75">
        <v>2</v>
      </c>
      <c r="L99" s="75"/>
      <c r="M99" s="97"/>
      <c r="N99" s="97"/>
      <c r="O99" s="93">
        <f t="shared" si="5"/>
        <v>0</v>
      </c>
      <c r="P99" s="123">
        <v>6</v>
      </c>
      <c r="Q99" s="124">
        <v>6</v>
      </c>
      <c r="R99" s="124">
        <v>5</v>
      </c>
      <c r="S99" s="97">
        <v>6457</v>
      </c>
      <c r="T99" s="131">
        <v>6457</v>
      </c>
      <c r="U99" s="97">
        <f t="shared" si="6"/>
        <v>0</v>
      </c>
    </row>
    <row r="100" spans="1:33" ht="20.100000000000001" customHeight="1" x14ac:dyDescent="0.25">
      <c r="A100" s="110">
        <v>82</v>
      </c>
      <c r="B100" s="99">
        <f t="shared" si="4"/>
        <v>90</v>
      </c>
      <c r="C100" s="13" t="s">
        <v>101</v>
      </c>
      <c r="D100" s="100" t="s">
        <v>124</v>
      </c>
      <c r="E100" s="101"/>
      <c r="F100" s="17" t="s">
        <v>106</v>
      </c>
      <c r="G100" s="72" t="s">
        <v>210</v>
      </c>
      <c r="H100" s="77">
        <v>9</v>
      </c>
      <c r="I100" s="75">
        <v>1</v>
      </c>
      <c r="J100" s="75">
        <v>1</v>
      </c>
      <c r="K100" s="75">
        <v>1</v>
      </c>
      <c r="L100" s="75"/>
      <c r="M100" s="97"/>
      <c r="N100" s="97"/>
      <c r="O100" s="93">
        <f t="shared" si="5"/>
        <v>0</v>
      </c>
      <c r="P100" s="123">
        <v>6</v>
      </c>
      <c r="Q100" s="124">
        <v>6</v>
      </c>
      <c r="R100" s="124">
        <v>6</v>
      </c>
      <c r="S100" s="97">
        <v>5077.71</v>
      </c>
      <c r="T100" s="131">
        <v>2190.71</v>
      </c>
      <c r="U100" s="97">
        <f t="shared" si="6"/>
        <v>2887</v>
      </c>
    </row>
    <row r="101" spans="1:33" ht="20.100000000000001" customHeight="1" x14ac:dyDescent="0.25">
      <c r="A101" s="110">
        <v>83</v>
      </c>
      <c r="B101" s="99">
        <f t="shared" si="4"/>
        <v>91</v>
      </c>
      <c r="C101" s="13" t="s">
        <v>102</v>
      </c>
      <c r="D101" s="100" t="s">
        <v>124</v>
      </c>
      <c r="E101" s="101"/>
      <c r="F101" s="17" t="s">
        <v>106</v>
      </c>
      <c r="G101" s="72" t="s">
        <v>209</v>
      </c>
      <c r="H101" s="77">
        <v>11</v>
      </c>
      <c r="I101" s="75">
        <v>5</v>
      </c>
      <c r="J101" s="75">
        <v>6</v>
      </c>
      <c r="K101" s="75">
        <v>6</v>
      </c>
      <c r="L101" s="75">
        <v>4</v>
      </c>
      <c r="M101" s="97">
        <v>4459.37</v>
      </c>
      <c r="N101" s="97">
        <v>2669.35</v>
      </c>
      <c r="O101" s="93">
        <f t="shared" si="5"/>
        <v>1790.02</v>
      </c>
      <c r="P101" s="123">
        <v>7</v>
      </c>
      <c r="Q101" s="124">
        <v>7</v>
      </c>
      <c r="R101" s="124">
        <v>7</v>
      </c>
      <c r="S101" s="97">
        <v>4232.91</v>
      </c>
      <c r="T101" s="131">
        <v>2274.39</v>
      </c>
      <c r="U101" s="97">
        <f t="shared" si="6"/>
        <v>1958.52</v>
      </c>
    </row>
    <row r="102" spans="1:33" ht="20.100000000000001" customHeight="1" x14ac:dyDescent="0.25">
      <c r="A102" s="110">
        <v>84</v>
      </c>
      <c r="B102" s="99">
        <f t="shared" si="4"/>
        <v>92</v>
      </c>
      <c r="C102" s="11" t="s">
        <v>103</v>
      </c>
      <c r="D102" s="100" t="s">
        <v>124</v>
      </c>
      <c r="E102" s="101"/>
      <c r="F102" s="22" t="s">
        <v>112</v>
      </c>
      <c r="G102" s="72" t="s">
        <v>208</v>
      </c>
      <c r="H102" s="77">
        <v>26</v>
      </c>
      <c r="I102" s="75">
        <v>6</v>
      </c>
      <c r="J102" s="75">
        <v>6</v>
      </c>
      <c r="K102" s="75">
        <v>6</v>
      </c>
      <c r="L102" s="75">
        <v>6</v>
      </c>
      <c r="M102" s="97">
        <f>234.26+3190.4</f>
        <v>3424.66</v>
      </c>
      <c r="N102" s="97">
        <f>234.26</f>
        <v>234.26</v>
      </c>
      <c r="O102" s="93">
        <f t="shared" si="5"/>
        <v>3190.3999999999996</v>
      </c>
      <c r="P102" s="123">
        <v>17</v>
      </c>
      <c r="Q102" s="124">
        <v>13</v>
      </c>
      <c r="R102" s="124">
        <v>13</v>
      </c>
      <c r="S102" s="97">
        <f>16946.83+3092.58</f>
        <v>20039.410000000003</v>
      </c>
      <c r="T102" s="131">
        <f>6585.82+10361.01</f>
        <v>16946.830000000002</v>
      </c>
      <c r="U102" s="97">
        <f t="shared" si="6"/>
        <v>3092.5800000000017</v>
      </c>
    </row>
    <row r="103" spans="1:33" ht="20.100000000000001" customHeight="1" x14ac:dyDescent="0.25">
      <c r="A103" s="110">
        <v>85</v>
      </c>
      <c r="B103" s="115">
        <f>B102+1</f>
        <v>93</v>
      </c>
      <c r="C103" s="116" t="s">
        <v>104</v>
      </c>
      <c r="D103" s="111" t="s">
        <v>124</v>
      </c>
      <c r="E103" s="112"/>
      <c r="F103" s="117" t="s">
        <v>106</v>
      </c>
      <c r="G103" s="118" t="s">
        <v>207</v>
      </c>
      <c r="H103" s="113">
        <v>4</v>
      </c>
      <c r="I103" s="114">
        <v>1</v>
      </c>
      <c r="J103" s="114">
        <v>1</v>
      </c>
      <c r="K103" s="114">
        <v>1</v>
      </c>
      <c r="L103" s="114">
        <v>1</v>
      </c>
      <c r="M103" s="147">
        <v>137.80000000000001</v>
      </c>
      <c r="N103" s="147">
        <v>137.80000000000001</v>
      </c>
      <c r="O103" s="148">
        <f t="shared" si="5"/>
        <v>0</v>
      </c>
      <c r="P103" s="149">
        <v>3</v>
      </c>
      <c r="Q103" s="150">
        <v>3</v>
      </c>
      <c r="R103" s="150">
        <v>3</v>
      </c>
      <c r="S103" s="147">
        <v>1193.3</v>
      </c>
      <c r="T103" s="132">
        <v>1193.3</v>
      </c>
      <c r="U103" s="97">
        <f t="shared" si="6"/>
        <v>0</v>
      </c>
    </row>
    <row r="104" spans="1:33" ht="20.100000000000001" customHeight="1" x14ac:dyDescent="0.25">
      <c r="B104" s="106">
        <v>94</v>
      </c>
      <c r="C104" s="10" t="s">
        <v>258</v>
      </c>
      <c r="D104" s="111" t="s">
        <v>124</v>
      </c>
      <c r="E104" s="101"/>
      <c r="F104" s="12" t="s">
        <v>106</v>
      </c>
      <c r="G104" s="118" t="s">
        <v>261</v>
      </c>
      <c r="H104" s="75">
        <v>2</v>
      </c>
      <c r="I104" s="75"/>
      <c r="J104" s="75"/>
      <c r="K104" s="75"/>
      <c r="L104" s="75"/>
      <c r="M104" s="97"/>
      <c r="N104" s="97"/>
      <c r="O104" s="97"/>
      <c r="P104" s="124"/>
      <c r="Q104" s="124"/>
      <c r="R104" s="124"/>
      <c r="S104" s="97"/>
      <c r="T104" s="131"/>
      <c r="U104" s="97"/>
      <c r="V104" s="145"/>
    </row>
    <row r="105" spans="1:33" ht="20.100000000000001" customHeight="1" x14ac:dyDescent="0.25">
      <c r="B105" s="362"/>
      <c r="C105" s="362"/>
      <c r="D105" s="362"/>
      <c r="E105" s="362"/>
      <c r="F105" s="362"/>
      <c r="G105" s="362"/>
      <c r="H105" s="119">
        <f>SUM(H10:H104)</f>
        <v>812</v>
      </c>
      <c r="I105" s="119">
        <f t="shared" ref="I105:Q105" si="7">SUM(I10:I103)</f>
        <v>355</v>
      </c>
      <c r="J105" s="119">
        <f t="shared" si="7"/>
        <v>434</v>
      </c>
      <c r="K105" s="119">
        <f t="shared" si="7"/>
        <v>386</v>
      </c>
      <c r="L105" s="119">
        <f t="shared" si="7"/>
        <v>254</v>
      </c>
      <c r="M105" s="151">
        <f t="shared" si="7"/>
        <v>163244.80999999994</v>
      </c>
      <c r="N105" s="151">
        <f t="shared" si="7"/>
        <v>56789.53</v>
      </c>
      <c r="O105" s="151">
        <f t="shared" si="7"/>
        <v>106455.28</v>
      </c>
      <c r="P105" s="152">
        <f t="shared" si="7"/>
        <v>535</v>
      </c>
      <c r="Q105" s="152">
        <f t="shared" si="7"/>
        <v>492</v>
      </c>
      <c r="R105" s="152">
        <f>SUM(R11:R103)</f>
        <v>428</v>
      </c>
      <c r="S105" s="151">
        <f>SUM(S10:S103)</f>
        <v>593702.9800000001</v>
      </c>
      <c r="T105" s="146">
        <f>SUM(T10:T103)</f>
        <v>403280.81</v>
      </c>
      <c r="U105" s="120">
        <f>SUM(U10:U103)</f>
        <v>190422.16999999998</v>
      </c>
      <c r="V105" s="153"/>
      <c r="W105" s="153"/>
      <c r="X105" s="154"/>
      <c r="Y105" s="153"/>
      <c r="Z105" s="154"/>
      <c r="AA105" s="153"/>
      <c r="AB105" s="154"/>
      <c r="AC105" s="154"/>
      <c r="AD105" s="154"/>
      <c r="AE105" s="154"/>
      <c r="AF105" s="153"/>
      <c r="AG105" s="153"/>
    </row>
    <row r="107" spans="1:33" x14ac:dyDescent="0.25">
      <c r="V107" s="145"/>
      <c r="W107" s="14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6">
    <cfRule type="cellIs" dxfId="434" priority="2" stopIfTrue="1" operator="equal">
      <formula>0</formula>
    </cfRule>
  </conditionalFormatting>
  <conditionalFormatting sqref="AL46">
    <cfRule type="cellIs" dxfId="433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7"/>
  <sheetViews>
    <sheetView topLeftCell="B86" zoomScale="80" zoomScaleNormal="80" workbookViewId="0">
      <selection activeCell="V105" sqref="V105:AH105"/>
    </sheetView>
  </sheetViews>
  <sheetFormatPr defaultRowHeight="15.75" x14ac:dyDescent="0.25"/>
  <cols>
    <col min="1" max="1" width="9.140625" style="155" hidden="1" customWidth="1"/>
    <col min="2" max="2" width="9.140625" style="55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9.5703125" style="109" customWidth="1"/>
    <col min="15" max="15" width="12.28515625" style="109" customWidth="1"/>
    <col min="16" max="18" width="9.140625" style="109" customWidth="1"/>
    <col min="19" max="19" width="16.85546875" style="109" customWidth="1"/>
    <col min="20" max="20" width="10.7109375" style="109" customWidth="1"/>
    <col min="21" max="21" width="10.7109375" style="133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3" width="10.28515625" style="134" bestFit="1" customWidth="1"/>
    <col min="34" max="34" width="9.140625" style="134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263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262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16</v>
      </c>
      <c r="I10" s="75">
        <v>3</v>
      </c>
      <c r="J10" s="75">
        <v>3</v>
      </c>
      <c r="K10" s="75">
        <v>3</v>
      </c>
      <c r="L10" s="75">
        <v>3</v>
      </c>
      <c r="M10" s="97">
        <f>1033.5+1418.08</f>
        <v>2451.58</v>
      </c>
      <c r="N10" s="97">
        <v>1033.5</v>
      </c>
      <c r="O10" s="93">
        <f xml:space="preserve"> (M10-N10)</f>
        <v>1418.08</v>
      </c>
      <c r="P10" s="123">
        <v>6</v>
      </c>
      <c r="Q10" s="124">
        <v>6</v>
      </c>
      <c r="R10" s="124">
        <v>6</v>
      </c>
      <c r="S10" s="97">
        <v>4246.75</v>
      </c>
      <c r="T10" s="131">
        <v>4246.75</v>
      </c>
      <c r="U10" s="97">
        <f xml:space="preserve"> (S10-T10)</f>
        <v>0</v>
      </c>
      <c r="V10" s="135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4</v>
      </c>
      <c r="I11" s="75">
        <v>2</v>
      </c>
      <c r="J11" s="75">
        <v>2</v>
      </c>
      <c r="K11" s="75">
        <v>2</v>
      </c>
      <c r="L11" s="75">
        <v>1</v>
      </c>
      <c r="M11" s="97">
        <v>275.60000000000002</v>
      </c>
      <c r="N11" s="97"/>
      <c r="O11" s="93">
        <f t="shared" ref="O11:O75" si="1" xml:space="preserve"> (M11-N11)</f>
        <v>275.60000000000002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131">
        <v>234.26</v>
      </c>
      <c r="U11" s="97">
        <f t="shared" ref="U11:U75" si="2" xml:space="preserve"> (S11-T11)</f>
        <v>1035.3</v>
      </c>
      <c r="V11" s="135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f t="shared" ref="B12:B75" si="3">B11+1</f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2</v>
      </c>
      <c r="S12" s="97">
        <v>1548.67</v>
      </c>
      <c r="T12" s="131">
        <v>1548.67</v>
      </c>
      <c r="U12" s="97">
        <f t="shared" si="2"/>
        <v>0</v>
      </c>
      <c r="V12" s="14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si="3"/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8</v>
      </c>
      <c r="I13" s="75">
        <v>4</v>
      </c>
      <c r="J13" s="75">
        <v>5</v>
      </c>
      <c r="K13" s="75">
        <v>5</v>
      </c>
      <c r="L13" s="75">
        <v>5</v>
      </c>
      <c r="M13" s="97">
        <f>272.84+2699.54</f>
        <v>2972.38</v>
      </c>
      <c r="N13" s="97">
        <v>272.83999999999997</v>
      </c>
      <c r="O13" s="93">
        <f t="shared" si="1"/>
        <v>2699.54</v>
      </c>
      <c r="P13" s="123">
        <v>4</v>
      </c>
      <c r="Q13" s="124">
        <v>4</v>
      </c>
      <c r="R13" s="124">
        <v>4</v>
      </c>
      <c r="S13" s="97">
        <f>7385.53+1228.66</f>
        <v>8614.19</v>
      </c>
      <c r="T13" s="131">
        <v>7385.53</v>
      </c>
      <c r="U13" s="97">
        <f t="shared" si="2"/>
        <v>1228.6600000000008</v>
      </c>
      <c r="V13" s="14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13</v>
      </c>
      <c r="I14" s="75">
        <v>7</v>
      </c>
      <c r="J14" s="75">
        <v>8</v>
      </c>
      <c r="K14" s="75">
        <v>7</v>
      </c>
      <c r="L14" s="75">
        <v>7</v>
      </c>
      <c r="M14" s="97">
        <f>2277.13+1033.5</f>
        <v>3310.63</v>
      </c>
      <c r="N14" s="97">
        <v>2277.13</v>
      </c>
      <c r="O14" s="93">
        <f t="shared" si="1"/>
        <v>1033.5</v>
      </c>
      <c r="P14" s="123">
        <v>5</v>
      </c>
      <c r="Q14" s="124">
        <v>4</v>
      </c>
      <c r="R14" s="124">
        <v>4</v>
      </c>
      <c r="S14" s="97">
        <f>1800.7+633</f>
        <v>2433.6999999999998</v>
      </c>
      <c r="T14" s="131">
        <v>1800.7</v>
      </c>
      <c r="U14" s="97">
        <f t="shared" si="2"/>
        <v>632.99999999999977</v>
      </c>
      <c r="V14" s="135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13</v>
      </c>
      <c r="I15" s="75">
        <v>6</v>
      </c>
      <c r="J15" s="75">
        <v>9</v>
      </c>
      <c r="K15" s="75">
        <v>9</v>
      </c>
      <c r="L15" s="75">
        <v>9</v>
      </c>
      <c r="M15" s="97">
        <f>3475.33+5779.42</f>
        <v>9254.75</v>
      </c>
      <c r="N15" s="97"/>
      <c r="O15" s="93">
        <f t="shared" si="1"/>
        <v>9254.75</v>
      </c>
      <c r="P15" s="123">
        <v>11</v>
      </c>
      <c r="Q15" s="124">
        <v>11</v>
      </c>
      <c r="R15" s="124">
        <v>11</v>
      </c>
      <c r="S15" s="97">
        <f>9375.69+2892.09</f>
        <v>12267.78</v>
      </c>
      <c r="T15" s="131">
        <v>4569.41</v>
      </c>
      <c r="U15" s="97">
        <f t="shared" si="2"/>
        <v>7698.3700000000008</v>
      </c>
      <c r="V15" s="135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131"/>
      <c r="U16" s="97">
        <f t="shared" si="2"/>
        <v>0</v>
      </c>
      <c r="V16" s="135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6</v>
      </c>
      <c r="I17" s="75">
        <v>4</v>
      </c>
      <c r="J17" s="75">
        <v>7</v>
      </c>
      <c r="K17" s="75">
        <v>2</v>
      </c>
      <c r="L17" s="75"/>
      <c r="M17" s="97"/>
      <c r="N17" s="97"/>
      <c r="O17" s="93">
        <f t="shared" si="1"/>
        <v>0</v>
      </c>
      <c r="P17" s="123">
        <v>1</v>
      </c>
      <c r="Q17" s="124"/>
      <c r="R17" s="124"/>
      <c r="S17" s="97"/>
      <c r="T17" s="131"/>
      <c r="U17" s="97">
        <f t="shared" si="2"/>
        <v>0</v>
      </c>
      <c r="V17" s="135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2</v>
      </c>
      <c r="I18" s="75"/>
      <c r="J18" s="75"/>
      <c r="K18" s="75"/>
      <c r="L18" s="75"/>
      <c r="M18" s="97"/>
      <c r="N18" s="97"/>
      <c r="O18" s="93">
        <f t="shared" si="1"/>
        <v>0</v>
      </c>
      <c r="P18" s="123">
        <v>5</v>
      </c>
      <c r="Q18" s="124">
        <v>5</v>
      </c>
      <c r="R18" s="124">
        <v>3</v>
      </c>
      <c r="S18" s="97">
        <v>14748.55</v>
      </c>
      <c r="T18" s="131">
        <v>14748.55</v>
      </c>
      <c r="U18" s="97">
        <f t="shared" si="2"/>
        <v>0</v>
      </c>
      <c r="V18" s="135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15</v>
      </c>
      <c r="I19" s="75">
        <v>8</v>
      </c>
      <c r="J19" s="75">
        <v>11</v>
      </c>
      <c r="K19" s="75">
        <v>9</v>
      </c>
      <c r="L19" s="75">
        <v>9</v>
      </c>
      <c r="M19" s="97">
        <f>1744.9+542.59+1862.35</f>
        <v>4149.84</v>
      </c>
      <c r="N19" s="97">
        <f>749.29</f>
        <v>749.29</v>
      </c>
      <c r="O19" s="93">
        <f t="shared" si="1"/>
        <v>3400.55</v>
      </c>
      <c r="P19" s="123">
        <v>12</v>
      </c>
      <c r="Q19" s="124">
        <v>12</v>
      </c>
      <c r="R19" s="124">
        <v>12</v>
      </c>
      <c r="S19" s="97">
        <f>12589.36+4299.58+3922.41</f>
        <v>20811.350000000002</v>
      </c>
      <c r="T19" s="131">
        <f>9246.57</f>
        <v>9246.57</v>
      </c>
      <c r="U19" s="97">
        <f t="shared" si="2"/>
        <v>11564.780000000002</v>
      </c>
      <c r="V19" s="143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14</v>
      </c>
      <c r="I20" s="75">
        <v>4</v>
      </c>
      <c r="J20" s="75">
        <v>4</v>
      </c>
      <c r="K20" s="75">
        <v>4</v>
      </c>
      <c r="L20" s="75">
        <v>3</v>
      </c>
      <c r="M20" s="97">
        <v>1581.26</v>
      </c>
      <c r="N20" s="97"/>
      <c r="O20" s="93">
        <f t="shared" si="1"/>
        <v>1581.26</v>
      </c>
      <c r="P20" s="123">
        <v>22</v>
      </c>
      <c r="Q20" s="124">
        <v>22</v>
      </c>
      <c r="R20" s="124">
        <v>19</v>
      </c>
      <c r="S20" s="97">
        <f>14391.07+12609.01</f>
        <v>27000.080000000002</v>
      </c>
      <c r="T20" s="131">
        <v>14391.07</v>
      </c>
      <c r="U20" s="97">
        <f t="shared" si="2"/>
        <v>12609.010000000002</v>
      </c>
      <c r="V20" s="14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8</v>
      </c>
      <c r="I21" s="75">
        <v>2</v>
      </c>
      <c r="J21" s="75">
        <v>2</v>
      </c>
      <c r="K21" s="75">
        <v>2</v>
      </c>
      <c r="L21" s="75">
        <v>2</v>
      </c>
      <c r="M21" s="97">
        <f>427.18+831.61</f>
        <v>1258.79</v>
      </c>
      <c r="N21" s="97">
        <v>427.18</v>
      </c>
      <c r="O21" s="93">
        <f t="shared" si="1"/>
        <v>831.6099999999999</v>
      </c>
      <c r="P21" s="123">
        <v>4</v>
      </c>
      <c r="Q21" s="124">
        <v>4</v>
      </c>
      <c r="R21" s="124">
        <v>4</v>
      </c>
      <c r="S21" s="97">
        <f>5005.45+1729.9</f>
        <v>6735.35</v>
      </c>
      <c r="T21" s="131">
        <f>1928.2+3077.25</f>
        <v>5005.45</v>
      </c>
      <c r="U21" s="97">
        <f t="shared" si="2"/>
        <v>1729.9000000000005</v>
      </c>
      <c r="V21" s="135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28</v>
      </c>
      <c r="I22" s="75">
        <v>17</v>
      </c>
      <c r="J22" s="75">
        <v>26</v>
      </c>
      <c r="K22" s="75">
        <v>9</v>
      </c>
      <c r="L22" s="75">
        <v>9</v>
      </c>
      <c r="M22" s="97">
        <f>910.39+3506.19</f>
        <v>4416.58</v>
      </c>
      <c r="N22" s="97">
        <v>910.39</v>
      </c>
      <c r="O22" s="93">
        <f t="shared" si="1"/>
        <v>3506.19</v>
      </c>
      <c r="P22" s="123">
        <v>18</v>
      </c>
      <c r="Q22" s="124">
        <v>15</v>
      </c>
      <c r="R22" s="124">
        <v>15</v>
      </c>
      <c r="S22" s="97">
        <f>16007.48+3068.6</f>
        <v>19076.079999999998</v>
      </c>
      <c r="T22" s="131">
        <f>14006.59+2000.89</f>
        <v>16007.48</v>
      </c>
      <c r="U22" s="97">
        <f t="shared" si="2"/>
        <v>3068.5999999999985</v>
      </c>
      <c r="V22" s="135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7</v>
      </c>
      <c r="I23" s="75">
        <v>3</v>
      </c>
      <c r="J23" s="75">
        <v>3</v>
      </c>
      <c r="K23" s="75">
        <v>3</v>
      </c>
      <c r="L23" s="75">
        <v>3</v>
      </c>
      <c r="M23" s="97">
        <f>1852.03+375.16</f>
        <v>2227.19</v>
      </c>
      <c r="N23" s="97">
        <v>1852.03</v>
      </c>
      <c r="O23" s="93">
        <f t="shared" si="1"/>
        <v>375.16000000000008</v>
      </c>
      <c r="P23" s="123">
        <v>11</v>
      </c>
      <c r="Q23" s="124">
        <v>11</v>
      </c>
      <c r="R23" s="124">
        <v>10</v>
      </c>
      <c r="S23" s="97">
        <f>23953.14+1377.56</f>
        <v>25330.7</v>
      </c>
      <c r="T23" s="131">
        <f>13330.21</f>
        <v>13330.21</v>
      </c>
      <c r="U23" s="97">
        <f t="shared" si="2"/>
        <v>12000.490000000002</v>
      </c>
      <c r="V23" s="143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12</v>
      </c>
      <c r="I24" s="75">
        <v>6</v>
      </c>
      <c r="J24" s="75">
        <v>6</v>
      </c>
      <c r="K24" s="75">
        <v>5</v>
      </c>
      <c r="L24" s="75">
        <v>5</v>
      </c>
      <c r="M24" s="97">
        <v>1515.11</v>
      </c>
      <c r="N24" s="97"/>
      <c r="O24" s="93">
        <f t="shared" si="1"/>
        <v>1515.11</v>
      </c>
      <c r="P24" s="123">
        <v>6</v>
      </c>
      <c r="Q24" s="124">
        <v>6</v>
      </c>
      <c r="R24" s="124">
        <v>6</v>
      </c>
      <c r="S24" s="97">
        <v>4998.37</v>
      </c>
      <c r="T24" s="131">
        <f>274.6+334.74</f>
        <v>609.34</v>
      </c>
      <c r="U24" s="97">
        <f t="shared" si="2"/>
        <v>4389.03</v>
      </c>
      <c r="V24" s="135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10</v>
      </c>
      <c r="I25" s="75">
        <v>9</v>
      </c>
      <c r="J25" s="75">
        <v>14</v>
      </c>
      <c r="K25" s="75">
        <v>9</v>
      </c>
      <c r="L25" s="75">
        <v>8</v>
      </c>
      <c r="M25" s="97">
        <f>2255.39+2419.13</f>
        <v>4674.5200000000004</v>
      </c>
      <c r="N25" s="97">
        <v>2255.39</v>
      </c>
      <c r="O25" s="93">
        <f t="shared" si="1"/>
        <v>2419.1300000000006</v>
      </c>
      <c r="P25" s="123">
        <v>21</v>
      </c>
      <c r="Q25" s="124">
        <v>18</v>
      </c>
      <c r="R25" s="124">
        <v>18</v>
      </c>
      <c r="S25" s="97">
        <f>17792.25+4619.68</f>
        <v>22411.93</v>
      </c>
      <c r="T25" s="131">
        <f>14484.31+3307.94</f>
        <v>17792.25</v>
      </c>
      <c r="U25" s="97">
        <f t="shared" si="2"/>
        <v>4619.68</v>
      </c>
      <c r="V25" s="142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13</v>
      </c>
      <c r="I26" s="75"/>
      <c r="J26" s="75"/>
      <c r="K26" s="75"/>
      <c r="L26" s="75"/>
      <c r="M26" s="97"/>
      <c r="N26" s="97"/>
      <c r="O26" s="93">
        <f t="shared" si="1"/>
        <v>0</v>
      </c>
      <c r="P26" s="123"/>
      <c r="Q26" s="124"/>
      <c r="R26" s="124"/>
      <c r="S26" s="97"/>
      <c r="T26" s="131"/>
      <c r="U26" s="97">
        <f t="shared" si="2"/>
        <v>0</v>
      </c>
      <c r="V26" s="135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12</v>
      </c>
      <c r="I27" s="75">
        <v>7</v>
      </c>
      <c r="J27" s="75">
        <v>12</v>
      </c>
      <c r="K27" s="75">
        <v>12</v>
      </c>
      <c r="L27" s="75">
        <v>9</v>
      </c>
      <c r="M27" s="97">
        <f>2738.38+1698.1</f>
        <v>4436.4799999999996</v>
      </c>
      <c r="N27" s="97"/>
      <c r="O27" s="93">
        <f t="shared" si="1"/>
        <v>4436.4799999999996</v>
      </c>
      <c r="P27" s="123">
        <v>12</v>
      </c>
      <c r="Q27" s="124">
        <v>12</v>
      </c>
      <c r="R27" s="124">
        <v>12</v>
      </c>
      <c r="S27" s="97">
        <f>11399.36+591.16</f>
        <v>11990.52</v>
      </c>
      <c r="T27" s="131">
        <v>3370.97</v>
      </c>
      <c r="U27" s="97">
        <f t="shared" si="2"/>
        <v>8619.5500000000011</v>
      </c>
      <c r="V27" s="135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131"/>
      <c r="U28" s="97">
        <f t="shared" si="2"/>
        <v>0</v>
      </c>
      <c r="V28" s="135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12</v>
      </c>
      <c r="I29" s="75">
        <v>11</v>
      </c>
      <c r="J29" s="75">
        <v>13</v>
      </c>
      <c r="K29" s="75">
        <v>11</v>
      </c>
      <c r="L29" s="75">
        <v>11</v>
      </c>
      <c r="M29" s="97">
        <f>2023.14+2605.8+1307.38</f>
        <v>5936.3200000000006</v>
      </c>
      <c r="N29" s="97">
        <f>358.28+1664.86</f>
        <v>2023.1399999999999</v>
      </c>
      <c r="O29" s="93">
        <f t="shared" si="1"/>
        <v>3913.1800000000007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131">
        <v>15185.09</v>
      </c>
      <c r="U29" s="97">
        <f t="shared" si="2"/>
        <v>570.43000000000029</v>
      </c>
      <c r="V29" s="143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17</v>
      </c>
      <c r="I30" s="75">
        <v>7</v>
      </c>
      <c r="J30" s="75">
        <v>8</v>
      </c>
      <c r="K30" s="75">
        <v>8</v>
      </c>
      <c r="L30" s="75">
        <v>8</v>
      </c>
      <c r="M30" s="97">
        <f>2487.52+2349.38</f>
        <v>4836.8999999999996</v>
      </c>
      <c r="N30" s="97"/>
      <c r="O30" s="93">
        <f t="shared" si="1"/>
        <v>4836.8999999999996</v>
      </c>
      <c r="P30" s="123">
        <v>14</v>
      </c>
      <c r="Q30" s="124">
        <v>14</v>
      </c>
      <c r="R30" s="124">
        <v>14</v>
      </c>
      <c r="S30" s="97">
        <f>7176.8+21702.37</f>
        <v>28879.17</v>
      </c>
      <c r="T30" s="131">
        <v>5755.74</v>
      </c>
      <c r="U30" s="97">
        <f t="shared" si="2"/>
        <v>23123.43</v>
      </c>
      <c r="V30" s="14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20</v>
      </c>
      <c r="B31" s="99"/>
      <c r="C31" s="11" t="s">
        <v>242</v>
      </c>
      <c r="D31" s="100" t="s">
        <v>124</v>
      </c>
      <c r="E31" s="101"/>
      <c r="F31" s="17" t="s">
        <v>117</v>
      </c>
      <c r="G31" s="72" t="s">
        <v>259</v>
      </c>
      <c r="H31" s="77">
        <v>3</v>
      </c>
      <c r="I31" s="75"/>
      <c r="J31" s="75"/>
      <c r="K31" s="75"/>
      <c r="L31" s="75"/>
      <c r="M31" s="97"/>
      <c r="N31" s="97"/>
      <c r="O31" s="93"/>
      <c r="P31" s="123"/>
      <c r="Q31" s="124"/>
      <c r="R31" s="124"/>
      <c r="S31" s="97"/>
      <c r="T31" s="131"/>
      <c r="U31" s="97"/>
      <c r="V31" s="14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A32" s="155">
        <v>23</v>
      </c>
      <c r="B32" s="99">
        <f>B30+1</f>
        <v>22</v>
      </c>
      <c r="C32" s="11" t="s">
        <v>38</v>
      </c>
      <c r="D32" s="100" t="s">
        <v>124</v>
      </c>
      <c r="E32" s="101"/>
      <c r="F32" s="17" t="s">
        <v>106</v>
      </c>
      <c r="G32" s="72" t="s">
        <v>157</v>
      </c>
      <c r="H32" s="77">
        <v>4</v>
      </c>
      <c r="I32" s="75">
        <v>1</v>
      </c>
      <c r="J32" s="75">
        <v>2</v>
      </c>
      <c r="K32" s="75">
        <v>2</v>
      </c>
      <c r="L32" s="75">
        <v>2</v>
      </c>
      <c r="M32" s="97">
        <v>859.25</v>
      </c>
      <c r="N32" s="97"/>
      <c r="O32" s="93">
        <f t="shared" si="1"/>
        <v>859.25</v>
      </c>
      <c r="P32" s="123">
        <v>2</v>
      </c>
      <c r="Q32" s="124">
        <v>2</v>
      </c>
      <c r="R32" s="124">
        <v>2</v>
      </c>
      <c r="S32" s="97">
        <f>442.37+1014.7</f>
        <v>1457.0700000000002</v>
      </c>
      <c r="T32" s="131">
        <v>442.37</v>
      </c>
      <c r="U32" s="97">
        <f t="shared" si="2"/>
        <v>1014.7000000000002</v>
      </c>
      <c r="V32" s="14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B33" s="99">
        <f t="shared" si="3"/>
        <v>23</v>
      </c>
      <c r="C33" s="10" t="s">
        <v>39</v>
      </c>
      <c r="D33" s="100" t="s">
        <v>124</v>
      </c>
      <c r="E33" s="101"/>
      <c r="F33" s="10" t="s">
        <v>105</v>
      </c>
      <c r="G33" s="72" t="s">
        <v>220</v>
      </c>
      <c r="H33" s="77"/>
      <c r="I33" s="75"/>
      <c r="J33" s="75"/>
      <c r="K33" s="75"/>
      <c r="L33" s="75"/>
      <c r="M33" s="97"/>
      <c r="N33" s="97"/>
      <c r="O33" s="93">
        <f t="shared" si="1"/>
        <v>0</v>
      </c>
      <c r="P33" s="123"/>
      <c r="Q33" s="124"/>
      <c r="R33" s="124"/>
      <c r="S33" s="97"/>
      <c r="T33" s="131"/>
      <c r="U33" s="97">
        <f t="shared" si="2"/>
        <v>0</v>
      </c>
      <c r="V33" s="135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86</v>
      </c>
      <c r="B34" s="99">
        <f t="shared" si="3"/>
        <v>24</v>
      </c>
      <c r="C34" s="10" t="s">
        <v>137</v>
      </c>
      <c r="D34" s="100" t="s">
        <v>124</v>
      </c>
      <c r="E34" s="101"/>
      <c r="F34" s="17" t="s">
        <v>106</v>
      </c>
      <c r="G34" s="72" t="s">
        <v>158</v>
      </c>
      <c r="H34" s="77">
        <v>8</v>
      </c>
      <c r="I34" s="75">
        <v>4</v>
      </c>
      <c r="J34" s="75">
        <v>4</v>
      </c>
      <c r="K34" s="75">
        <v>3</v>
      </c>
      <c r="L34" s="75">
        <v>3</v>
      </c>
      <c r="M34" s="97">
        <f>1929.2</f>
        <v>1929.2</v>
      </c>
      <c r="N34" s="97"/>
      <c r="O34" s="93">
        <f t="shared" si="1"/>
        <v>1929.2</v>
      </c>
      <c r="P34" s="123"/>
      <c r="Q34" s="124"/>
      <c r="R34" s="124"/>
      <c r="S34" s="97"/>
      <c r="T34" s="131"/>
      <c r="U34" s="97">
        <f t="shared" si="2"/>
        <v>0</v>
      </c>
      <c r="V34" s="135"/>
      <c r="W34" s="136"/>
      <c r="X34" s="137"/>
      <c r="Y34" s="135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24</v>
      </c>
      <c r="B35" s="99">
        <f t="shared" si="3"/>
        <v>25</v>
      </c>
      <c r="C35" s="12" t="s">
        <v>40</v>
      </c>
      <c r="D35" s="100" t="s">
        <v>124</v>
      </c>
      <c r="E35" s="101"/>
      <c r="F35" s="19" t="s">
        <v>115</v>
      </c>
      <c r="G35" s="72" t="s">
        <v>159</v>
      </c>
      <c r="H35" s="77">
        <v>9</v>
      </c>
      <c r="I35" s="75">
        <v>6</v>
      </c>
      <c r="J35" s="75">
        <v>11</v>
      </c>
      <c r="K35" s="75">
        <v>11</v>
      </c>
      <c r="L35" s="75">
        <v>11</v>
      </c>
      <c r="M35" s="97">
        <f>1580.26+3633.22+2321.45</f>
        <v>7534.9299999999994</v>
      </c>
      <c r="N35" s="97">
        <v>1580.26</v>
      </c>
      <c r="O35" s="93">
        <f t="shared" si="1"/>
        <v>5954.6699999999992</v>
      </c>
      <c r="P35" s="123">
        <v>2</v>
      </c>
      <c r="Q35" s="124">
        <v>2</v>
      </c>
      <c r="R35" s="124">
        <v>2</v>
      </c>
      <c r="S35" s="97">
        <v>872.59</v>
      </c>
      <c r="T35" s="131">
        <v>872.59</v>
      </c>
      <c r="U35" s="97">
        <f t="shared" si="2"/>
        <v>0</v>
      </c>
      <c r="V35" s="143"/>
      <c r="W35" s="136"/>
      <c r="X35" s="137"/>
      <c r="Y35" s="143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25</v>
      </c>
      <c r="B36" s="99">
        <f t="shared" si="3"/>
        <v>26</v>
      </c>
      <c r="C36" s="11" t="s">
        <v>41</v>
      </c>
      <c r="D36" s="100" t="s">
        <v>124</v>
      </c>
      <c r="E36" s="101"/>
      <c r="F36" s="17" t="s">
        <v>106</v>
      </c>
      <c r="G36" s="72" t="s">
        <v>160</v>
      </c>
      <c r="H36" s="77">
        <v>9</v>
      </c>
      <c r="I36" s="75">
        <v>2</v>
      </c>
      <c r="J36" s="75">
        <v>3</v>
      </c>
      <c r="K36" s="75">
        <v>3</v>
      </c>
      <c r="L36" s="75">
        <v>3</v>
      </c>
      <c r="M36" s="97">
        <f>738.32+1081.83</f>
        <v>1820.15</v>
      </c>
      <c r="N36" s="97">
        <v>738.32</v>
      </c>
      <c r="O36" s="93">
        <f t="shared" si="1"/>
        <v>1081.83</v>
      </c>
      <c r="P36" s="123">
        <v>7</v>
      </c>
      <c r="Q36" s="124">
        <v>7</v>
      </c>
      <c r="R36" s="124">
        <v>7</v>
      </c>
      <c r="S36" s="97">
        <f>7876.12+900.18</f>
        <v>8776.2999999999993</v>
      </c>
      <c r="T36" s="131">
        <v>7876.12</v>
      </c>
      <c r="U36" s="97">
        <f t="shared" si="2"/>
        <v>900.17999999999938</v>
      </c>
      <c r="V36" s="14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87</v>
      </c>
      <c r="B37" s="99">
        <f t="shared" si="3"/>
        <v>27</v>
      </c>
      <c r="C37" s="13" t="s">
        <v>42</v>
      </c>
      <c r="D37" s="100" t="s">
        <v>124</v>
      </c>
      <c r="E37" s="101"/>
      <c r="F37" s="17" t="s">
        <v>106</v>
      </c>
      <c r="G37" s="72" t="s">
        <v>221</v>
      </c>
      <c r="H37" s="77">
        <v>6</v>
      </c>
      <c r="I37" s="75"/>
      <c r="J37" s="75"/>
      <c r="K37" s="75"/>
      <c r="L37" s="75"/>
      <c r="M37" s="97"/>
      <c r="N37" s="97"/>
      <c r="O37" s="93">
        <f t="shared" si="1"/>
        <v>0</v>
      </c>
      <c r="P37" s="123">
        <v>4</v>
      </c>
      <c r="Q37" s="124">
        <v>4</v>
      </c>
      <c r="R37" s="124">
        <v>4</v>
      </c>
      <c r="S37" s="97">
        <f>1436.08+3433.93</f>
        <v>4870.01</v>
      </c>
      <c r="T37" s="131">
        <v>1436.08</v>
      </c>
      <c r="U37" s="97">
        <f t="shared" si="2"/>
        <v>3433.9300000000003</v>
      </c>
      <c r="V37" s="142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26</v>
      </c>
      <c r="B38" s="99">
        <f t="shared" si="3"/>
        <v>28</v>
      </c>
      <c r="C38" s="13" t="s">
        <v>43</v>
      </c>
      <c r="D38" s="100" t="s">
        <v>124</v>
      </c>
      <c r="E38" s="101"/>
      <c r="F38" s="17" t="s">
        <v>106</v>
      </c>
      <c r="G38" s="72" t="s">
        <v>161</v>
      </c>
      <c r="H38" s="77">
        <v>8</v>
      </c>
      <c r="I38" s="75">
        <v>6</v>
      </c>
      <c r="J38" s="75">
        <v>6</v>
      </c>
      <c r="K38" s="75">
        <v>5</v>
      </c>
      <c r="L38" s="75">
        <v>5</v>
      </c>
      <c r="M38" s="97">
        <f>568.43+3282.53</f>
        <v>3850.96</v>
      </c>
      <c r="N38" s="97">
        <v>568.42999999999995</v>
      </c>
      <c r="O38" s="93">
        <f t="shared" si="1"/>
        <v>3282.53</v>
      </c>
      <c r="P38" s="123">
        <v>2</v>
      </c>
      <c r="Q38" s="124">
        <v>1</v>
      </c>
      <c r="R38" s="124">
        <v>1</v>
      </c>
      <c r="S38" s="97">
        <v>552.96</v>
      </c>
      <c r="T38" s="131">
        <v>552.96</v>
      </c>
      <c r="U38" s="97">
        <f t="shared" si="2"/>
        <v>0</v>
      </c>
      <c r="V38" s="142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27</v>
      </c>
      <c r="B39" s="99">
        <f t="shared" si="3"/>
        <v>29</v>
      </c>
      <c r="C39" s="11" t="s">
        <v>44</v>
      </c>
      <c r="D39" s="100" t="s">
        <v>124</v>
      </c>
      <c r="E39" s="101"/>
      <c r="F39" s="17" t="s">
        <v>105</v>
      </c>
      <c r="G39" s="72" t="s">
        <v>162</v>
      </c>
      <c r="H39" s="77">
        <v>25</v>
      </c>
      <c r="I39" s="75">
        <v>10</v>
      </c>
      <c r="J39" s="75">
        <v>14</v>
      </c>
      <c r="K39" s="75">
        <v>8</v>
      </c>
      <c r="L39" s="75">
        <v>8</v>
      </c>
      <c r="M39" s="97">
        <f>1783.68+344.5+1626.04</f>
        <v>3754.2200000000003</v>
      </c>
      <c r="N39" s="97"/>
      <c r="O39" s="93">
        <f t="shared" si="1"/>
        <v>3754.2200000000003</v>
      </c>
      <c r="P39" s="123">
        <v>17</v>
      </c>
      <c r="Q39" s="124">
        <v>16</v>
      </c>
      <c r="R39" s="124">
        <v>16</v>
      </c>
      <c r="S39" s="97">
        <f>13233.81+6471.95</f>
        <v>19705.759999999998</v>
      </c>
      <c r="T39" s="131">
        <v>10213.92</v>
      </c>
      <c r="U39" s="97">
        <f t="shared" si="2"/>
        <v>9491.8399999999983</v>
      </c>
      <c r="V39" s="14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28</v>
      </c>
      <c r="B40" s="99">
        <f t="shared" si="3"/>
        <v>30</v>
      </c>
      <c r="C40" s="11" t="s">
        <v>45</v>
      </c>
      <c r="D40" s="100" t="s">
        <v>124</v>
      </c>
      <c r="E40" s="101"/>
      <c r="F40" s="17" t="s">
        <v>111</v>
      </c>
      <c r="G40" s="72" t="s">
        <v>163</v>
      </c>
      <c r="H40" s="77">
        <v>10</v>
      </c>
      <c r="I40" s="75">
        <v>5</v>
      </c>
      <c r="J40" s="75">
        <v>7</v>
      </c>
      <c r="K40" s="75">
        <v>6</v>
      </c>
      <c r="L40" s="75">
        <v>4</v>
      </c>
      <c r="M40" s="97">
        <f>821.67+1850.17</f>
        <v>2671.84</v>
      </c>
      <c r="N40" s="97">
        <f>821.67</f>
        <v>821.67</v>
      </c>
      <c r="O40" s="93">
        <f t="shared" si="1"/>
        <v>1850.17</v>
      </c>
      <c r="P40" s="123">
        <v>3</v>
      </c>
      <c r="Q40" s="124">
        <v>2</v>
      </c>
      <c r="R40" s="124"/>
      <c r="S40" s="97"/>
      <c r="T40" s="131"/>
      <c r="U40" s="97">
        <f t="shared" si="2"/>
        <v>0</v>
      </c>
      <c r="V40" s="14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29</v>
      </c>
      <c r="B41" s="99">
        <f>B40+1</f>
        <v>31</v>
      </c>
      <c r="C41" s="10" t="s">
        <v>46</v>
      </c>
      <c r="D41" s="100" t="s">
        <v>124</v>
      </c>
      <c r="E41" s="101"/>
      <c r="F41" s="17" t="s">
        <v>106</v>
      </c>
      <c r="G41" s="72" t="s">
        <v>164</v>
      </c>
      <c r="H41" s="77">
        <v>5</v>
      </c>
      <c r="I41" s="75">
        <v>5</v>
      </c>
      <c r="J41" s="75">
        <v>5</v>
      </c>
      <c r="K41" s="75">
        <v>3</v>
      </c>
      <c r="L41" s="75">
        <v>3</v>
      </c>
      <c r="M41" s="97">
        <f>2273.7+1002.51</f>
        <v>3276.21</v>
      </c>
      <c r="N41" s="97">
        <v>2273.6999999999998</v>
      </c>
      <c r="O41" s="93">
        <f t="shared" si="1"/>
        <v>1002.5100000000002</v>
      </c>
      <c r="P41" s="123">
        <v>4</v>
      </c>
      <c r="Q41" s="124">
        <v>3</v>
      </c>
      <c r="R41" s="124">
        <v>3</v>
      </c>
      <c r="S41" s="97">
        <f>3996.7+1341.47</f>
        <v>5338.17</v>
      </c>
      <c r="T41" s="131">
        <v>3996.7</v>
      </c>
      <c r="U41" s="97">
        <f t="shared" si="2"/>
        <v>1341.4700000000003</v>
      </c>
      <c r="V41" s="135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30</v>
      </c>
      <c r="B42" s="99">
        <f t="shared" si="3"/>
        <v>32</v>
      </c>
      <c r="C42" s="10" t="s">
        <v>47</v>
      </c>
      <c r="D42" s="100" t="s">
        <v>124</v>
      </c>
      <c r="E42" s="101"/>
      <c r="F42" s="17" t="s">
        <v>116</v>
      </c>
      <c r="G42" s="72" t="s">
        <v>165</v>
      </c>
      <c r="H42" s="77">
        <v>8</v>
      </c>
      <c r="I42" s="75">
        <v>6</v>
      </c>
      <c r="J42" s="75">
        <v>7</v>
      </c>
      <c r="K42" s="75">
        <v>5</v>
      </c>
      <c r="L42" s="75">
        <v>3</v>
      </c>
      <c r="M42" s="97">
        <f>1322.88+206.7</f>
        <v>1529.5800000000002</v>
      </c>
      <c r="N42" s="97">
        <v>1322.88</v>
      </c>
      <c r="O42" s="93">
        <f t="shared" si="1"/>
        <v>206.70000000000005</v>
      </c>
      <c r="P42" s="123">
        <v>3</v>
      </c>
      <c r="Q42" s="124">
        <v>3</v>
      </c>
      <c r="R42" s="124">
        <v>2</v>
      </c>
      <c r="S42" s="97">
        <v>1016.08</v>
      </c>
      <c r="T42" s="131">
        <v>1016.08</v>
      </c>
      <c r="U42" s="97">
        <f t="shared" si="2"/>
        <v>0</v>
      </c>
      <c r="V42" s="135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32</v>
      </c>
      <c r="B43" s="99">
        <f t="shared" si="3"/>
        <v>33</v>
      </c>
      <c r="C43" s="13" t="s">
        <v>48</v>
      </c>
      <c r="D43" s="100" t="s">
        <v>124</v>
      </c>
      <c r="E43" s="101"/>
      <c r="F43" s="17" t="s">
        <v>106</v>
      </c>
      <c r="G43" s="72" t="s">
        <v>166</v>
      </c>
      <c r="H43" s="77">
        <v>6</v>
      </c>
      <c r="I43" s="75">
        <v>2</v>
      </c>
      <c r="J43" s="75">
        <v>2</v>
      </c>
      <c r="K43" s="75">
        <v>2</v>
      </c>
      <c r="L43" s="75">
        <v>2</v>
      </c>
      <c r="M43" s="97">
        <v>4681.8900000000003</v>
      </c>
      <c r="N43" s="97"/>
      <c r="O43" s="93">
        <f t="shared" si="1"/>
        <v>4681.8900000000003</v>
      </c>
      <c r="P43" s="123">
        <v>4</v>
      </c>
      <c r="Q43" s="124">
        <v>4</v>
      </c>
      <c r="R43" s="124">
        <v>3</v>
      </c>
      <c r="S43" s="97">
        <f>3907.41+583.58</f>
        <v>4490.99</v>
      </c>
      <c r="T43" s="131">
        <v>1733.58</v>
      </c>
      <c r="U43" s="97">
        <f t="shared" si="2"/>
        <v>2757.41</v>
      </c>
      <c r="V43" s="142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33</v>
      </c>
      <c r="B44" s="99">
        <f t="shared" si="3"/>
        <v>34</v>
      </c>
      <c r="C44" s="10" t="s">
        <v>49</v>
      </c>
      <c r="D44" s="100" t="s">
        <v>124</v>
      </c>
      <c r="E44" s="101"/>
      <c r="F44" s="17" t="s">
        <v>106</v>
      </c>
      <c r="G44" s="72" t="s">
        <v>167</v>
      </c>
      <c r="H44" s="77">
        <v>8</v>
      </c>
      <c r="I44" s="75">
        <v>1</v>
      </c>
      <c r="J44" s="75">
        <v>1</v>
      </c>
      <c r="K44" s="75">
        <v>1</v>
      </c>
      <c r="L44" s="75">
        <v>1</v>
      </c>
      <c r="M44" s="97">
        <v>1157.56</v>
      </c>
      <c r="N44" s="97"/>
      <c r="O44" s="93">
        <f t="shared" si="1"/>
        <v>1157.56</v>
      </c>
      <c r="P44" s="123">
        <v>6</v>
      </c>
      <c r="Q44" s="124">
        <v>5</v>
      </c>
      <c r="R44" s="124">
        <v>5</v>
      </c>
      <c r="S44" s="97">
        <v>6437</v>
      </c>
      <c r="T44" s="131">
        <f>3957.6+2479.4</f>
        <v>6437</v>
      </c>
      <c r="U44" s="97">
        <f t="shared" si="2"/>
        <v>0</v>
      </c>
      <c r="V44" s="135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A45" s="155">
        <v>34</v>
      </c>
      <c r="B45" s="99">
        <f t="shared" si="3"/>
        <v>35</v>
      </c>
      <c r="C45" s="13" t="s">
        <v>50</v>
      </c>
      <c r="D45" s="100" t="s">
        <v>124</v>
      </c>
      <c r="E45" s="101"/>
      <c r="F45" s="17" t="s">
        <v>106</v>
      </c>
      <c r="G45" s="72" t="s">
        <v>168</v>
      </c>
      <c r="H45" s="77">
        <v>5</v>
      </c>
      <c r="I45" s="75">
        <v>5</v>
      </c>
      <c r="J45" s="75">
        <v>6</v>
      </c>
      <c r="K45" s="75">
        <v>6</v>
      </c>
      <c r="L45" s="75">
        <v>4</v>
      </c>
      <c r="M45" s="97">
        <f>1345.04+387.91</f>
        <v>1732.95</v>
      </c>
      <c r="N45" s="97">
        <f>1345.04</f>
        <v>1345.04</v>
      </c>
      <c r="O45" s="93">
        <f t="shared" si="1"/>
        <v>387.91000000000008</v>
      </c>
      <c r="P45" s="123">
        <v>4</v>
      </c>
      <c r="Q45" s="124">
        <v>4</v>
      </c>
      <c r="R45" s="124">
        <v>4</v>
      </c>
      <c r="S45" s="97">
        <f>3997.92+850.65</f>
        <v>4848.57</v>
      </c>
      <c r="T45" s="131">
        <f>3997.92</f>
        <v>3997.92</v>
      </c>
      <c r="U45" s="97">
        <f t="shared" si="2"/>
        <v>850.64999999999964</v>
      </c>
      <c r="V45" s="142"/>
      <c r="W45" s="136"/>
      <c r="X45" s="137"/>
      <c r="Y45" s="135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B46" s="99">
        <f t="shared" si="3"/>
        <v>36</v>
      </c>
      <c r="C46" s="11" t="s">
        <v>51</v>
      </c>
      <c r="D46" s="100" t="s">
        <v>124</v>
      </c>
      <c r="E46" s="101"/>
      <c r="F46" s="22" t="s">
        <v>112</v>
      </c>
      <c r="G46" s="72"/>
      <c r="H46" s="77"/>
      <c r="I46" s="75"/>
      <c r="J46" s="75"/>
      <c r="K46" s="75"/>
      <c r="L46" s="75"/>
      <c r="M46" s="97"/>
      <c r="N46" s="97"/>
      <c r="O46" s="93">
        <f t="shared" si="1"/>
        <v>0</v>
      </c>
      <c r="P46" s="123"/>
      <c r="Q46" s="124"/>
      <c r="R46" s="124"/>
      <c r="S46" s="97"/>
      <c r="T46" s="131"/>
      <c r="U46" s="97">
        <f t="shared" si="2"/>
        <v>0</v>
      </c>
      <c r="V46" s="14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37</v>
      </c>
      <c r="B47" s="99">
        <f t="shared" si="3"/>
        <v>37</v>
      </c>
      <c r="C47" s="11" t="s">
        <v>131</v>
      </c>
      <c r="D47" s="100" t="s">
        <v>124</v>
      </c>
      <c r="E47" s="101"/>
      <c r="F47" s="22" t="s">
        <v>106</v>
      </c>
      <c r="G47" s="72" t="s">
        <v>171</v>
      </c>
      <c r="H47" s="77">
        <v>3</v>
      </c>
      <c r="I47" s="75"/>
      <c r="J47" s="75"/>
      <c r="K47" s="75"/>
      <c r="L47" s="75"/>
      <c r="M47" s="97"/>
      <c r="N47" s="97"/>
      <c r="O47" s="93">
        <f t="shared" si="1"/>
        <v>0</v>
      </c>
      <c r="P47" s="123">
        <v>1</v>
      </c>
      <c r="Q47" s="124">
        <v>1</v>
      </c>
      <c r="R47" s="124">
        <v>1</v>
      </c>
      <c r="S47" s="97">
        <v>11787.49</v>
      </c>
      <c r="T47" s="131">
        <v>11787.49</v>
      </c>
      <c r="U47" s="97">
        <f t="shared" si="2"/>
        <v>0</v>
      </c>
      <c r="V47" s="141"/>
      <c r="W47" s="136"/>
      <c r="X47" s="137"/>
      <c r="Y47" s="142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35</v>
      </c>
      <c r="B48" s="99">
        <f t="shared" si="3"/>
        <v>38</v>
      </c>
      <c r="C48" s="13" t="s">
        <v>52</v>
      </c>
      <c r="D48" s="100" t="s">
        <v>124</v>
      </c>
      <c r="E48" s="101"/>
      <c r="F48" s="17" t="s">
        <v>106</v>
      </c>
      <c r="G48" s="72" t="s">
        <v>169</v>
      </c>
      <c r="H48" s="77">
        <v>16</v>
      </c>
      <c r="I48" s="75">
        <v>7</v>
      </c>
      <c r="J48" s="75">
        <v>9</v>
      </c>
      <c r="K48" s="75">
        <v>9</v>
      </c>
      <c r="L48" s="75">
        <v>4</v>
      </c>
      <c r="M48" s="97">
        <f>2714.54+272.6</f>
        <v>2987.14</v>
      </c>
      <c r="N48" s="97">
        <f>2335.59+378.95</f>
        <v>2714.54</v>
      </c>
      <c r="O48" s="93">
        <f t="shared" si="1"/>
        <v>272.59999999999991</v>
      </c>
      <c r="P48" s="123">
        <v>2</v>
      </c>
      <c r="Q48" s="124">
        <v>2</v>
      </c>
      <c r="R48" s="124">
        <v>1</v>
      </c>
      <c r="S48" s="97">
        <v>689</v>
      </c>
      <c r="T48" s="131">
        <f>689</f>
        <v>689</v>
      </c>
      <c r="U48" s="97">
        <f t="shared" si="2"/>
        <v>0</v>
      </c>
      <c r="V48" s="142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36</v>
      </c>
      <c r="B49" s="99">
        <f t="shared" si="3"/>
        <v>39</v>
      </c>
      <c r="C49" s="10" t="s">
        <v>53</v>
      </c>
      <c r="D49" s="100" t="s">
        <v>124</v>
      </c>
      <c r="E49" s="101"/>
      <c r="F49" s="17" t="s">
        <v>105</v>
      </c>
      <c r="G49" s="72" t="s">
        <v>171</v>
      </c>
      <c r="H49" s="77">
        <v>8</v>
      </c>
      <c r="I49" s="75">
        <v>1</v>
      </c>
      <c r="J49" s="75">
        <v>1</v>
      </c>
      <c r="K49" s="75">
        <v>1</v>
      </c>
      <c r="L49" s="75">
        <v>1</v>
      </c>
      <c r="M49" s="97">
        <v>3786.47</v>
      </c>
      <c r="N49" s="97">
        <f>305.5</f>
        <v>305.5</v>
      </c>
      <c r="O49" s="93">
        <f t="shared" si="1"/>
        <v>3480.97</v>
      </c>
      <c r="P49" s="123">
        <v>3</v>
      </c>
      <c r="Q49" s="124">
        <v>3</v>
      </c>
      <c r="R49" s="124">
        <v>3</v>
      </c>
      <c r="S49" s="97">
        <f>2800.4+5022.92</f>
        <v>7823.32</v>
      </c>
      <c r="T49" s="131">
        <f>2494.9</f>
        <v>2494.9</v>
      </c>
      <c r="U49" s="97">
        <f t="shared" si="2"/>
        <v>5328.42</v>
      </c>
      <c r="V49" s="135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38</v>
      </c>
      <c r="B50" s="99">
        <f t="shared" si="3"/>
        <v>40</v>
      </c>
      <c r="C50" s="10" t="s">
        <v>54</v>
      </c>
      <c r="D50" s="100" t="s">
        <v>124</v>
      </c>
      <c r="E50" s="101"/>
      <c r="F50" s="17" t="s">
        <v>106</v>
      </c>
      <c r="G50" s="72" t="s">
        <v>172</v>
      </c>
      <c r="H50" s="77">
        <v>9</v>
      </c>
      <c r="I50" s="75">
        <v>1</v>
      </c>
      <c r="J50" s="75">
        <v>1</v>
      </c>
      <c r="K50" s="75">
        <v>1</v>
      </c>
      <c r="L50" s="75">
        <v>1</v>
      </c>
      <c r="M50" s="97">
        <v>397.9</v>
      </c>
      <c r="N50" s="97"/>
      <c r="O50" s="93">
        <f t="shared" si="1"/>
        <v>397.9</v>
      </c>
      <c r="P50" s="123">
        <v>6</v>
      </c>
      <c r="Q50" s="124">
        <v>5</v>
      </c>
      <c r="R50" s="124">
        <v>5</v>
      </c>
      <c r="S50" s="97">
        <f>4105.06+1454.92</f>
        <v>5559.9800000000005</v>
      </c>
      <c r="T50" s="131">
        <f>4105.06</f>
        <v>4105.0600000000004</v>
      </c>
      <c r="U50" s="97">
        <f t="shared" si="2"/>
        <v>1454.92</v>
      </c>
      <c r="V50" s="135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39</v>
      </c>
      <c r="B51" s="99">
        <f t="shared" si="3"/>
        <v>41</v>
      </c>
      <c r="C51" s="10" t="s">
        <v>55</v>
      </c>
      <c r="D51" s="100" t="s">
        <v>124</v>
      </c>
      <c r="E51" s="101"/>
      <c r="F51" s="17" t="s">
        <v>106</v>
      </c>
      <c r="G51" s="72" t="s">
        <v>173</v>
      </c>
      <c r="H51" s="77">
        <v>10</v>
      </c>
      <c r="I51" s="75">
        <v>7</v>
      </c>
      <c r="J51" s="75">
        <v>7</v>
      </c>
      <c r="K51" s="75">
        <v>7</v>
      </c>
      <c r="L51" s="75">
        <v>5</v>
      </c>
      <c r="M51" s="97">
        <f>2478.12+2441.5</f>
        <v>4919.62</v>
      </c>
      <c r="N51" s="97">
        <v>2478.12</v>
      </c>
      <c r="O51" s="93">
        <f t="shared" si="1"/>
        <v>2441.5</v>
      </c>
      <c r="P51" s="123">
        <v>6</v>
      </c>
      <c r="Q51" s="124">
        <v>5</v>
      </c>
      <c r="R51" s="124">
        <v>5</v>
      </c>
      <c r="S51" s="97">
        <f>2457.28+1725.6</f>
        <v>4182.88</v>
      </c>
      <c r="T51" s="131"/>
      <c r="U51" s="97">
        <f t="shared" si="2"/>
        <v>4182.88</v>
      </c>
      <c r="V51" s="135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40</v>
      </c>
      <c r="B52" s="99">
        <f t="shared" si="3"/>
        <v>42</v>
      </c>
      <c r="C52" s="10" t="s">
        <v>56</v>
      </c>
      <c r="D52" s="100" t="s">
        <v>124</v>
      </c>
      <c r="E52" s="101"/>
      <c r="F52" s="17" t="s">
        <v>106</v>
      </c>
      <c r="G52" s="72" t="s">
        <v>174</v>
      </c>
      <c r="H52" s="77">
        <v>9</v>
      </c>
      <c r="I52" s="75">
        <v>3</v>
      </c>
      <c r="J52" s="75">
        <v>3</v>
      </c>
      <c r="K52" s="75">
        <v>3</v>
      </c>
      <c r="L52" s="75">
        <v>3</v>
      </c>
      <c r="M52" s="97">
        <v>1308.27</v>
      </c>
      <c r="N52" s="97">
        <v>1308.27</v>
      </c>
      <c r="O52" s="93">
        <f t="shared" si="1"/>
        <v>0</v>
      </c>
      <c r="P52" s="123">
        <v>1</v>
      </c>
      <c r="Q52" s="124">
        <v>1</v>
      </c>
      <c r="R52" s="124">
        <v>1</v>
      </c>
      <c r="S52" s="97">
        <v>728.15</v>
      </c>
      <c r="T52" s="131">
        <v>728.15</v>
      </c>
      <c r="U52" s="97">
        <f t="shared" si="2"/>
        <v>0</v>
      </c>
      <c r="V52" s="135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41</v>
      </c>
      <c r="B53" s="99">
        <f t="shared" si="3"/>
        <v>43</v>
      </c>
      <c r="C53" s="13" t="s">
        <v>57</v>
      </c>
      <c r="D53" s="100" t="s">
        <v>124</v>
      </c>
      <c r="E53" s="101"/>
      <c r="F53" s="17" t="s">
        <v>106</v>
      </c>
      <c r="G53" s="72" t="s">
        <v>175</v>
      </c>
      <c r="H53" s="77">
        <v>10</v>
      </c>
      <c r="I53" s="75">
        <v>4</v>
      </c>
      <c r="J53" s="75">
        <v>5</v>
      </c>
      <c r="K53" s="75">
        <v>5</v>
      </c>
      <c r="L53" s="75">
        <v>4</v>
      </c>
      <c r="M53" s="97">
        <f>613.9+1710.26</f>
        <v>2324.16</v>
      </c>
      <c r="N53" s="97">
        <v>341.06</v>
      </c>
      <c r="O53" s="93">
        <f t="shared" si="1"/>
        <v>1983.1</v>
      </c>
      <c r="P53" s="123">
        <v>5</v>
      </c>
      <c r="Q53" s="124">
        <v>4</v>
      </c>
      <c r="R53" s="124">
        <v>4</v>
      </c>
      <c r="S53" s="97">
        <f>1535.39+1035.3</f>
        <v>2570.69</v>
      </c>
      <c r="T53" s="131">
        <v>530.53</v>
      </c>
      <c r="U53" s="97">
        <f t="shared" si="2"/>
        <v>2040.16</v>
      </c>
      <c r="V53" s="142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42</v>
      </c>
      <c r="B54" s="99">
        <f t="shared" si="3"/>
        <v>44</v>
      </c>
      <c r="C54" s="13" t="s">
        <v>58</v>
      </c>
      <c r="D54" s="100" t="s">
        <v>124</v>
      </c>
      <c r="E54" s="101"/>
      <c r="F54" s="17" t="s">
        <v>106</v>
      </c>
      <c r="G54" s="72" t="s">
        <v>260</v>
      </c>
      <c r="H54" s="77">
        <v>4</v>
      </c>
      <c r="I54" s="75"/>
      <c r="J54" s="75"/>
      <c r="K54" s="75"/>
      <c r="L54" s="75"/>
      <c r="M54" s="97"/>
      <c r="N54" s="97"/>
      <c r="O54" s="93">
        <f t="shared" si="1"/>
        <v>0</v>
      </c>
      <c r="P54" s="123">
        <v>2</v>
      </c>
      <c r="Q54" s="124">
        <v>2</v>
      </c>
      <c r="R54" s="124">
        <v>2</v>
      </c>
      <c r="S54" s="97">
        <v>688</v>
      </c>
      <c r="T54" s="131">
        <f>688</f>
        <v>688</v>
      </c>
      <c r="U54" s="97">
        <f t="shared" si="2"/>
        <v>0</v>
      </c>
      <c r="V54" s="142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43</v>
      </c>
      <c r="B55" s="99">
        <f t="shared" si="3"/>
        <v>45</v>
      </c>
      <c r="C55" s="13" t="s">
        <v>59</v>
      </c>
      <c r="D55" s="100" t="s">
        <v>124</v>
      </c>
      <c r="E55" s="101"/>
      <c r="F55" s="17" t="s">
        <v>112</v>
      </c>
      <c r="G55" s="72" t="s">
        <v>176</v>
      </c>
      <c r="H55" s="77">
        <v>26</v>
      </c>
      <c r="I55" s="75">
        <v>14</v>
      </c>
      <c r="J55" s="75">
        <v>17</v>
      </c>
      <c r="K55" s="75">
        <v>17</v>
      </c>
      <c r="L55" s="75">
        <v>17</v>
      </c>
      <c r="M55" s="97">
        <f>575.32+6377.18</f>
        <v>6952.5</v>
      </c>
      <c r="N55" s="97">
        <v>413.4</v>
      </c>
      <c r="O55" s="93">
        <f t="shared" si="1"/>
        <v>6539.1</v>
      </c>
      <c r="P55" s="123">
        <v>17</v>
      </c>
      <c r="Q55" s="124">
        <v>17</v>
      </c>
      <c r="R55" s="124">
        <v>17</v>
      </c>
      <c r="S55" s="97">
        <f>9629.72+1321.59</f>
        <v>10951.31</v>
      </c>
      <c r="T55" s="131">
        <v>2632.7</v>
      </c>
      <c r="U55" s="97">
        <f t="shared" si="2"/>
        <v>8318.61</v>
      </c>
      <c r="V55" s="142"/>
      <c r="W55" s="136"/>
      <c r="X55" s="137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44</v>
      </c>
      <c r="B56" s="99">
        <f t="shared" si="3"/>
        <v>46</v>
      </c>
      <c r="C56" s="13" t="s">
        <v>60</v>
      </c>
      <c r="D56" s="100" t="s">
        <v>125</v>
      </c>
      <c r="E56" s="106" t="s">
        <v>126</v>
      </c>
      <c r="F56" s="17" t="s">
        <v>106</v>
      </c>
      <c r="G56" s="72" t="s">
        <v>177</v>
      </c>
      <c r="H56" s="77">
        <v>3</v>
      </c>
      <c r="I56" s="75">
        <v>1</v>
      </c>
      <c r="J56" s="75">
        <v>1</v>
      </c>
      <c r="K56" s="75">
        <v>1</v>
      </c>
      <c r="L56" s="75"/>
      <c r="M56" s="97">
        <v>1887.9</v>
      </c>
      <c r="N56" s="97">
        <v>1887.9</v>
      </c>
      <c r="O56" s="93">
        <f t="shared" si="1"/>
        <v>0</v>
      </c>
      <c r="P56" s="123">
        <v>3</v>
      </c>
      <c r="Q56" s="124">
        <v>3</v>
      </c>
      <c r="R56" s="124">
        <v>3</v>
      </c>
      <c r="S56" s="97">
        <f>757.9+1321.55+620.1</f>
        <v>2699.5499999999997</v>
      </c>
      <c r="T56" s="131">
        <v>757.9</v>
      </c>
      <c r="U56" s="97">
        <f t="shared" si="2"/>
        <v>1941.6499999999996</v>
      </c>
      <c r="V56" s="142"/>
      <c r="W56" s="136"/>
      <c r="X56" s="144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45</v>
      </c>
      <c r="B57" s="99">
        <f t="shared" si="3"/>
        <v>47</v>
      </c>
      <c r="C57" s="11" t="s">
        <v>61</v>
      </c>
      <c r="D57" s="100" t="s">
        <v>124</v>
      </c>
      <c r="E57" s="101"/>
      <c r="F57" s="17" t="s">
        <v>107</v>
      </c>
      <c r="G57" s="72" t="s">
        <v>178</v>
      </c>
      <c r="H57" s="77">
        <v>23</v>
      </c>
      <c r="I57" s="75">
        <v>14</v>
      </c>
      <c r="J57" s="75">
        <v>15</v>
      </c>
      <c r="K57" s="75">
        <v>13</v>
      </c>
      <c r="L57" s="75">
        <v>13</v>
      </c>
      <c r="M57" s="97">
        <f>2880.54+7232.73</f>
        <v>10113.27</v>
      </c>
      <c r="N57" s="97">
        <v>272.83999999999997</v>
      </c>
      <c r="O57" s="93">
        <f t="shared" si="1"/>
        <v>9840.43</v>
      </c>
      <c r="P57" s="123">
        <v>28</v>
      </c>
      <c r="Q57" s="124">
        <v>27</v>
      </c>
      <c r="R57" s="124">
        <v>24</v>
      </c>
      <c r="S57" s="97">
        <f>35028.07+10662.98</f>
        <v>45691.05</v>
      </c>
      <c r="T57" s="131">
        <v>14478.7</v>
      </c>
      <c r="U57" s="97">
        <f t="shared" si="2"/>
        <v>31212.350000000002</v>
      </c>
      <c r="V57" s="14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A58" s="155">
        <v>46</v>
      </c>
      <c r="B58" s="99">
        <f t="shared" si="3"/>
        <v>48</v>
      </c>
      <c r="C58" s="11" t="s">
        <v>134</v>
      </c>
      <c r="D58" s="100" t="s">
        <v>124</v>
      </c>
      <c r="E58" s="101"/>
      <c r="F58" s="17" t="s">
        <v>112</v>
      </c>
      <c r="G58" s="72" t="s">
        <v>179</v>
      </c>
      <c r="H58" s="77">
        <v>10</v>
      </c>
      <c r="I58" s="75">
        <v>4</v>
      </c>
      <c r="J58" s="75">
        <v>4</v>
      </c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131"/>
      <c r="U58" s="97">
        <f t="shared" si="2"/>
        <v>0</v>
      </c>
      <c r="V58" s="14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49</v>
      </c>
      <c r="C59" s="11" t="s">
        <v>62</v>
      </c>
      <c r="D59" s="100" t="s">
        <v>124</v>
      </c>
      <c r="E59" s="101"/>
      <c r="F59" s="17" t="s">
        <v>106</v>
      </c>
      <c r="G59" s="72" t="s">
        <v>230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131"/>
      <c r="U59" s="97">
        <f t="shared" si="2"/>
        <v>0</v>
      </c>
      <c r="V59" s="141"/>
      <c r="W59" s="136"/>
      <c r="X59" s="137"/>
      <c r="Y59" s="135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B60" s="99">
        <f t="shared" si="3"/>
        <v>50</v>
      </c>
      <c r="C60" s="11" t="s">
        <v>63</v>
      </c>
      <c r="D60" s="100" t="s">
        <v>124</v>
      </c>
      <c r="E60" s="101"/>
      <c r="F60" s="22" t="s">
        <v>112</v>
      </c>
      <c r="G60" s="72" t="s">
        <v>224</v>
      </c>
      <c r="H60" s="77"/>
      <c r="I60" s="75"/>
      <c r="J60" s="75"/>
      <c r="K60" s="75"/>
      <c r="L60" s="75"/>
      <c r="M60" s="97"/>
      <c r="N60" s="97"/>
      <c r="O60" s="93">
        <f t="shared" si="1"/>
        <v>0</v>
      </c>
      <c r="P60" s="123"/>
      <c r="Q60" s="124"/>
      <c r="R60" s="124"/>
      <c r="S60" s="97"/>
      <c r="T60" s="131"/>
      <c r="U60" s="97">
        <f t="shared" si="2"/>
        <v>0</v>
      </c>
      <c r="V60" s="14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48</v>
      </c>
      <c r="B61" s="99">
        <f t="shared" si="3"/>
        <v>51</v>
      </c>
      <c r="C61" s="11" t="s">
        <v>64</v>
      </c>
      <c r="D61" s="100" t="s">
        <v>124</v>
      </c>
      <c r="E61" s="101"/>
      <c r="F61" s="22" t="s">
        <v>107</v>
      </c>
      <c r="G61" s="72" t="s">
        <v>180</v>
      </c>
      <c r="H61" s="77">
        <v>25</v>
      </c>
      <c r="I61" s="75">
        <v>13</v>
      </c>
      <c r="J61" s="75">
        <v>17</v>
      </c>
      <c r="K61" s="75">
        <v>12</v>
      </c>
      <c r="L61" s="75">
        <v>12</v>
      </c>
      <c r="M61" s="97">
        <f>4967.08+2976.17+4153.2</f>
        <v>12096.45</v>
      </c>
      <c r="N61" s="97">
        <f>4967.08</f>
        <v>4967.08</v>
      </c>
      <c r="O61" s="93">
        <f t="shared" si="1"/>
        <v>7129.3700000000008</v>
      </c>
      <c r="P61" s="123">
        <v>6</v>
      </c>
      <c r="Q61" s="124">
        <v>5</v>
      </c>
      <c r="R61" s="124">
        <v>5</v>
      </c>
      <c r="S61" s="97">
        <v>6524.72</v>
      </c>
      <c r="T61" s="131">
        <f>6524.72</f>
        <v>6524.72</v>
      </c>
      <c r="U61" s="97">
        <f t="shared" si="2"/>
        <v>0</v>
      </c>
      <c r="V61" s="14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47</v>
      </c>
      <c r="B62" s="99">
        <f t="shared" si="3"/>
        <v>52</v>
      </c>
      <c r="C62" s="11" t="s">
        <v>135</v>
      </c>
      <c r="D62" s="100" t="s">
        <v>124</v>
      </c>
      <c r="E62" s="101"/>
      <c r="F62" s="22" t="s">
        <v>111</v>
      </c>
      <c r="G62" s="72" t="s">
        <v>181</v>
      </c>
      <c r="H62" s="77">
        <v>8</v>
      </c>
      <c r="I62" s="75">
        <v>4</v>
      </c>
      <c r="J62" s="75">
        <v>4</v>
      </c>
      <c r="K62" s="75">
        <v>4</v>
      </c>
      <c r="L62" s="75">
        <v>2</v>
      </c>
      <c r="M62" s="97">
        <v>1098.6400000000001</v>
      </c>
      <c r="N62" s="97"/>
      <c r="O62" s="93">
        <f t="shared" si="1"/>
        <v>1098.6400000000001</v>
      </c>
      <c r="P62" s="123"/>
      <c r="Q62" s="124"/>
      <c r="R62" s="124"/>
      <c r="S62" s="97"/>
      <c r="T62" s="131"/>
      <c r="U62" s="97">
        <f t="shared" si="2"/>
        <v>0</v>
      </c>
      <c r="V62" s="141"/>
      <c r="W62" s="136"/>
      <c r="X62" s="137"/>
      <c r="Y62" s="142"/>
      <c r="Z62" s="137"/>
      <c r="AA62" s="138"/>
      <c r="AB62" s="138"/>
      <c r="AC62" s="138"/>
      <c r="AD62" s="138"/>
      <c r="AE62" s="138"/>
      <c r="AF62" s="139"/>
      <c r="AG62" s="139"/>
      <c r="AH62" s="139"/>
      <c r="AI62" s="140"/>
      <c r="AJ62" s="140"/>
      <c r="AK62" s="140"/>
      <c r="AL62" s="139"/>
      <c r="AM62" s="139"/>
      <c r="AN62" s="139"/>
    </row>
    <row r="63" spans="1:40" ht="20.100000000000001" customHeight="1" x14ac:dyDescent="0.25">
      <c r="A63" s="155">
        <v>49</v>
      </c>
      <c r="B63" s="99">
        <f t="shared" si="3"/>
        <v>53</v>
      </c>
      <c r="C63" s="13" t="s">
        <v>65</v>
      </c>
      <c r="D63" s="100" t="s">
        <v>124</v>
      </c>
      <c r="E63" s="101"/>
      <c r="F63" s="17" t="s">
        <v>106</v>
      </c>
      <c r="G63" s="72" t="s">
        <v>182</v>
      </c>
      <c r="H63" s="77">
        <v>8</v>
      </c>
      <c r="I63" s="75">
        <v>2</v>
      </c>
      <c r="J63" s="75">
        <v>2</v>
      </c>
      <c r="K63" s="75">
        <v>2</v>
      </c>
      <c r="L63" s="75">
        <v>2</v>
      </c>
      <c r="M63" s="97">
        <f>1263.45+2111.32</f>
        <v>3374.7700000000004</v>
      </c>
      <c r="N63" s="97">
        <v>1263.45</v>
      </c>
      <c r="O63" s="93">
        <f t="shared" si="1"/>
        <v>2111.3200000000006</v>
      </c>
      <c r="P63" s="123">
        <v>6</v>
      </c>
      <c r="Q63" s="124">
        <v>6</v>
      </c>
      <c r="R63" s="124">
        <v>6</v>
      </c>
      <c r="S63" s="97">
        <f>740.14+4736.32</f>
        <v>5476.46</v>
      </c>
      <c r="T63" s="131">
        <v>740.14</v>
      </c>
      <c r="U63" s="97">
        <f t="shared" si="2"/>
        <v>4736.32</v>
      </c>
    </row>
    <row r="64" spans="1:40" ht="20.100000000000001" customHeight="1" x14ac:dyDescent="0.25">
      <c r="B64" s="99">
        <f t="shared" si="3"/>
        <v>54</v>
      </c>
      <c r="C64" s="13" t="s">
        <v>66</v>
      </c>
      <c r="D64" s="100" t="s">
        <v>124</v>
      </c>
      <c r="E64" s="101"/>
      <c r="F64" s="17" t="s">
        <v>112</v>
      </c>
      <c r="G64" s="72" t="s">
        <v>227</v>
      </c>
      <c r="H64" s="77"/>
      <c r="I64" s="75"/>
      <c r="J64" s="75"/>
      <c r="K64" s="75"/>
      <c r="L64" s="75"/>
      <c r="M64" s="97"/>
      <c r="N64" s="97"/>
      <c r="O64" s="93">
        <f t="shared" si="1"/>
        <v>0</v>
      </c>
      <c r="P64" s="123">
        <v>27</v>
      </c>
      <c r="Q64" s="124">
        <v>8</v>
      </c>
      <c r="R64" s="124">
        <v>8</v>
      </c>
      <c r="S64" s="97">
        <v>3232.69</v>
      </c>
      <c r="T64" s="131">
        <v>3232.69</v>
      </c>
      <c r="U64" s="97">
        <f t="shared" si="2"/>
        <v>0</v>
      </c>
    </row>
    <row r="65" spans="1:21" ht="20.100000000000001" customHeight="1" x14ac:dyDescent="0.25">
      <c r="A65" s="155">
        <v>50</v>
      </c>
      <c r="B65" s="99">
        <f t="shared" si="3"/>
        <v>55</v>
      </c>
      <c r="C65" s="10" t="s">
        <v>67</v>
      </c>
      <c r="D65" s="100" t="s">
        <v>124</v>
      </c>
      <c r="E65" s="101"/>
      <c r="F65" s="17" t="s">
        <v>106</v>
      </c>
      <c r="G65" s="72" t="s">
        <v>183</v>
      </c>
      <c r="H65" s="77">
        <v>15</v>
      </c>
      <c r="I65" s="75">
        <v>5</v>
      </c>
      <c r="J65" s="75">
        <v>6</v>
      </c>
      <c r="K65" s="75">
        <v>6</v>
      </c>
      <c r="L65" s="75">
        <v>4</v>
      </c>
      <c r="M65" s="97">
        <v>2495.13</v>
      </c>
      <c r="N65" s="97">
        <v>2495.13</v>
      </c>
      <c r="O65" s="93">
        <f t="shared" si="1"/>
        <v>0</v>
      </c>
      <c r="P65" s="123">
        <v>7</v>
      </c>
      <c r="Q65" s="124">
        <v>7</v>
      </c>
      <c r="R65" s="124">
        <v>6</v>
      </c>
      <c r="S65" s="97">
        <v>3377.96</v>
      </c>
      <c r="T65" s="131">
        <v>3377.96</v>
      </c>
      <c r="U65" s="97">
        <f t="shared" si="2"/>
        <v>0</v>
      </c>
    </row>
    <row r="66" spans="1:21" ht="20.100000000000001" customHeight="1" x14ac:dyDescent="0.25">
      <c r="A66" s="155">
        <v>51</v>
      </c>
      <c r="B66" s="99">
        <f t="shared" si="3"/>
        <v>56</v>
      </c>
      <c r="C66" s="10" t="s">
        <v>68</v>
      </c>
      <c r="D66" s="100" t="s">
        <v>124</v>
      </c>
      <c r="E66" s="101"/>
      <c r="F66" s="17" t="s">
        <v>111</v>
      </c>
      <c r="G66" s="72" t="s">
        <v>184</v>
      </c>
      <c r="H66" s="77">
        <v>18</v>
      </c>
      <c r="I66" s="75">
        <v>14</v>
      </c>
      <c r="J66" s="75">
        <v>15</v>
      </c>
      <c r="K66" s="75">
        <v>11</v>
      </c>
      <c r="L66" s="75">
        <v>9</v>
      </c>
      <c r="M66" s="97">
        <f>620.1+6964.42</f>
        <v>7584.52</v>
      </c>
      <c r="N66" s="97">
        <v>620.1</v>
      </c>
      <c r="O66" s="93">
        <f t="shared" si="1"/>
        <v>6964.42</v>
      </c>
      <c r="P66" s="123">
        <v>9</v>
      </c>
      <c r="Q66" s="124">
        <v>9</v>
      </c>
      <c r="R66" s="124">
        <v>8</v>
      </c>
      <c r="S66" s="97">
        <v>5363.21</v>
      </c>
      <c r="T66" s="131">
        <v>5363.21</v>
      </c>
      <c r="U66" s="97">
        <f t="shared" si="2"/>
        <v>0</v>
      </c>
    </row>
    <row r="67" spans="1:21" ht="20.100000000000001" customHeight="1" x14ac:dyDescent="0.25">
      <c r="A67" s="155">
        <v>52</v>
      </c>
      <c r="B67" s="99">
        <f t="shared" si="3"/>
        <v>57</v>
      </c>
      <c r="C67" s="13" t="s">
        <v>69</v>
      </c>
      <c r="D67" s="100" t="s">
        <v>124</v>
      </c>
      <c r="E67" s="101"/>
      <c r="F67" s="17" t="s">
        <v>106</v>
      </c>
      <c r="G67" s="72" t="s">
        <v>185</v>
      </c>
      <c r="H67" s="77">
        <v>3</v>
      </c>
      <c r="I67" s="75">
        <v>2</v>
      </c>
      <c r="J67" s="75">
        <v>3</v>
      </c>
      <c r="K67" s="75">
        <v>3</v>
      </c>
      <c r="L67" s="75">
        <v>3</v>
      </c>
      <c r="M67" s="97">
        <f>463.83+1653.6</f>
        <v>2117.4299999999998</v>
      </c>
      <c r="N67" s="97"/>
      <c r="O67" s="93">
        <f t="shared" si="1"/>
        <v>2117.4299999999998</v>
      </c>
      <c r="P67" s="123">
        <v>4</v>
      </c>
      <c r="Q67" s="124">
        <v>4</v>
      </c>
      <c r="R67" s="124">
        <v>4</v>
      </c>
      <c r="S67" s="97">
        <v>3148.1</v>
      </c>
      <c r="T67" s="131">
        <v>2318.17</v>
      </c>
      <c r="U67" s="97">
        <f t="shared" si="2"/>
        <v>829.92999999999984</v>
      </c>
    </row>
    <row r="68" spans="1:21" ht="20.100000000000001" customHeight="1" x14ac:dyDescent="0.25">
      <c r="A68" s="155">
        <v>53</v>
      </c>
      <c r="B68" s="99">
        <f t="shared" si="3"/>
        <v>58</v>
      </c>
      <c r="C68" s="11" t="s">
        <v>70</v>
      </c>
      <c r="D68" s="100" t="s">
        <v>124</v>
      </c>
      <c r="E68" s="101"/>
      <c r="F68" s="17" t="s">
        <v>107</v>
      </c>
      <c r="G68" s="72" t="s">
        <v>186</v>
      </c>
      <c r="H68" s="77">
        <v>20</v>
      </c>
      <c r="I68" s="75">
        <v>20</v>
      </c>
      <c r="J68" s="75">
        <v>24</v>
      </c>
      <c r="K68" s="75">
        <v>20</v>
      </c>
      <c r="L68" s="75">
        <v>16</v>
      </c>
      <c r="M68" s="97">
        <f>6122.06+2634.24+3593.96</f>
        <v>12350.259999999998</v>
      </c>
      <c r="N68" s="97">
        <v>1327.02</v>
      </c>
      <c r="O68" s="93">
        <f t="shared" si="1"/>
        <v>11023.239999999998</v>
      </c>
      <c r="P68" s="123">
        <v>7</v>
      </c>
      <c r="Q68" s="124">
        <v>7</v>
      </c>
      <c r="R68" s="124">
        <v>7</v>
      </c>
      <c r="S68" s="97">
        <f>1207.07+5904.8</f>
        <v>7111.87</v>
      </c>
      <c r="T68" s="131">
        <v>1207.07</v>
      </c>
      <c r="U68" s="97">
        <f t="shared" si="2"/>
        <v>5904.8</v>
      </c>
    </row>
    <row r="69" spans="1:21" ht="20.100000000000001" customHeight="1" x14ac:dyDescent="0.25">
      <c r="A69" s="155">
        <v>54</v>
      </c>
      <c r="B69" s="99">
        <f t="shared" si="3"/>
        <v>59</v>
      </c>
      <c r="C69" s="11" t="s">
        <v>71</v>
      </c>
      <c r="D69" s="100" t="s">
        <v>124</v>
      </c>
      <c r="E69" s="101"/>
      <c r="F69" s="17" t="s">
        <v>117</v>
      </c>
      <c r="G69" s="72" t="s">
        <v>187</v>
      </c>
      <c r="H69" s="77">
        <v>18</v>
      </c>
      <c r="I69" s="75">
        <v>11</v>
      </c>
      <c r="J69" s="75">
        <v>17</v>
      </c>
      <c r="K69" s="75">
        <v>17</v>
      </c>
      <c r="L69" s="75">
        <v>17</v>
      </c>
      <c r="M69" s="97">
        <f>4665.7+7448.87</f>
        <v>12114.57</v>
      </c>
      <c r="N69" s="97">
        <v>992.16</v>
      </c>
      <c r="O69" s="93">
        <f t="shared" si="1"/>
        <v>11122.41</v>
      </c>
      <c r="P69" s="123">
        <v>10</v>
      </c>
      <c r="Q69" s="124">
        <v>10</v>
      </c>
      <c r="R69" s="124">
        <v>10</v>
      </c>
      <c r="S69" s="97">
        <v>6249.15</v>
      </c>
      <c r="T69" s="131">
        <v>3017.19</v>
      </c>
      <c r="U69" s="97">
        <f t="shared" si="2"/>
        <v>3231.9599999999996</v>
      </c>
    </row>
    <row r="70" spans="1:21" ht="20.100000000000001" customHeight="1" x14ac:dyDescent="0.25">
      <c r="A70" s="155">
        <v>55</v>
      </c>
      <c r="B70" s="99">
        <f t="shared" si="3"/>
        <v>60</v>
      </c>
      <c r="C70" s="11" t="s">
        <v>72</v>
      </c>
      <c r="D70" s="100" t="s">
        <v>125</v>
      </c>
      <c r="E70" s="106" t="s">
        <v>126</v>
      </c>
      <c r="F70" s="17" t="s">
        <v>106</v>
      </c>
      <c r="G70" s="72" t="s">
        <v>188</v>
      </c>
      <c r="H70" s="77">
        <v>5</v>
      </c>
      <c r="I70" s="75"/>
      <c r="J70" s="75"/>
      <c r="K70" s="75"/>
      <c r="L70" s="75"/>
      <c r="M70" s="97"/>
      <c r="N70" s="97"/>
      <c r="O70" s="93">
        <f t="shared" si="1"/>
        <v>0</v>
      </c>
      <c r="P70" s="123"/>
      <c r="Q70" s="124"/>
      <c r="R70" s="124"/>
      <c r="S70" s="97"/>
      <c r="T70" s="131"/>
      <c r="U70" s="97">
        <f t="shared" si="2"/>
        <v>0</v>
      </c>
    </row>
    <row r="71" spans="1:21" ht="20.100000000000001" customHeight="1" x14ac:dyDescent="0.25">
      <c r="A71" s="155">
        <v>56</v>
      </c>
      <c r="B71" s="99">
        <f t="shared" si="3"/>
        <v>61</v>
      </c>
      <c r="C71" s="10" t="s">
        <v>73</v>
      </c>
      <c r="D71" s="100" t="s">
        <v>124</v>
      </c>
      <c r="E71" s="101"/>
      <c r="F71" s="17" t="s">
        <v>106</v>
      </c>
      <c r="G71" s="72" t="s">
        <v>189</v>
      </c>
      <c r="H71" s="77">
        <v>6</v>
      </c>
      <c r="I71" s="75"/>
      <c r="J71" s="75"/>
      <c r="K71" s="75"/>
      <c r="L71" s="75"/>
      <c r="M71" s="97"/>
      <c r="N71" s="97"/>
      <c r="O71" s="93">
        <f t="shared" si="1"/>
        <v>0</v>
      </c>
      <c r="P71" s="123">
        <v>1</v>
      </c>
      <c r="Q71" s="124">
        <v>1</v>
      </c>
      <c r="R71" s="124">
        <v>1</v>
      </c>
      <c r="S71" s="97">
        <v>551.20000000000005</v>
      </c>
      <c r="T71" s="131"/>
      <c r="U71" s="97">
        <f t="shared" si="2"/>
        <v>551.20000000000005</v>
      </c>
    </row>
    <row r="72" spans="1:21" ht="20.100000000000001" customHeight="1" x14ac:dyDescent="0.25">
      <c r="A72" s="155">
        <v>57</v>
      </c>
      <c r="B72" s="99">
        <f t="shared" si="3"/>
        <v>62</v>
      </c>
      <c r="C72" s="11" t="s">
        <v>74</v>
      </c>
      <c r="D72" s="100" t="s">
        <v>124</v>
      </c>
      <c r="E72" s="101"/>
      <c r="F72" s="17" t="s">
        <v>111</v>
      </c>
      <c r="G72" s="72" t="s">
        <v>190</v>
      </c>
      <c r="H72" s="77">
        <v>8</v>
      </c>
      <c r="I72" s="75">
        <v>3</v>
      </c>
      <c r="J72" s="75">
        <v>3</v>
      </c>
      <c r="K72" s="75">
        <v>3</v>
      </c>
      <c r="L72" s="75">
        <v>2</v>
      </c>
      <c r="M72" s="97">
        <v>2228.5</v>
      </c>
      <c r="N72" s="97">
        <v>2228.5</v>
      </c>
      <c r="O72" s="93">
        <f t="shared" si="1"/>
        <v>0</v>
      </c>
      <c r="P72" s="123">
        <v>20</v>
      </c>
      <c r="Q72" s="124">
        <v>20</v>
      </c>
      <c r="R72" s="124">
        <v>17</v>
      </c>
      <c r="S72" s="97">
        <f>27744.56+14819.18</f>
        <v>42563.740000000005</v>
      </c>
      <c r="T72" s="131">
        <v>27744.560000000001</v>
      </c>
      <c r="U72" s="97">
        <f t="shared" si="2"/>
        <v>14819.180000000004</v>
      </c>
    </row>
    <row r="73" spans="1:21" ht="20.100000000000001" customHeight="1" x14ac:dyDescent="0.25">
      <c r="A73" s="155">
        <v>58</v>
      </c>
      <c r="B73" s="99">
        <f t="shared" si="3"/>
        <v>63</v>
      </c>
      <c r="C73" s="11" t="s">
        <v>75</v>
      </c>
      <c r="D73" s="100" t="s">
        <v>124</v>
      </c>
      <c r="E73" s="101"/>
      <c r="F73" s="17" t="s">
        <v>118</v>
      </c>
      <c r="G73" s="72" t="s">
        <v>191</v>
      </c>
      <c r="H73" s="77">
        <v>6</v>
      </c>
      <c r="I73" s="75">
        <v>2</v>
      </c>
      <c r="J73" s="75">
        <v>3</v>
      </c>
      <c r="K73" s="75">
        <v>3</v>
      </c>
      <c r="L73" s="75">
        <v>2</v>
      </c>
      <c r="M73" s="97">
        <v>1163.72</v>
      </c>
      <c r="N73" s="97"/>
      <c r="O73" s="93">
        <f t="shared" si="1"/>
        <v>1163.72</v>
      </c>
      <c r="P73" s="123">
        <v>7</v>
      </c>
      <c r="Q73" s="124">
        <v>7</v>
      </c>
      <c r="R73" s="124">
        <v>7</v>
      </c>
      <c r="S73" s="97">
        <f>3959.69+961.38</f>
        <v>4921.07</v>
      </c>
      <c r="T73" s="131">
        <v>3959.69</v>
      </c>
      <c r="U73" s="97">
        <f t="shared" si="2"/>
        <v>961.37999999999965</v>
      </c>
    </row>
    <row r="74" spans="1:21" ht="20.100000000000001" customHeight="1" x14ac:dyDescent="0.25">
      <c r="A74" s="155">
        <v>59</v>
      </c>
      <c r="B74" s="99">
        <f t="shared" si="3"/>
        <v>64</v>
      </c>
      <c r="C74" s="10" t="s">
        <v>76</v>
      </c>
      <c r="D74" s="100" t="s">
        <v>124</v>
      </c>
      <c r="E74" s="101"/>
      <c r="F74" s="10" t="s">
        <v>105</v>
      </c>
      <c r="G74" s="72" t="s">
        <v>192</v>
      </c>
      <c r="H74" s="77">
        <v>9</v>
      </c>
      <c r="I74" s="75">
        <v>2</v>
      </c>
      <c r="J74" s="75">
        <v>2</v>
      </c>
      <c r="K74" s="75">
        <v>2</v>
      </c>
      <c r="L74" s="75">
        <v>2</v>
      </c>
      <c r="M74" s="97">
        <v>507.1</v>
      </c>
      <c r="N74" s="97"/>
      <c r="O74" s="93">
        <f t="shared" si="1"/>
        <v>507.1</v>
      </c>
      <c r="P74" s="123">
        <v>3</v>
      </c>
      <c r="Q74" s="124">
        <v>3</v>
      </c>
      <c r="R74" s="124">
        <v>3</v>
      </c>
      <c r="S74" s="97">
        <v>1821.06</v>
      </c>
      <c r="T74" s="131">
        <v>1821.06</v>
      </c>
      <c r="U74" s="97">
        <f t="shared" si="2"/>
        <v>0</v>
      </c>
    </row>
    <row r="75" spans="1:21" ht="20.100000000000001" customHeight="1" x14ac:dyDescent="0.25">
      <c r="B75" s="99">
        <f t="shared" si="3"/>
        <v>65</v>
      </c>
      <c r="C75" s="11" t="s">
        <v>77</v>
      </c>
      <c r="D75" s="100" t="s">
        <v>124</v>
      </c>
      <c r="E75" s="101"/>
      <c r="F75" s="10" t="s">
        <v>111</v>
      </c>
      <c r="G75" s="72" t="s">
        <v>225</v>
      </c>
      <c r="H75" s="77"/>
      <c r="I75" s="75"/>
      <c r="J75" s="75"/>
      <c r="K75" s="75"/>
      <c r="L75" s="75"/>
      <c r="M75" s="97"/>
      <c r="N75" s="97"/>
      <c r="O75" s="93">
        <f t="shared" si="1"/>
        <v>0</v>
      </c>
      <c r="P75" s="123">
        <v>1</v>
      </c>
      <c r="Q75" s="124">
        <v>1</v>
      </c>
      <c r="R75" s="124">
        <v>1</v>
      </c>
      <c r="S75" s="97">
        <v>3278.32</v>
      </c>
      <c r="T75" s="131">
        <v>3278.32</v>
      </c>
      <c r="U75" s="97">
        <f t="shared" si="2"/>
        <v>0</v>
      </c>
    </row>
    <row r="76" spans="1:21" ht="20.100000000000001" customHeight="1" x14ac:dyDescent="0.25">
      <c r="A76" s="155">
        <v>60</v>
      </c>
      <c r="B76" s="99">
        <f t="shared" ref="B76:B102" si="4">B75+1</f>
        <v>66</v>
      </c>
      <c r="C76" s="10" t="s">
        <v>78</v>
      </c>
      <c r="D76" s="100" t="s">
        <v>124</v>
      </c>
      <c r="E76" s="101"/>
      <c r="F76" s="23" t="s">
        <v>119</v>
      </c>
      <c r="G76" s="72" t="s">
        <v>193</v>
      </c>
      <c r="H76" s="77">
        <v>5</v>
      </c>
      <c r="I76" s="75"/>
      <c r="J76" s="75"/>
      <c r="K76" s="75"/>
      <c r="L76" s="75"/>
      <c r="M76" s="97"/>
      <c r="N76" s="97"/>
      <c r="O76" s="93">
        <f t="shared" ref="O76:O103" si="5" xml:space="preserve"> (M76-N76)</f>
        <v>0</v>
      </c>
      <c r="P76" s="123">
        <v>2</v>
      </c>
      <c r="Q76" s="124">
        <v>2</v>
      </c>
      <c r="R76" s="124">
        <v>2</v>
      </c>
      <c r="S76" s="97">
        <v>617.03</v>
      </c>
      <c r="T76" s="131">
        <v>617.03</v>
      </c>
      <c r="U76" s="97">
        <f t="shared" ref="U76:U103" si="6" xml:space="preserve"> (S76-T76)</f>
        <v>0</v>
      </c>
    </row>
    <row r="77" spans="1:21" ht="20.100000000000001" customHeight="1" x14ac:dyDescent="0.25">
      <c r="A77" s="155">
        <v>61</v>
      </c>
      <c r="B77" s="99">
        <f t="shared" si="4"/>
        <v>67</v>
      </c>
      <c r="C77" s="11" t="s">
        <v>79</v>
      </c>
      <c r="D77" s="100" t="s">
        <v>124</v>
      </c>
      <c r="E77" s="101"/>
      <c r="F77" s="17" t="s">
        <v>106</v>
      </c>
      <c r="G77" s="72" t="s">
        <v>194</v>
      </c>
      <c r="H77" s="77">
        <v>12</v>
      </c>
      <c r="I77" s="75">
        <v>7</v>
      </c>
      <c r="J77" s="75">
        <v>9</v>
      </c>
      <c r="K77" s="75">
        <v>8</v>
      </c>
      <c r="L77" s="75">
        <v>8</v>
      </c>
      <c r="M77" s="97">
        <f>1065.4+3931.58</f>
        <v>4996.9799999999996</v>
      </c>
      <c r="N77" s="97">
        <v>522.80999999999995</v>
      </c>
      <c r="O77" s="93">
        <f t="shared" si="5"/>
        <v>4474.17</v>
      </c>
      <c r="P77" s="123">
        <v>4</v>
      </c>
      <c r="Q77" s="124">
        <v>4</v>
      </c>
      <c r="R77" s="124">
        <v>4</v>
      </c>
      <c r="S77" s="97">
        <f>2337.1+1182.32</f>
        <v>3519.42</v>
      </c>
      <c r="T77" s="131">
        <v>373.44</v>
      </c>
      <c r="U77" s="97">
        <f t="shared" si="6"/>
        <v>3145.98</v>
      </c>
    </row>
    <row r="78" spans="1:21" ht="20.100000000000001" customHeight="1" x14ac:dyDescent="0.25">
      <c r="A78" s="155">
        <v>62</v>
      </c>
      <c r="B78" s="99">
        <f t="shared" si="4"/>
        <v>68</v>
      </c>
      <c r="C78" s="11" t="s">
        <v>80</v>
      </c>
      <c r="D78" s="100" t="s">
        <v>124</v>
      </c>
      <c r="E78" s="101"/>
      <c r="F78" s="17" t="s">
        <v>106</v>
      </c>
      <c r="G78" s="72" t="s">
        <v>195</v>
      </c>
      <c r="H78" s="77">
        <v>6</v>
      </c>
      <c r="I78" s="75">
        <v>3</v>
      </c>
      <c r="J78" s="75">
        <v>3</v>
      </c>
      <c r="K78" s="75">
        <v>3</v>
      </c>
      <c r="L78" s="75">
        <v>2</v>
      </c>
      <c r="M78" s="97">
        <f>3034.57</f>
        <v>3034.57</v>
      </c>
      <c r="N78" s="97"/>
      <c r="O78" s="93">
        <f t="shared" si="5"/>
        <v>3034.57</v>
      </c>
      <c r="P78" s="123"/>
      <c r="Q78" s="124"/>
      <c r="R78" s="124"/>
      <c r="S78" s="97"/>
      <c r="T78" s="131"/>
      <c r="U78" s="97">
        <f t="shared" si="6"/>
        <v>0</v>
      </c>
    </row>
    <row r="79" spans="1:21" ht="20.100000000000001" customHeight="1" x14ac:dyDescent="0.25">
      <c r="B79" s="99">
        <f t="shared" si="4"/>
        <v>69</v>
      </c>
      <c r="C79" s="14" t="s">
        <v>81</v>
      </c>
      <c r="D79" s="100" t="s">
        <v>124</v>
      </c>
      <c r="E79" s="101"/>
      <c r="F79" s="10" t="s">
        <v>106</v>
      </c>
      <c r="G79" s="72" t="s">
        <v>226</v>
      </c>
      <c r="H79" s="77"/>
      <c r="I79" s="75"/>
      <c r="J79" s="75"/>
      <c r="K79" s="75"/>
      <c r="L79" s="75"/>
      <c r="M79" s="97"/>
      <c r="N79" s="97"/>
      <c r="O79" s="93">
        <f t="shared" si="5"/>
        <v>0</v>
      </c>
      <c r="P79" s="123">
        <v>8</v>
      </c>
      <c r="Q79" s="124">
        <v>8</v>
      </c>
      <c r="R79" s="124">
        <v>8</v>
      </c>
      <c r="S79" s="97">
        <v>3889.76</v>
      </c>
      <c r="T79" s="131">
        <v>3889.76</v>
      </c>
      <c r="U79" s="97">
        <f t="shared" si="6"/>
        <v>0</v>
      </c>
    </row>
    <row r="80" spans="1:21" ht="20.100000000000001" customHeight="1" x14ac:dyDescent="0.25">
      <c r="A80" s="155">
        <v>63</v>
      </c>
      <c r="B80" s="99">
        <f t="shared" si="4"/>
        <v>70</v>
      </c>
      <c r="C80" s="14" t="s">
        <v>82</v>
      </c>
      <c r="D80" s="100" t="s">
        <v>124</v>
      </c>
      <c r="E80" s="101"/>
      <c r="F80" s="10" t="s">
        <v>106</v>
      </c>
      <c r="G80" s="72" t="s">
        <v>196</v>
      </c>
      <c r="H80" s="77">
        <v>9</v>
      </c>
      <c r="I80" s="75">
        <v>1</v>
      </c>
      <c r="J80" s="75">
        <v>2</v>
      </c>
      <c r="K80" s="75">
        <v>2</v>
      </c>
      <c r="L80" s="75">
        <v>2</v>
      </c>
      <c r="M80" s="97">
        <f>272.84+664.75</f>
        <v>937.58999999999992</v>
      </c>
      <c r="N80" s="97">
        <v>272.83999999999997</v>
      </c>
      <c r="O80" s="93">
        <f t="shared" si="5"/>
        <v>664.75</v>
      </c>
      <c r="P80" s="123">
        <v>1</v>
      </c>
      <c r="Q80" s="124">
        <v>1</v>
      </c>
      <c r="R80" s="124">
        <v>1</v>
      </c>
      <c r="S80" s="97">
        <v>275.60000000000002</v>
      </c>
      <c r="T80" s="131">
        <v>275.60000000000002</v>
      </c>
      <c r="U80" s="97">
        <f t="shared" si="6"/>
        <v>0</v>
      </c>
    </row>
    <row r="81" spans="1:21" ht="20.100000000000001" customHeight="1" x14ac:dyDescent="0.25">
      <c r="A81" s="155">
        <v>64</v>
      </c>
      <c r="B81" s="99">
        <f t="shared" si="4"/>
        <v>71</v>
      </c>
      <c r="C81" s="14" t="s">
        <v>83</v>
      </c>
      <c r="D81" s="100" t="s">
        <v>124</v>
      </c>
      <c r="E81" s="101"/>
      <c r="F81" s="10" t="s">
        <v>106</v>
      </c>
      <c r="G81" s="72" t="s">
        <v>197</v>
      </c>
      <c r="H81" s="77">
        <v>11</v>
      </c>
      <c r="I81" s="75">
        <v>3</v>
      </c>
      <c r="J81" s="75">
        <v>3</v>
      </c>
      <c r="K81" s="75">
        <v>3</v>
      </c>
      <c r="L81" s="75">
        <v>3</v>
      </c>
      <c r="M81" s="97">
        <f>531.74+1660.98</f>
        <v>2192.7200000000003</v>
      </c>
      <c r="N81" s="97">
        <v>531.74</v>
      </c>
      <c r="O81" s="93">
        <f t="shared" si="5"/>
        <v>1660.9800000000002</v>
      </c>
      <c r="P81" s="123">
        <v>6</v>
      </c>
      <c r="Q81" s="124">
        <v>6</v>
      </c>
      <c r="R81" s="124">
        <v>6</v>
      </c>
      <c r="S81" s="97">
        <f>12327.43+413.4</f>
        <v>12740.83</v>
      </c>
      <c r="T81" s="131">
        <v>12327.43</v>
      </c>
      <c r="U81" s="97">
        <f t="shared" si="6"/>
        <v>413.39999999999964</v>
      </c>
    </row>
    <row r="82" spans="1:21" ht="20.100000000000001" customHeight="1" x14ac:dyDescent="0.25">
      <c r="A82" s="155">
        <v>65</v>
      </c>
      <c r="B82" s="99">
        <f t="shared" si="4"/>
        <v>72</v>
      </c>
      <c r="C82" s="11" t="s">
        <v>84</v>
      </c>
      <c r="D82" s="100" t="s">
        <v>124</v>
      </c>
      <c r="E82" s="101"/>
      <c r="F82" s="10" t="s">
        <v>120</v>
      </c>
      <c r="G82" s="72" t="s">
        <v>198</v>
      </c>
      <c r="H82" s="77">
        <v>1</v>
      </c>
      <c r="I82" s="75"/>
      <c r="J82" s="75"/>
      <c r="K82" s="75"/>
      <c r="L82" s="75"/>
      <c r="M82" s="97"/>
      <c r="N82" s="97"/>
      <c r="O82" s="93">
        <f t="shared" si="5"/>
        <v>0</v>
      </c>
      <c r="P82" s="123"/>
      <c r="Q82" s="124"/>
      <c r="R82" s="124"/>
      <c r="S82" s="97"/>
      <c r="T82" s="131"/>
      <c r="U82" s="97">
        <f t="shared" si="6"/>
        <v>0</v>
      </c>
    </row>
    <row r="83" spans="1:21" ht="20.100000000000001" customHeight="1" x14ac:dyDescent="0.25">
      <c r="A83" s="155">
        <v>66</v>
      </c>
      <c r="B83" s="99">
        <f t="shared" si="4"/>
        <v>73</v>
      </c>
      <c r="C83" s="13" t="s">
        <v>85</v>
      </c>
      <c r="D83" s="100" t="s">
        <v>124</v>
      </c>
      <c r="E83" s="101"/>
      <c r="F83" s="19" t="s">
        <v>106</v>
      </c>
      <c r="G83" s="72" t="s">
        <v>199</v>
      </c>
      <c r="H83" s="77">
        <v>13</v>
      </c>
      <c r="I83" s="75">
        <v>4</v>
      </c>
      <c r="J83" s="75">
        <v>4</v>
      </c>
      <c r="K83" s="75">
        <v>4</v>
      </c>
      <c r="L83" s="75">
        <v>4</v>
      </c>
      <c r="M83" s="97">
        <v>2282.25</v>
      </c>
      <c r="N83" s="97"/>
      <c r="O83" s="93">
        <f t="shared" si="5"/>
        <v>2282.25</v>
      </c>
      <c r="P83" s="123">
        <v>6</v>
      </c>
      <c r="Q83" s="124">
        <v>6</v>
      </c>
      <c r="R83" s="124">
        <v>6</v>
      </c>
      <c r="S83" s="97">
        <f>15935.59+881.06</f>
        <v>16816.650000000001</v>
      </c>
      <c r="T83" s="131">
        <v>5274.97</v>
      </c>
      <c r="U83" s="97">
        <f t="shared" si="6"/>
        <v>11541.68</v>
      </c>
    </row>
    <row r="84" spans="1:21" ht="20.100000000000001" customHeight="1" x14ac:dyDescent="0.25">
      <c r="A84" s="155">
        <v>67</v>
      </c>
      <c r="B84" s="99">
        <f t="shared" si="4"/>
        <v>74</v>
      </c>
      <c r="C84" s="10" t="s">
        <v>86</v>
      </c>
      <c r="D84" s="100" t="s">
        <v>124</v>
      </c>
      <c r="E84" s="101"/>
      <c r="F84" s="22" t="s">
        <v>118</v>
      </c>
      <c r="G84" s="72" t="s">
        <v>200</v>
      </c>
      <c r="H84" s="77">
        <v>10</v>
      </c>
      <c r="I84" s="75">
        <v>11</v>
      </c>
      <c r="J84" s="75">
        <v>11</v>
      </c>
      <c r="K84" s="75">
        <v>7</v>
      </c>
      <c r="L84" s="75">
        <v>7</v>
      </c>
      <c r="M84" s="97">
        <f>2803.04+5035.5</f>
        <v>7838.54</v>
      </c>
      <c r="N84" s="97">
        <v>2803.04</v>
      </c>
      <c r="O84" s="93">
        <f t="shared" si="5"/>
        <v>5035.5</v>
      </c>
      <c r="P84" s="123">
        <v>9</v>
      </c>
      <c r="Q84" s="124">
        <v>6</v>
      </c>
      <c r="R84" s="124">
        <v>6</v>
      </c>
      <c r="S84" s="97">
        <f>6465.89+3406.65</f>
        <v>9872.5400000000009</v>
      </c>
      <c r="T84" s="131">
        <v>6465.89</v>
      </c>
      <c r="U84" s="97">
        <f t="shared" si="6"/>
        <v>3406.6500000000005</v>
      </c>
    </row>
    <row r="85" spans="1:21" ht="20.100000000000001" customHeight="1" x14ac:dyDescent="0.25">
      <c r="A85" s="155">
        <v>68</v>
      </c>
      <c r="B85" s="99">
        <f t="shared" si="4"/>
        <v>75</v>
      </c>
      <c r="C85" s="10" t="s">
        <v>87</v>
      </c>
      <c r="D85" s="100" t="s">
        <v>124</v>
      </c>
      <c r="E85" s="101"/>
      <c r="F85" s="22" t="s">
        <v>115</v>
      </c>
      <c r="G85" s="72" t="s">
        <v>201</v>
      </c>
      <c r="H85" s="77">
        <v>9</v>
      </c>
      <c r="I85" s="75">
        <v>3</v>
      </c>
      <c r="J85" s="75">
        <v>4</v>
      </c>
      <c r="K85" s="75">
        <v>3</v>
      </c>
      <c r="L85" s="75">
        <v>3</v>
      </c>
      <c r="M85" s="97">
        <f>409.27+3438.52</f>
        <v>3847.79</v>
      </c>
      <c r="N85" s="97">
        <v>409.27</v>
      </c>
      <c r="O85" s="93">
        <f t="shared" si="5"/>
        <v>3438.52</v>
      </c>
      <c r="P85" s="123">
        <v>1</v>
      </c>
      <c r="Q85" s="124">
        <v>1</v>
      </c>
      <c r="R85" s="124">
        <v>1</v>
      </c>
      <c r="S85" s="97">
        <v>1515.31</v>
      </c>
      <c r="T85" s="131"/>
      <c r="U85" s="97">
        <f t="shared" si="6"/>
        <v>1515.31</v>
      </c>
    </row>
    <row r="86" spans="1:21" ht="20.100000000000001" customHeight="1" x14ac:dyDescent="0.25">
      <c r="A86" s="155">
        <v>70</v>
      </c>
      <c r="B86" s="99">
        <f t="shared" si="4"/>
        <v>76</v>
      </c>
      <c r="C86" s="11" t="s">
        <v>88</v>
      </c>
      <c r="D86" s="100" t="s">
        <v>124</v>
      </c>
      <c r="E86" s="101"/>
      <c r="F86" s="17" t="s">
        <v>121</v>
      </c>
      <c r="G86" s="72" t="s">
        <v>203</v>
      </c>
      <c r="H86" s="77">
        <v>15</v>
      </c>
      <c r="I86" s="75">
        <v>10</v>
      </c>
      <c r="J86" s="75">
        <v>18</v>
      </c>
      <c r="K86" s="75">
        <v>13</v>
      </c>
      <c r="L86" s="75">
        <v>13</v>
      </c>
      <c r="M86" s="97">
        <f>4781.94+3598.27</f>
        <v>8380.2099999999991</v>
      </c>
      <c r="N86" s="97"/>
      <c r="O86" s="93">
        <f t="shared" si="5"/>
        <v>8380.2099999999991</v>
      </c>
      <c r="P86" s="123">
        <v>6</v>
      </c>
      <c r="Q86" s="124">
        <v>5</v>
      </c>
      <c r="R86" s="124">
        <v>5</v>
      </c>
      <c r="S86" s="97">
        <f>2068.47+2492.49</f>
        <v>4560.9599999999991</v>
      </c>
      <c r="T86" s="131"/>
      <c r="U86" s="97">
        <f t="shared" si="6"/>
        <v>4560.9599999999991</v>
      </c>
    </row>
    <row r="87" spans="1:21" ht="20.100000000000001" customHeight="1" x14ac:dyDescent="0.25">
      <c r="A87" s="155">
        <v>69</v>
      </c>
      <c r="B87" s="99">
        <f t="shared" si="4"/>
        <v>77</v>
      </c>
      <c r="C87" s="14" t="s">
        <v>89</v>
      </c>
      <c r="D87" s="100" t="s">
        <v>124</v>
      </c>
      <c r="E87" s="101"/>
      <c r="F87" s="19" t="s">
        <v>106</v>
      </c>
      <c r="G87" s="72" t="s">
        <v>202</v>
      </c>
      <c r="H87" s="77">
        <v>5</v>
      </c>
      <c r="I87" s="75"/>
      <c r="J87" s="75"/>
      <c r="K87" s="75"/>
      <c r="L87" s="75"/>
      <c r="M87" s="97"/>
      <c r="N87" s="97"/>
      <c r="O87" s="93">
        <f t="shared" si="5"/>
        <v>0</v>
      </c>
      <c r="P87" s="123">
        <v>2</v>
      </c>
      <c r="Q87" s="124">
        <v>2</v>
      </c>
      <c r="R87" s="124">
        <v>2</v>
      </c>
      <c r="S87" s="97">
        <v>839.18</v>
      </c>
      <c r="T87" s="131">
        <v>839.18</v>
      </c>
      <c r="U87" s="97">
        <f t="shared" si="6"/>
        <v>0</v>
      </c>
    </row>
    <row r="88" spans="1:21" ht="20.100000000000001" customHeight="1" x14ac:dyDescent="0.25">
      <c r="A88" s="155">
        <v>71</v>
      </c>
      <c r="B88" s="99">
        <f t="shared" si="4"/>
        <v>78</v>
      </c>
      <c r="C88" s="14" t="s">
        <v>90</v>
      </c>
      <c r="D88" s="100" t="s">
        <v>124</v>
      </c>
      <c r="E88" s="101"/>
      <c r="F88" s="19" t="s">
        <v>106</v>
      </c>
      <c r="G88" s="72" t="s">
        <v>204</v>
      </c>
      <c r="H88" s="77">
        <v>4</v>
      </c>
      <c r="I88" s="75">
        <v>4</v>
      </c>
      <c r="J88" s="75">
        <v>4</v>
      </c>
      <c r="K88" s="75">
        <v>4</v>
      </c>
      <c r="L88" s="75">
        <v>4</v>
      </c>
      <c r="M88" s="97">
        <f>795.8+4099.92</f>
        <v>4895.72</v>
      </c>
      <c r="N88" s="97">
        <v>250.11</v>
      </c>
      <c r="O88" s="93">
        <f t="shared" si="5"/>
        <v>4645.6100000000006</v>
      </c>
      <c r="P88" s="123">
        <v>5</v>
      </c>
      <c r="Q88" s="124">
        <v>4</v>
      </c>
      <c r="R88" s="124">
        <v>4</v>
      </c>
      <c r="S88" s="97">
        <f>2723.78+3718.48</f>
        <v>6442.26</v>
      </c>
      <c r="T88" s="131">
        <v>2723.78</v>
      </c>
      <c r="U88" s="97">
        <f t="shared" si="6"/>
        <v>3718.48</v>
      </c>
    </row>
    <row r="89" spans="1:21" ht="20.100000000000001" customHeight="1" x14ac:dyDescent="0.25">
      <c r="B89" s="99">
        <f t="shared" si="4"/>
        <v>79</v>
      </c>
      <c r="C89" s="10" t="s">
        <v>91</v>
      </c>
      <c r="D89" s="100" t="s">
        <v>124</v>
      </c>
      <c r="E89" s="101"/>
      <c r="F89" s="17" t="s">
        <v>111</v>
      </c>
      <c r="G89" s="72" t="s">
        <v>231</v>
      </c>
      <c r="H89" s="77">
        <v>1</v>
      </c>
      <c r="I89" s="75"/>
      <c r="J89" s="75"/>
      <c r="K89" s="75"/>
      <c r="L89" s="75"/>
      <c r="M89" s="97"/>
      <c r="N89" s="97"/>
      <c r="O89" s="93">
        <f t="shared" si="5"/>
        <v>0</v>
      </c>
      <c r="P89" s="123">
        <v>6</v>
      </c>
      <c r="Q89" s="124">
        <v>6</v>
      </c>
      <c r="R89" s="124">
        <v>6</v>
      </c>
      <c r="S89" s="97">
        <v>7502.29</v>
      </c>
      <c r="T89" s="131">
        <v>7502.29</v>
      </c>
      <c r="U89" s="97">
        <f t="shared" si="6"/>
        <v>0</v>
      </c>
    </row>
    <row r="90" spans="1:21" ht="20.100000000000001" customHeight="1" x14ac:dyDescent="0.25">
      <c r="A90" s="155">
        <v>72</v>
      </c>
      <c r="B90" s="99">
        <f t="shared" si="4"/>
        <v>80</v>
      </c>
      <c r="C90" s="10" t="s">
        <v>92</v>
      </c>
      <c r="D90" s="100" t="s">
        <v>124</v>
      </c>
      <c r="E90" s="101"/>
      <c r="F90" s="19" t="s">
        <v>106</v>
      </c>
      <c r="G90" s="72" t="s">
        <v>205</v>
      </c>
      <c r="H90" s="77">
        <v>4</v>
      </c>
      <c r="I90" s="75">
        <v>1</v>
      </c>
      <c r="J90" s="75">
        <v>2</v>
      </c>
      <c r="K90" s="75">
        <v>2</v>
      </c>
      <c r="L90" s="75">
        <v>2</v>
      </c>
      <c r="M90" s="97">
        <f>725.77+1768.23</f>
        <v>2494</v>
      </c>
      <c r="N90" s="97"/>
      <c r="O90" s="93">
        <f t="shared" si="5"/>
        <v>2494</v>
      </c>
      <c r="P90" s="123">
        <v>4</v>
      </c>
      <c r="Q90" s="124">
        <v>4</v>
      </c>
      <c r="R90" s="124">
        <v>4</v>
      </c>
      <c r="S90" s="97">
        <f>8161.92+1118.75</f>
        <v>9280.67</v>
      </c>
      <c r="T90" s="131">
        <v>5032.46</v>
      </c>
      <c r="U90" s="97">
        <f t="shared" si="6"/>
        <v>4248.21</v>
      </c>
    </row>
    <row r="91" spans="1:21" ht="20.100000000000001" customHeight="1" x14ac:dyDescent="0.25">
      <c r="A91" s="155">
        <v>73</v>
      </c>
      <c r="B91" s="99">
        <f t="shared" si="4"/>
        <v>81</v>
      </c>
      <c r="C91" s="11" t="s">
        <v>93</v>
      </c>
      <c r="D91" s="100" t="s">
        <v>124</v>
      </c>
      <c r="E91" s="101"/>
      <c r="F91" s="17" t="s">
        <v>122</v>
      </c>
      <c r="G91" s="72" t="s">
        <v>206</v>
      </c>
      <c r="H91" s="77">
        <v>17</v>
      </c>
      <c r="I91" s="75">
        <v>12</v>
      </c>
      <c r="J91" s="75">
        <v>22</v>
      </c>
      <c r="K91" s="75">
        <v>22</v>
      </c>
      <c r="L91" s="75">
        <v>20</v>
      </c>
      <c r="M91" s="97">
        <f>2814.78+10694.95</f>
        <v>13509.730000000001</v>
      </c>
      <c r="N91" s="97">
        <f>2814.78</f>
        <v>2814.78</v>
      </c>
      <c r="O91" s="93">
        <f t="shared" si="5"/>
        <v>10694.95</v>
      </c>
      <c r="P91" s="123">
        <v>8</v>
      </c>
      <c r="Q91" s="124">
        <v>7</v>
      </c>
      <c r="R91" s="124">
        <v>7</v>
      </c>
      <c r="S91" s="97">
        <f>2624.93</f>
        <v>2624.93</v>
      </c>
      <c r="T91" s="131"/>
      <c r="U91" s="97">
        <f t="shared" si="6"/>
        <v>2624.93</v>
      </c>
    </row>
    <row r="92" spans="1:21" ht="20.100000000000001" customHeight="1" x14ac:dyDescent="0.25">
      <c r="A92" s="155">
        <v>74</v>
      </c>
      <c r="B92" s="99">
        <f t="shared" si="4"/>
        <v>82</v>
      </c>
      <c r="C92" s="11" t="s">
        <v>94</v>
      </c>
      <c r="D92" s="100" t="s">
        <v>124</v>
      </c>
      <c r="E92" s="101"/>
      <c r="F92" s="19" t="s">
        <v>106</v>
      </c>
      <c r="G92" s="72" t="s">
        <v>218</v>
      </c>
      <c r="H92" s="77">
        <v>8</v>
      </c>
      <c r="I92" s="75">
        <v>4</v>
      </c>
      <c r="J92" s="75">
        <v>5</v>
      </c>
      <c r="K92" s="75">
        <v>5</v>
      </c>
      <c r="L92" s="75">
        <v>5</v>
      </c>
      <c r="M92" s="97">
        <f>1255.05+1986.57</f>
        <v>3241.62</v>
      </c>
      <c r="N92" s="97">
        <v>1255.05</v>
      </c>
      <c r="O92" s="93">
        <f t="shared" si="5"/>
        <v>1986.57</v>
      </c>
      <c r="P92" s="123">
        <v>6</v>
      </c>
      <c r="Q92" s="124">
        <v>6</v>
      </c>
      <c r="R92" s="124">
        <v>6</v>
      </c>
      <c r="S92" s="97">
        <f>6219.66+748.35</f>
        <v>6968.01</v>
      </c>
      <c r="T92" s="131">
        <f>6219.66</f>
        <v>6219.66</v>
      </c>
      <c r="U92" s="97">
        <f t="shared" si="6"/>
        <v>748.35000000000036</v>
      </c>
    </row>
    <row r="93" spans="1:21" ht="20.100000000000001" customHeight="1" x14ac:dyDescent="0.25">
      <c r="A93" s="155">
        <v>75</v>
      </c>
      <c r="B93" s="99">
        <f t="shared" si="4"/>
        <v>83</v>
      </c>
      <c r="C93" s="11" t="s">
        <v>95</v>
      </c>
      <c r="D93" s="100" t="s">
        <v>124</v>
      </c>
      <c r="E93" s="101"/>
      <c r="F93" s="19" t="s">
        <v>123</v>
      </c>
      <c r="G93" s="72" t="s">
        <v>217</v>
      </c>
      <c r="H93" s="77">
        <v>11</v>
      </c>
      <c r="I93" s="75">
        <v>10</v>
      </c>
      <c r="J93" s="75">
        <v>12</v>
      </c>
      <c r="K93" s="75">
        <v>9</v>
      </c>
      <c r="L93" s="75">
        <v>9</v>
      </c>
      <c r="M93" s="97">
        <f>2301.54+4352.56</f>
        <v>6654.1</v>
      </c>
      <c r="N93" s="97"/>
      <c r="O93" s="93">
        <f t="shared" si="5"/>
        <v>6654.1</v>
      </c>
      <c r="P93" s="123">
        <v>1</v>
      </c>
      <c r="Q93" s="124">
        <v>1</v>
      </c>
      <c r="R93" s="124">
        <v>1</v>
      </c>
      <c r="S93" s="97">
        <v>206.7</v>
      </c>
      <c r="T93" s="131">
        <v>206.7</v>
      </c>
      <c r="U93" s="97">
        <f t="shared" si="6"/>
        <v>0</v>
      </c>
    </row>
    <row r="94" spans="1:21" ht="20.100000000000001" customHeight="1" x14ac:dyDescent="0.25">
      <c r="A94" s="155">
        <v>76</v>
      </c>
      <c r="B94" s="99">
        <f t="shared" si="4"/>
        <v>84</v>
      </c>
      <c r="C94" s="11" t="s">
        <v>96</v>
      </c>
      <c r="D94" s="100" t="s">
        <v>124</v>
      </c>
      <c r="E94" s="101"/>
      <c r="F94" s="22" t="s">
        <v>112</v>
      </c>
      <c r="G94" s="72" t="s">
        <v>216</v>
      </c>
      <c r="H94" s="77">
        <v>28</v>
      </c>
      <c r="I94" s="75">
        <v>13</v>
      </c>
      <c r="J94" s="75">
        <v>17</v>
      </c>
      <c r="K94" s="75">
        <v>16</v>
      </c>
      <c r="L94" s="75">
        <v>10</v>
      </c>
      <c r="M94" s="97">
        <v>4236.8100000000004</v>
      </c>
      <c r="N94" s="97"/>
      <c r="O94" s="93">
        <f t="shared" si="5"/>
        <v>4236.8100000000004</v>
      </c>
      <c r="P94" s="123">
        <v>7</v>
      </c>
      <c r="Q94" s="124">
        <v>7</v>
      </c>
      <c r="R94" s="124">
        <v>5</v>
      </c>
      <c r="S94" s="97">
        <f>5838.31+135.69</f>
        <v>5974</v>
      </c>
      <c r="T94" s="131">
        <v>5838.31</v>
      </c>
      <c r="U94" s="97">
        <f t="shared" si="6"/>
        <v>135.6899999999996</v>
      </c>
    </row>
    <row r="95" spans="1:21" ht="20.100000000000001" customHeight="1" x14ac:dyDescent="0.25">
      <c r="A95" s="155">
        <v>77</v>
      </c>
      <c r="B95" s="99">
        <f t="shared" si="4"/>
        <v>85</v>
      </c>
      <c r="C95" s="11" t="s">
        <v>97</v>
      </c>
      <c r="D95" s="100" t="s">
        <v>124</v>
      </c>
      <c r="E95" s="101"/>
      <c r="F95" s="17" t="s">
        <v>111</v>
      </c>
      <c r="G95" s="72" t="s">
        <v>215</v>
      </c>
      <c r="H95" s="77">
        <v>12</v>
      </c>
      <c r="I95" s="75">
        <v>4</v>
      </c>
      <c r="J95" s="75">
        <v>5</v>
      </c>
      <c r="K95" s="75">
        <v>5</v>
      </c>
      <c r="L95" s="75">
        <v>4</v>
      </c>
      <c r="M95" s="97">
        <v>3291.36</v>
      </c>
      <c r="N95" s="97"/>
      <c r="O95" s="93">
        <f t="shared" si="5"/>
        <v>3291.36</v>
      </c>
      <c r="P95" s="123">
        <v>19</v>
      </c>
      <c r="Q95" s="124">
        <v>19</v>
      </c>
      <c r="R95" s="124">
        <v>19</v>
      </c>
      <c r="S95" s="97">
        <f>18253.04+4245.2</f>
        <v>22498.240000000002</v>
      </c>
      <c r="T95" s="131">
        <v>18253.04</v>
      </c>
      <c r="U95" s="97">
        <f t="shared" si="6"/>
        <v>4245.2000000000007</v>
      </c>
    </row>
    <row r="96" spans="1:21" ht="20.100000000000001" customHeight="1" x14ac:dyDescent="0.25">
      <c r="A96" s="155">
        <v>78</v>
      </c>
      <c r="B96" s="99">
        <f t="shared" si="4"/>
        <v>86</v>
      </c>
      <c r="C96" s="10" t="s">
        <v>98</v>
      </c>
      <c r="D96" s="100" t="s">
        <v>124</v>
      </c>
      <c r="E96" s="101"/>
      <c r="F96" s="19" t="s">
        <v>106</v>
      </c>
      <c r="G96" s="72" t="s">
        <v>214</v>
      </c>
      <c r="H96" s="77">
        <v>15</v>
      </c>
      <c r="I96" s="75">
        <v>3</v>
      </c>
      <c r="J96" s="75">
        <v>3</v>
      </c>
      <c r="K96" s="75">
        <v>3</v>
      </c>
      <c r="L96" s="75">
        <v>3</v>
      </c>
      <c r="M96" s="97">
        <f>413.4+1061.4</f>
        <v>1474.8000000000002</v>
      </c>
      <c r="N96" s="97">
        <v>413.4</v>
      </c>
      <c r="O96" s="93">
        <f t="shared" si="5"/>
        <v>1061.4000000000001</v>
      </c>
      <c r="P96" s="123">
        <v>11</v>
      </c>
      <c r="Q96" s="124">
        <v>10</v>
      </c>
      <c r="R96" s="124">
        <v>10</v>
      </c>
      <c r="S96" s="97">
        <f>22276.25+1366.6</f>
        <v>23642.85</v>
      </c>
      <c r="T96" s="131">
        <v>22276.25</v>
      </c>
      <c r="U96" s="97">
        <f t="shared" si="6"/>
        <v>1366.5999999999985</v>
      </c>
    </row>
    <row r="97" spans="1:33" ht="20.100000000000001" customHeight="1" x14ac:dyDescent="0.25">
      <c r="A97" s="155">
        <v>80</v>
      </c>
      <c r="B97" s="99">
        <f t="shared" si="4"/>
        <v>87</v>
      </c>
      <c r="C97" s="10" t="s">
        <v>129</v>
      </c>
      <c r="D97" s="100" t="s">
        <v>124</v>
      </c>
      <c r="E97" s="101"/>
      <c r="F97" s="19" t="s">
        <v>106</v>
      </c>
      <c r="G97" s="72" t="s">
        <v>212</v>
      </c>
      <c r="H97" s="77">
        <v>6</v>
      </c>
      <c r="I97" s="75"/>
      <c r="J97" s="75"/>
      <c r="K97" s="75"/>
      <c r="L97" s="75"/>
      <c r="M97" s="97"/>
      <c r="N97" s="97"/>
      <c r="O97" s="93">
        <f t="shared" si="5"/>
        <v>0</v>
      </c>
      <c r="P97" s="123"/>
      <c r="Q97" s="124"/>
      <c r="R97" s="124"/>
      <c r="S97" s="97"/>
      <c r="T97" s="131"/>
      <c r="U97" s="97">
        <f t="shared" si="6"/>
        <v>0</v>
      </c>
    </row>
    <row r="98" spans="1:33" ht="20.100000000000001" customHeight="1" x14ac:dyDescent="0.25">
      <c r="A98" s="155">
        <v>79</v>
      </c>
      <c r="B98" s="99">
        <f t="shared" si="4"/>
        <v>88</v>
      </c>
      <c r="C98" s="10" t="s">
        <v>99</v>
      </c>
      <c r="D98" s="100" t="s">
        <v>124</v>
      </c>
      <c r="E98" s="101"/>
      <c r="F98" s="19" t="s">
        <v>106</v>
      </c>
      <c r="G98" s="72" t="s">
        <v>213</v>
      </c>
      <c r="H98" s="77">
        <v>7</v>
      </c>
      <c r="I98" s="75">
        <v>5</v>
      </c>
      <c r="J98" s="75">
        <v>5</v>
      </c>
      <c r="K98" s="75">
        <v>4</v>
      </c>
      <c r="L98" s="75">
        <v>4</v>
      </c>
      <c r="M98" s="97">
        <f>1545.67+969.43</f>
        <v>2515.1</v>
      </c>
      <c r="N98" s="97">
        <v>408.82</v>
      </c>
      <c r="O98" s="93">
        <f t="shared" si="5"/>
        <v>2106.2799999999997</v>
      </c>
      <c r="P98" s="123">
        <v>4</v>
      </c>
      <c r="Q98" s="124">
        <v>4</v>
      </c>
      <c r="R98" s="124">
        <v>4</v>
      </c>
      <c r="S98" s="97">
        <v>1744.35</v>
      </c>
      <c r="T98" s="131">
        <v>822.22</v>
      </c>
      <c r="U98" s="97">
        <f t="shared" si="6"/>
        <v>922.12999999999988</v>
      </c>
    </row>
    <row r="99" spans="1:33" ht="20.100000000000001" customHeight="1" x14ac:dyDescent="0.25">
      <c r="A99" s="155">
        <v>81</v>
      </c>
      <c r="B99" s="99">
        <f t="shared" si="4"/>
        <v>89</v>
      </c>
      <c r="C99" s="13" t="s">
        <v>100</v>
      </c>
      <c r="D99" s="100" t="s">
        <v>124</v>
      </c>
      <c r="E99" s="101"/>
      <c r="F99" s="19" t="s">
        <v>106</v>
      </c>
      <c r="G99" s="72" t="s">
        <v>211</v>
      </c>
      <c r="H99" s="77">
        <v>10</v>
      </c>
      <c r="I99" s="75">
        <v>2</v>
      </c>
      <c r="J99" s="75">
        <v>2</v>
      </c>
      <c r="K99" s="75">
        <v>2</v>
      </c>
      <c r="L99" s="75">
        <v>2</v>
      </c>
      <c r="M99" s="97">
        <v>482.3</v>
      </c>
      <c r="N99" s="97"/>
      <c r="O99" s="93">
        <f t="shared" si="5"/>
        <v>482.3</v>
      </c>
      <c r="P99" s="123">
        <v>6</v>
      </c>
      <c r="Q99" s="124">
        <v>6</v>
      </c>
      <c r="R99" s="124">
        <v>6</v>
      </c>
      <c r="S99" s="97">
        <f>6457+964.6</f>
        <v>7421.6</v>
      </c>
      <c r="T99" s="131">
        <v>6457</v>
      </c>
      <c r="U99" s="97">
        <f t="shared" si="6"/>
        <v>964.60000000000036</v>
      </c>
    </row>
    <row r="100" spans="1:33" ht="20.100000000000001" customHeight="1" x14ac:dyDescent="0.25">
      <c r="A100" s="155">
        <v>82</v>
      </c>
      <c r="B100" s="99">
        <f t="shared" si="4"/>
        <v>90</v>
      </c>
      <c r="C100" s="13" t="s">
        <v>101</v>
      </c>
      <c r="D100" s="100" t="s">
        <v>124</v>
      </c>
      <c r="E100" s="101"/>
      <c r="F100" s="17" t="s">
        <v>106</v>
      </c>
      <c r="G100" s="72" t="s">
        <v>210</v>
      </c>
      <c r="H100" s="77">
        <v>10</v>
      </c>
      <c r="I100" s="75">
        <v>3</v>
      </c>
      <c r="J100" s="75">
        <v>4</v>
      </c>
      <c r="K100" s="75">
        <v>4</v>
      </c>
      <c r="L100" s="75">
        <v>1</v>
      </c>
      <c r="M100" s="97">
        <v>545.69000000000005</v>
      </c>
      <c r="N100" s="97"/>
      <c r="O100" s="93">
        <f t="shared" si="5"/>
        <v>545.69000000000005</v>
      </c>
      <c r="P100" s="123">
        <v>7</v>
      </c>
      <c r="Q100" s="124">
        <v>7</v>
      </c>
      <c r="R100" s="124">
        <v>6</v>
      </c>
      <c r="S100" s="97">
        <v>5077.71</v>
      </c>
      <c r="T100" s="131">
        <v>2190.71</v>
      </c>
      <c r="U100" s="97">
        <f t="shared" si="6"/>
        <v>2887</v>
      </c>
    </row>
    <row r="101" spans="1:33" ht="20.100000000000001" customHeight="1" x14ac:dyDescent="0.25">
      <c r="A101" s="155">
        <v>83</v>
      </c>
      <c r="B101" s="99">
        <f t="shared" si="4"/>
        <v>91</v>
      </c>
      <c r="C101" s="13" t="s">
        <v>102</v>
      </c>
      <c r="D101" s="100" t="s">
        <v>124</v>
      </c>
      <c r="E101" s="101"/>
      <c r="F101" s="17" t="s">
        <v>106</v>
      </c>
      <c r="G101" s="72" t="s">
        <v>209</v>
      </c>
      <c r="H101" s="77">
        <v>11</v>
      </c>
      <c r="I101" s="75">
        <v>5</v>
      </c>
      <c r="J101" s="75">
        <v>6</v>
      </c>
      <c r="K101" s="75">
        <v>6</v>
      </c>
      <c r="L101" s="75">
        <v>6</v>
      </c>
      <c r="M101" s="97">
        <f>4459.37+1998.1</f>
        <v>6457.4699999999993</v>
      </c>
      <c r="N101" s="97">
        <v>2669.35</v>
      </c>
      <c r="O101" s="93">
        <f t="shared" si="5"/>
        <v>3788.1199999999994</v>
      </c>
      <c r="P101" s="123">
        <v>7</v>
      </c>
      <c r="Q101" s="124">
        <v>7</v>
      </c>
      <c r="R101" s="124">
        <v>7</v>
      </c>
      <c r="S101" s="97">
        <v>4232.91</v>
      </c>
      <c r="T101" s="131">
        <v>2274.39</v>
      </c>
      <c r="U101" s="97">
        <f t="shared" si="6"/>
        <v>1958.52</v>
      </c>
    </row>
    <row r="102" spans="1:33" ht="20.100000000000001" customHeight="1" x14ac:dyDescent="0.25">
      <c r="A102" s="155">
        <v>84</v>
      </c>
      <c r="B102" s="99">
        <f t="shared" si="4"/>
        <v>92</v>
      </c>
      <c r="C102" s="11" t="s">
        <v>103</v>
      </c>
      <c r="D102" s="100" t="s">
        <v>124</v>
      </c>
      <c r="E102" s="101"/>
      <c r="F102" s="22" t="s">
        <v>112</v>
      </c>
      <c r="G102" s="72" t="s">
        <v>208</v>
      </c>
      <c r="H102" s="77">
        <v>29</v>
      </c>
      <c r="I102" s="75">
        <v>9</v>
      </c>
      <c r="J102" s="75">
        <v>10</v>
      </c>
      <c r="K102" s="75">
        <v>7</v>
      </c>
      <c r="L102" s="75">
        <v>6</v>
      </c>
      <c r="M102" s="97">
        <f>234.26+3190.4</f>
        <v>3424.66</v>
      </c>
      <c r="N102" s="97">
        <f>234.26</f>
        <v>234.26</v>
      </c>
      <c r="O102" s="93">
        <f t="shared" si="5"/>
        <v>3190.3999999999996</v>
      </c>
      <c r="P102" s="123">
        <v>20</v>
      </c>
      <c r="Q102" s="124">
        <v>17</v>
      </c>
      <c r="R102" s="124">
        <v>14</v>
      </c>
      <c r="S102" s="97">
        <f>16946.83+3092.58</f>
        <v>20039.410000000003</v>
      </c>
      <c r="T102" s="131">
        <f>6585.82+10361.01</f>
        <v>16946.830000000002</v>
      </c>
      <c r="U102" s="97">
        <f t="shared" si="6"/>
        <v>3092.5800000000017</v>
      </c>
    </row>
    <row r="103" spans="1:33" ht="20.100000000000001" customHeight="1" x14ac:dyDescent="0.25">
      <c r="A103" s="155">
        <v>85</v>
      </c>
      <c r="B103" s="115">
        <f>B102+1</f>
        <v>93</v>
      </c>
      <c r="C103" s="116" t="s">
        <v>104</v>
      </c>
      <c r="D103" s="111" t="s">
        <v>124</v>
      </c>
      <c r="E103" s="112"/>
      <c r="F103" s="117" t="s">
        <v>106</v>
      </c>
      <c r="G103" s="118" t="s">
        <v>207</v>
      </c>
      <c r="H103" s="113">
        <v>4</v>
      </c>
      <c r="I103" s="114">
        <v>2</v>
      </c>
      <c r="J103" s="114">
        <v>2</v>
      </c>
      <c r="K103" s="114">
        <v>2</v>
      </c>
      <c r="L103" s="114">
        <v>1</v>
      </c>
      <c r="M103" s="147">
        <v>137.80000000000001</v>
      </c>
      <c r="N103" s="147">
        <v>137.80000000000001</v>
      </c>
      <c r="O103" s="148">
        <f t="shared" si="5"/>
        <v>0</v>
      </c>
      <c r="P103" s="149">
        <v>3</v>
      </c>
      <c r="Q103" s="150">
        <v>3</v>
      </c>
      <c r="R103" s="150">
        <v>3</v>
      </c>
      <c r="S103" s="147">
        <v>1193.3</v>
      </c>
      <c r="T103" s="132">
        <v>1193.3</v>
      </c>
      <c r="U103" s="97">
        <f t="shared" si="6"/>
        <v>0</v>
      </c>
      <c r="V103" s="145"/>
    </row>
    <row r="104" spans="1:33" ht="20.100000000000001" customHeight="1" x14ac:dyDescent="0.25">
      <c r="A104" s="155">
        <v>88</v>
      </c>
      <c r="B104" s="106">
        <v>94</v>
      </c>
      <c r="C104" s="10" t="s">
        <v>258</v>
      </c>
      <c r="D104" s="111" t="s">
        <v>124</v>
      </c>
      <c r="E104" s="101"/>
      <c r="F104" s="12" t="s">
        <v>106</v>
      </c>
      <c r="G104" s="118" t="s">
        <v>261</v>
      </c>
      <c r="H104" s="75">
        <v>2</v>
      </c>
      <c r="I104" s="75"/>
      <c r="J104" s="75"/>
      <c r="K104" s="75"/>
      <c r="L104" s="75"/>
      <c r="M104" s="97"/>
      <c r="N104" s="97"/>
      <c r="O104" s="97"/>
      <c r="P104" s="124"/>
      <c r="Q104" s="124"/>
      <c r="R104" s="124"/>
      <c r="S104" s="97"/>
      <c r="T104" s="131"/>
      <c r="U104" s="97"/>
      <c r="V104" s="145"/>
    </row>
    <row r="105" spans="1:33" ht="20.100000000000001" customHeight="1" x14ac:dyDescent="0.25">
      <c r="B105" s="362"/>
      <c r="C105" s="362"/>
      <c r="D105" s="362"/>
      <c r="E105" s="362"/>
      <c r="F105" s="362"/>
      <c r="G105" s="362"/>
      <c r="H105" s="119">
        <f>SUM(H10:H104)</f>
        <v>879</v>
      </c>
      <c r="I105" s="119">
        <f t="shared" ref="I105:Q105" si="7">SUM(I10:I103)</f>
        <v>406</v>
      </c>
      <c r="J105" s="119">
        <f t="shared" si="7"/>
        <v>513</v>
      </c>
      <c r="K105" s="119">
        <f t="shared" si="7"/>
        <v>429</v>
      </c>
      <c r="L105" s="119">
        <f t="shared" si="7"/>
        <v>379</v>
      </c>
      <c r="M105" s="151">
        <f t="shared" si="7"/>
        <v>266776.8</v>
      </c>
      <c r="N105" s="151">
        <f t="shared" si="7"/>
        <v>56789.53</v>
      </c>
      <c r="O105" s="151">
        <f t="shared" si="7"/>
        <v>209987.27000000002</v>
      </c>
      <c r="P105" s="152">
        <f t="shared" si="7"/>
        <v>567</v>
      </c>
      <c r="Q105" s="152">
        <f t="shared" si="7"/>
        <v>519</v>
      </c>
      <c r="R105" s="152">
        <f>SUM(R11:R103)</f>
        <v>487</v>
      </c>
      <c r="S105" s="151">
        <f>SUM(S10:S103)</f>
        <v>652971.25000000012</v>
      </c>
      <c r="T105" s="146">
        <f>SUM(T10:T103)</f>
        <v>403280.81</v>
      </c>
      <c r="U105" s="120">
        <f>SUM(U10:U103)</f>
        <v>249690.44</v>
      </c>
      <c r="V105" s="156"/>
      <c r="W105" s="156"/>
      <c r="X105" s="157"/>
      <c r="Y105" s="156"/>
      <c r="Z105" s="157"/>
      <c r="AA105" s="156"/>
      <c r="AB105" s="157"/>
      <c r="AC105" s="157"/>
      <c r="AD105" s="157"/>
      <c r="AE105" s="157"/>
      <c r="AF105" s="156"/>
      <c r="AG105" s="156"/>
    </row>
    <row r="107" spans="1:33" x14ac:dyDescent="0.25">
      <c r="V107" s="145"/>
      <c r="W107" s="14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6">
    <cfRule type="cellIs" dxfId="432" priority="2" stopIfTrue="1" operator="equal">
      <formula>0</formula>
    </cfRule>
  </conditionalFormatting>
  <conditionalFormatting sqref="AL46">
    <cfRule type="cellIs" dxfId="431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7"/>
  <sheetViews>
    <sheetView topLeftCell="B57" zoomScale="70" zoomScaleNormal="70" workbookViewId="0">
      <selection activeCell="V89" sqref="V89:AM107"/>
    </sheetView>
  </sheetViews>
  <sheetFormatPr defaultRowHeight="15.75" x14ac:dyDescent="0.25"/>
  <cols>
    <col min="1" max="1" width="9.140625" style="155" hidden="1" customWidth="1"/>
    <col min="2" max="2" width="9.140625" style="55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13.28515625" style="109" customWidth="1"/>
    <col min="15" max="15" width="12.28515625" style="109" customWidth="1"/>
    <col min="16" max="18" width="9.140625" style="109" customWidth="1"/>
    <col min="19" max="19" width="16.85546875" style="109" customWidth="1"/>
    <col min="20" max="20" width="13.7109375" style="109" customWidth="1"/>
    <col min="21" max="21" width="14.140625" style="133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3" width="10.28515625" style="134" bestFit="1" customWidth="1"/>
    <col min="34" max="34" width="9.140625" style="134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264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265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16</v>
      </c>
      <c r="I10" s="75">
        <v>9</v>
      </c>
      <c r="J10" s="75">
        <v>11</v>
      </c>
      <c r="K10" s="75">
        <v>11</v>
      </c>
      <c r="L10" s="75">
        <v>3</v>
      </c>
      <c r="M10" s="97">
        <f>1033.5+1418.08</f>
        <v>2451.58</v>
      </c>
      <c r="N10" s="97">
        <v>1033.5</v>
      </c>
      <c r="O10" s="93">
        <f xml:space="preserve"> (M10-N10)</f>
        <v>1418.08</v>
      </c>
      <c r="P10" s="123">
        <v>6</v>
      </c>
      <c r="Q10" s="124">
        <v>6</v>
      </c>
      <c r="R10" s="124">
        <v>6</v>
      </c>
      <c r="S10" s="97">
        <v>4246.75</v>
      </c>
      <c r="T10" s="131">
        <v>4246.75</v>
      </c>
      <c r="U10" s="97">
        <f xml:space="preserve"> (S10-T10)</f>
        <v>0</v>
      </c>
      <c r="V10" s="135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4</v>
      </c>
      <c r="I11" s="75">
        <v>3</v>
      </c>
      <c r="J11" s="75">
        <v>3</v>
      </c>
      <c r="K11" s="75">
        <v>3</v>
      </c>
      <c r="L11" s="75">
        <v>1</v>
      </c>
      <c r="M11" s="97">
        <v>275.60000000000002</v>
      </c>
      <c r="N11" s="97"/>
      <c r="O11" s="93">
        <f t="shared" ref="O11:O74" si="1" xml:space="preserve"> (M11-N11)</f>
        <v>275.60000000000002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131">
        <v>234.26</v>
      </c>
      <c r="U11" s="97">
        <f t="shared" ref="U11:U74" si="2" xml:space="preserve"> (S11-T11)</f>
        <v>1035.3</v>
      </c>
      <c r="V11" s="135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f t="shared" ref="B12:B74" si="3">B11+1</f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2</v>
      </c>
      <c r="S12" s="97">
        <v>1548.67</v>
      </c>
      <c r="T12" s="131">
        <v>1548.67</v>
      </c>
      <c r="U12" s="97">
        <f t="shared" si="2"/>
        <v>0</v>
      </c>
      <c r="V12" s="14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si="3"/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10</v>
      </c>
      <c r="I13" s="75">
        <v>4</v>
      </c>
      <c r="J13" s="75">
        <v>5</v>
      </c>
      <c r="K13" s="75">
        <v>5</v>
      </c>
      <c r="L13" s="75">
        <v>5</v>
      </c>
      <c r="M13" s="97">
        <f>272.84+2699.54</f>
        <v>2972.38</v>
      </c>
      <c r="N13" s="97">
        <v>272.83999999999997</v>
      </c>
      <c r="O13" s="93">
        <f t="shared" si="1"/>
        <v>2699.54</v>
      </c>
      <c r="P13" s="123">
        <v>4</v>
      </c>
      <c r="Q13" s="124">
        <v>4</v>
      </c>
      <c r="R13" s="124">
        <v>4</v>
      </c>
      <c r="S13" s="97">
        <f>7385.53+1228.66</f>
        <v>8614.19</v>
      </c>
      <c r="T13" s="131">
        <v>7385.53</v>
      </c>
      <c r="U13" s="97">
        <f t="shared" si="2"/>
        <v>1228.6600000000008</v>
      </c>
      <c r="V13" s="14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15</v>
      </c>
      <c r="I14" s="75">
        <v>7</v>
      </c>
      <c r="J14" s="75">
        <v>8</v>
      </c>
      <c r="K14" s="75">
        <v>7</v>
      </c>
      <c r="L14" s="75">
        <v>7</v>
      </c>
      <c r="M14" s="97">
        <f>2277.13+1033.5</f>
        <v>3310.63</v>
      </c>
      <c r="N14" s="97">
        <v>2277.13</v>
      </c>
      <c r="O14" s="93">
        <f t="shared" si="1"/>
        <v>1033.5</v>
      </c>
      <c r="P14" s="123">
        <v>5</v>
      </c>
      <c r="Q14" s="124">
        <v>4</v>
      </c>
      <c r="R14" s="124">
        <v>4</v>
      </c>
      <c r="S14" s="97">
        <f>1800.7+633</f>
        <v>2433.6999999999998</v>
      </c>
      <c r="T14" s="131">
        <v>1800.7</v>
      </c>
      <c r="U14" s="97">
        <f t="shared" si="2"/>
        <v>632.99999999999977</v>
      </c>
      <c r="V14" s="135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17</v>
      </c>
      <c r="I15" s="75">
        <v>9</v>
      </c>
      <c r="J15" s="75">
        <v>14</v>
      </c>
      <c r="K15" s="75">
        <v>14</v>
      </c>
      <c r="L15" s="75">
        <v>9</v>
      </c>
      <c r="M15" s="97">
        <f>3475.33+5779.42</f>
        <v>9254.75</v>
      </c>
      <c r="N15" s="97"/>
      <c r="O15" s="93">
        <f t="shared" si="1"/>
        <v>9254.75</v>
      </c>
      <c r="P15" s="123">
        <v>12</v>
      </c>
      <c r="Q15" s="124">
        <v>12</v>
      </c>
      <c r="R15" s="124">
        <v>11</v>
      </c>
      <c r="S15" s="97">
        <f>9375.69+2892.09</f>
        <v>12267.78</v>
      </c>
      <c r="T15" s="131">
        <v>4569.41</v>
      </c>
      <c r="U15" s="97">
        <f t="shared" si="2"/>
        <v>7698.3700000000008</v>
      </c>
      <c r="V15" s="135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131"/>
      <c r="U16" s="97">
        <f t="shared" si="2"/>
        <v>0</v>
      </c>
      <c r="V16" s="135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8</v>
      </c>
      <c r="I17" s="75">
        <v>5</v>
      </c>
      <c r="J17" s="75">
        <v>8</v>
      </c>
      <c r="K17" s="75">
        <v>2</v>
      </c>
      <c r="L17" s="75"/>
      <c r="M17" s="97"/>
      <c r="N17" s="97"/>
      <c r="O17" s="93">
        <f t="shared" si="1"/>
        <v>0</v>
      </c>
      <c r="P17" s="123">
        <v>1</v>
      </c>
      <c r="Q17" s="124">
        <v>1</v>
      </c>
      <c r="R17" s="124"/>
      <c r="S17" s="97"/>
      <c r="T17" s="131"/>
      <c r="U17" s="97">
        <f t="shared" si="2"/>
        <v>0</v>
      </c>
      <c r="V17" s="135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2</v>
      </c>
      <c r="I18" s="75"/>
      <c r="J18" s="75"/>
      <c r="K18" s="75"/>
      <c r="L18" s="75"/>
      <c r="M18" s="97"/>
      <c r="N18" s="97"/>
      <c r="O18" s="93">
        <f t="shared" si="1"/>
        <v>0</v>
      </c>
      <c r="P18" s="123">
        <v>5</v>
      </c>
      <c r="Q18" s="124">
        <v>5</v>
      </c>
      <c r="R18" s="124">
        <v>3</v>
      </c>
      <c r="S18" s="97">
        <v>14748.55</v>
      </c>
      <c r="T18" s="131">
        <v>14748.55</v>
      </c>
      <c r="U18" s="97">
        <f t="shared" si="2"/>
        <v>0</v>
      </c>
      <c r="V18" s="135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16</v>
      </c>
      <c r="I19" s="75">
        <v>8</v>
      </c>
      <c r="J19" s="75">
        <v>11</v>
      </c>
      <c r="K19" s="75">
        <v>9</v>
      </c>
      <c r="L19" s="75">
        <v>9</v>
      </c>
      <c r="M19" s="97">
        <f>1744.9+542.59+1862.35</f>
        <v>4149.84</v>
      </c>
      <c r="N19" s="97">
        <f>749.29</f>
        <v>749.29</v>
      </c>
      <c r="O19" s="93">
        <f t="shared" si="1"/>
        <v>3400.55</v>
      </c>
      <c r="P19" s="123">
        <v>12</v>
      </c>
      <c r="Q19" s="124">
        <v>12</v>
      </c>
      <c r="R19" s="124">
        <v>12</v>
      </c>
      <c r="S19" s="97">
        <f>12589.36+4299.58+3922.41</f>
        <v>20811.350000000002</v>
      </c>
      <c r="T19" s="131">
        <f>9246.57</f>
        <v>9246.57</v>
      </c>
      <c r="U19" s="97">
        <f t="shared" si="2"/>
        <v>11564.780000000002</v>
      </c>
      <c r="V19" s="143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15</v>
      </c>
      <c r="I20" s="75">
        <v>4</v>
      </c>
      <c r="J20" s="75">
        <v>4</v>
      </c>
      <c r="K20" s="75">
        <v>4</v>
      </c>
      <c r="L20" s="75">
        <v>3</v>
      </c>
      <c r="M20" s="97">
        <v>1581.26</v>
      </c>
      <c r="N20" s="97"/>
      <c r="O20" s="93">
        <f t="shared" si="1"/>
        <v>1581.26</v>
      </c>
      <c r="P20" s="123">
        <v>22</v>
      </c>
      <c r="Q20" s="124">
        <v>22</v>
      </c>
      <c r="R20" s="124">
        <v>19</v>
      </c>
      <c r="S20" s="97">
        <f>14391.07+12609.01</f>
        <v>27000.080000000002</v>
      </c>
      <c r="T20" s="131">
        <v>14391.07</v>
      </c>
      <c r="U20" s="97">
        <f t="shared" si="2"/>
        <v>12609.010000000002</v>
      </c>
      <c r="V20" s="14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8</v>
      </c>
      <c r="I21" s="75">
        <v>3</v>
      </c>
      <c r="J21" s="75">
        <v>3</v>
      </c>
      <c r="K21" s="75">
        <v>3</v>
      </c>
      <c r="L21" s="75">
        <v>2</v>
      </c>
      <c r="M21" s="97">
        <f>427.18+831.61</f>
        <v>1258.79</v>
      </c>
      <c r="N21" s="97">
        <v>427.18</v>
      </c>
      <c r="O21" s="93">
        <f t="shared" si="1"/>
        <v>831.6099999999999</v>
      </c>
      <c r="P21" s="123">
        <v>5</v>
      </c>
      <c r="Q21" s="124">
        <v>5</v>
      </c>
      <c r="R21" s="124">
        <v>4</v>
      </c>
      <c r="S21" s="97">
        <f>5005.45+1729.9</f>
        <v>6735.35</v>
      </c>
      <c r="T21" s="131">
        <f>1928.2+3077.25</f>
        <v>5005.45</v>
      </c>
      <c r="U21" s="97">
        <f t="shared" si="2"/>
        <v>1729.9000000000005</v>
      </c>
      <c r="V21" s="135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32</v>
      </c>
      <c r="I22" s="75">
        <v>17</v>
      </c>
      <c r="J22" s="75">
        <v>26</v>
      </c>
      <c r="K22" s="75">
        <v>9</v>
      </c>
      <c r="L22" s="75">
        <v>9</v>
      </c>
      <c r="M22" s="97">
        <f>910.39+3506.19</f>
        <v>4416.58</v>
      </c>
      <c r="N22" s="97">
        <v>910.39</v>
      </c>
      <c r="O22" s="93">
        <f t="shared" si="1"/>
        <v>3506.19</v>
      </c>
      <c r="P22" s="123">
        <v>18</v>
      </c>
      <c r="Q22" s="124">
        <v>15</v>
      </c>
      <c r="R22" s="124">
        <v>15</v>
      </c>
      <c r="S22" s="97">
        <f>16007.48+3068.6</f>
        <v>19076.079999999998</v>
      </c>
      <c r="T22" s="131">
        <f>14006.59+2000.89</f>
        <v>16007.48</v>
      </c>
      <c r="U22" s="97">
        <f t="shared" si="2"/>
        <v>3068.5999999999985</v>
      </c>
      <c r="V22" s="135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8</v>
      </c>
      <c r="I23" s="75">
        <v>3</v>
      </c>
      <c r="J23" s="75">
        <v>3</v>
      </c>
      <c r="K23" s="75">
        <v>3</v>
      </c>
      <c r="L23" s="75">
        <v>3</v>
      </c>
      <c r="M23" s="97">
        <f>1852.03+375.16</f>
        <v>2227.19</v>
      </c>
      <c r="N23" s="97">
        <v>1852.03</v>
      </c>
      <c r="O23" s="93">
        <f t="shared" si="1"/>
        <v>375.16000000000008</v>
      </c>
      <c r="P23" s="123">
        <v>11</v>
      </c>
      <c r="Q23" s="124">
        <v>11</v>
      </c>
      <c r="R23" s="124">
        <v>10</v>
      </c>
      <c r="S23" s="97">
        <f>23953.14+1377.56</f>
        <v>25330.7</v>
      </c>
      <c r="T23" s="131">
        <f>13330.21</f>
        <v>13330.21</v>
      </c>
      <c r="U23" s="97">
        <f t="shared" si="2"/>
        <v>12000.490000000002</v>
      </c>
      <c r="V23" s="143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12</v>
      </c>
      <c r="I24" s="75">
        <v>8</v>
      </c>
      <c r="J24" s="75">
        <v>10</v>
      </c>
      <c r="K24" s="75">
        <v>5</v>
      </c>
      <c r="L24" s="75">
        <v>5</v>
      </c>
      <c r="M24" s="97">
        <v>1515.11</v>
      </c>
      <c r="N24" s="97"/>
      <c r="O24" s="93">
        <f t="shared" si="1"/>
        <v>1515.11</v>
      </c>
      <c r="P24" s="123">
        <v>7</v>
      </c>
      <c r="Q24" s="124">
        <v>6</v>
      </c>
      <c r="R24" s="124">
        <v>6</v>
      </c>
      <c r="S24" s="97">
        <v>4998.37</v>
      </c>
      <c r="T24" s="131">
        <f>274.6+334.74</f>
        <v>609.34</v>
      </c>
      <c r="U24" s="97">
        <f t="shared" si="2"/>
        <v>4389.03</v>
      </c>
      <c r="V24" s="135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11</v>
      </c>
      <c r="I25" s="75">
        <v>9</v>
      </c>
      <c r="J25" s="75">
        <v>14</v>
      </c>
      <c r="K25" s="75">
        <v>11</v>
      </c>
      <c r="L25" s="75">
        <v>8</v>
      </c>
      <c r="M25" s="97">
        <f>2255.39+2419.13</f>
        <v>4674.5200000000004</v>
      </c>
      <c r="N25" s="97">
        <v>2255.39</v>
      </c>
      <c r="O25" s="93">
        <f t="shared" si="1"/>
        <v>2419.1300000000006</v>
      </c>
      <c r="P25" s="123">
        <v>21</v>
      </c>
      <c r="Q25" s="124">
        <v>19</v>
      </c>
      <c r="R25" s="124">
        <v>18</v>
      </c>
      <c r="S25" s="97">
        <f>17792.25+4619.68</f>
        <v>22411.93</v>
      </c>
      <c r="T25" s="131">
        <f>14484.31+3307.94</f>
        <v>17792.25</v>
      </c>
      <c r="U25" s="97">
        <f t="shared" si="2"/>
        <v>4619.68</v>
      </c>
      <c r="V25" s="142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14</v>
      </c>
      <c r="I26" s="75"/>
      <c r="J26" s="75"/>
      <c r="K26" s="75"/>
      <c r="L26" s="75"/>
      <c r="M26" s="97"/>
      <c r="N26" s="97"/>
      <c r="O26" s="93">
        <f t="shared" si="1"/>
        <v>0</v>
      </c>
      <c r="P26" s="123"/>
      <c r="Q26" s="124"/>
      <c r="R26" s="124"/>
      <c r="S26" s="97"/>
      <c r="T26" s="131"/>
      <c r="U26" s="97">
        <f t="shared" si="2"/>
        <v>0</v>
      </c>
      <c r="V26" s="135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13</v>
      </c>
      <c r="I27" s="75">
        <v>7</v>
      </c>
      <c r="J27" s="75">
        <v>12</v>
      </c>
      <c r="K27" s="75">
        <v>12</v>
      </c>
      <c r="L27" s="75">
        <v>9</v>
      </c>
      <c r="M27" s="97">
        <f>2738.38+1698.1</f>
        <v>4436.4799999999996</v>
      </c>
      <c r="N27" s="97"/>
      <c r="O27" s="93">
        <f t="shared" si="1"/>
        <v>4436.4799999999996</v>
      </c>
      <c r="P27" s="123">
        <v>12</v>
      </c>
      <c r="Q27" s="124">
        <v>12</v>
      </c>
      <c r="R27" s="124">
        <v>12</v>
      </c>
      <c r="S27" s="97">
        <f>11399.36+591.16</f>
        <v>11990.52</v>
      </c>
      <c r="T27" s="131">
        <v>3370.97</v>
      </c>
      <c r="U27" s="97">
        <f t="shared" si="2"/>
        <v>8619.5500000000011</v>
      </c>
      <c r="V27" s="135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131"/>
      <c r="U28" s="97">
        <f t="shared" si="2"/>
        <v>0</v>
      </c>
      <c r="V28" s="135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14</v>
      </c>
      <c r="I29" s="75">
        <v>11</v>
      </c>
      <c r="J29" s="75">
        <v>13</v>
      </c>
      <c r="K29" s="75">
        <v>11</v>
      </c>
      <c r="L29" s="75">
        <v>11</v>
      </c>
      <c r="M29" s="97">
        <f>2023.14+2605.8+1307.38</f>
        <v>5936.3200000000006</v>
      </c>
      <c r="N29" s="97">
        <f>358.28+1664.86</f>
        <v>2023.1399999999999</v>
      </c>
      <c r="O29" s="93">
        <f t="shared" si="1"/>
        <v>3913.1800000000007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131">
        <v>15185.09</v>
      </c>
      <c r="U29" s="97">
        <f t="shared" si="2"/>
        <v>570.43000000000029</v>
      </c>
      <c r="V29" s="143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17</v>
      </c>
      <c r="I30" s="75">
        <v>7</v>
      </c>
      <c r="J30" s="75">
        <v>8</v>
      </c>
      <c r="K30" s="75">
        <v>8</v>
      </c>
      <c r="L30" s="75">
        <v>8</v>
      </c>
      <c r="M30" s="97">
        <f>2487.52+2349.38</f>
        <v>4836.8999999999996</v>
      </c>
      <c r="N30" s="97"/>
      <c r="O30" s="93">
        <f t="shared" si="1"/>
        <v>4836.8999999999996</v>
      </c>
      <c r="P30" s="123">
        <v>14</v>
      </c>
      <c r="Q30" s="124">
        <v>14</v>
      </c>
      <c r="R30" s="124">
        <v>14</v>
      </c>
      <c r="S30" s="97">
        <f>7176.8+21702.37</f>
        <v>28879.17</v>
      </c>
      <c r="T30" s="131">
        <v>5755.74</v>
      </c>
      <c r="U30" s="97">
        <f t="shared" si="2"/>
        <v>23123.43</v>
      </c>
      <c r="V30" s="14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1" t="s">
        <v>38</v>
      </c>
      <c r="D31" s="100" t="s">
        <v>124</v>
      </c>
      <c r="E31" s="101"/>
      <c r="F31" s="17" t="s">
        <v>106</v>
      </c>
      <c r="G31" s="72" t="s">
        <v>157</v>
      </c>
      <c r="H31" s="77">
        <v>4</v>
      </c>
      <c r="I31" s="75">
        <v>1</v>
      </c>
      <c r="J31" s="75">
        <v>2</v>
      </c>
      <c r="K31" s="75">
        <v>2</v>
      </c>
      <c r="L31" s="75">
        <v>2</v>
      </c>
      <c r="M31" s="97">
        <v>859.25</v>
      </c>
      <c r="N31" s="97"/>
      <c r="O31" s="93">
        <f t="shared" si="1"/>
        <v>859.25</v>
      </c>
      <c r="P31" s="123">
        <v>2</v>
      </c>
      <c r="Q31" s="124">
        <v>2</v>
      </c>
      <c r="R31" s="124">
        <v>2</v>
      </c>
      <c r="S31" s="97">
        <f>442.37+1014.7</f>
        <v>1457.0700000000002</v>
      </c>
      <c r="T31" s="131">
        <v>442.37</v>
      </c>
      <c r="U31" s="97">
        <f t="shared" si="2"/>
        <v>1014.7000000000002</v>
      </c>
      <c r="V31" s="14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0" t="s">
        <v>39</v>
      </c>
      <c r="D32" s="100" t="s">
        <v>124</v>
      </c>
      <c r="E32" s="101"/>
      <c r="F32" s="10" t="s">
        <v>105</v>
      </c>
      <c r="G32" s="72" t="s">
        <v>220</v>
      </c>
      <c r="H32" s="77"/>
      <c r="I32" s="75"/>
      <c r="J32" s="75"/>
      <c r="K32" s="75"/>
      <c r="L32" s="75"/>
      <c r="M32" s="97"/>
      <c r="N32" s="97"/>
      <c r="O32" s="93">
        <f t="shared" si="1"/>
        <v>0</v>
      </c>
      <c r="P32" s="123"/>
      <c r="Q32" s="124"/>
      <c r="R32" s="124"/>
      <c r="S32" s="97"/>
      <c r="T32" s="131"/>
      <c r="U32" s="97">
        <f t="shared" si="2"/>
        <v>0</v>
      </c>
      <c r="V32" s="135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0" t="s">
        <v>137</v>
      </c>
      <c r="D33" s="100" t="s">
        <v>124</v>
      </c>
      <c r="E33" s="101"/>
      <c r="F33" s="17" t="s">
        <v>106</v>
      </c>
      <c r="G33" s="72" t="s">
        <v>158</v>
      </c>
      <c r="H33" s="77">
        <v>8</v>
      </c>
      <c r="I33" s="75">
        <v>4</v>
      </c>
      <c r="J33" s="75">
        <v>4</v>
      </c>
      <c r="K33" s="75">
        <v>4</v>
      </c>
      <c r="L33" s="75">
        <v>3</v>
      </c>
      <c r="M33" s="97">
        <f>1929.2</f>
        <v>1929.2</v>
      </c>
      <c r="N33" s="97"/>
      <c r="O33" s="93">
        <f t="shared" si="1"/>
        <v>1929.2</v>
      </c>
      <c r="P33" s="123"/>
      <c r="Q33" s="124"/>
      <c r="R33" s="124"/>
      <c r="S33" s="97"/>
      <c r="T33" s="131"/>
      <c r="U33" s="97">
        <f t="shared" si="2"/>
        <v>0</v>
      </c>
      <c r="V33" s="135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2" t="s">
        <v>40</v>
      </c>
      <c r="D34" s="100" t="s">
        <v>124</v>
      </c>
      <c r="E34" s="101"/>
      <c r="F34" s="19" t="s">
        <v>115</v>
      </c>
      <c r="G34" s="72" t="s">
        <v>159</v>
      </c>
      <c r="H34" s="77">
        <v>9</v>
      </c>
      <c r="I34" s="75">
        <v>6</v>
      </c>
      <c r="J34" s="75">
        <v>11</v>
      </c>
      <c r="K34" s="75">
        <v>11</v>
      </c>
      <c r="L34" s="75">
        <v>11</v>
      </c>
      <c r="M34" s="97">
        <f>1580.26+3633.22+2321.45</f>
        <v>7534.9299999999994</v>
      </c>
      <c r="N34" s="97">
        <v>1580.26</v>
      </c>
      <c r="O34" s="93">
        <f t="shared" si="1"/>
        <v>5954.6699999999992</v>
      </c>
      <c r="P34" s="123">
        <v>2</v>
      </c>
      <c r="Q34" s="124">
        <v>2</v>
      </c>
      <c r="R34" s="124">
        <v>2</v>
      </c>
      <c r="S34" s="97">
        <v>872.59</v>
      </c>
      <c r="T34" s="131">
        <v>872.59</v>
      </c>
      <c r="U34" s="97">
        <f t="shared" si="2"/>
        <v>0</v>
      </c>
      <c r="V34" s="143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1" t="s">
        <v>41</v>
      </c>
      <c r="D35" s="100" t="s">
        <v>124</v>
      </c>
      <c r="E35" s="101"/>
      <c r="F35" s="17" t="s">
        <v>106</v>
      </c>
      <c r="G35" s="72" t="s">
        <v>160</v>
      </c>
      <c r="H35" s="77">
        <v>9</v>
      </c>
      <c r="I35" s="75">
        <v>4</v>
      </c>
      <c r="J35" s="75">
        <v>6</v>
      </c>
      <c r="K35" s="75">
        <v>6</v>
      </c>
      <c r="L35" s="75">
        <v>3</v>
      </c>
      <c r="M35" s="97">
        <f>738.32+1081.83</f>
        <v>1820.15</v>
      </c>
      <c r="N35" s="97">
        <v>738.32</v>
      </c>
      <c r="O35" s="93">
        <f t="shared" si="1"/>
        <v>1081.83</v>
      </c>
      <c r="P35" s="123">
        <v>8</v>
      </c>
      <c r="Q35" s="124">
        <v>8</v>
      </c>
      <c r="R35" s="124">
        <v>7</v>
      </c>
      <c r="S35" s="97">
        <f>7876.12+900.18</f>
        <v>8776.2999999999993</v>
      </c>
      <c r="T35" s="131">
        <v>7876.12</v>
      </c>
      <c r="U35" s="97">
        <f t="shared" si="2"/>
        <v>900.17999999999938</v>
      </c>
      <c r="V35" s="141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3" t="s">
        <v>42</v>
      </c>
      <c r="D36" s="100" t="s">
        <v>124</v>
      </c>
      <c r="E36" s="101"/>
      <c r="F36" s="17" t="s">
        <v>106</v>
      </c>
      <c r="G36" s="72" t="s">
        <v>221</v>
      </c>
      <c r="H36" s="77">
        <v>7</v>
      </c>
      <c r="I36" s="75"/>
      <c r="J36" s="75"/>
      <c r="K36" s="75"/>
      <c r="L36" s="75"/>
      <c r="M36" s="97"/>
      <c r="N36" s="97"/>
      <c r="O36" s="93">
        <f t="shared" si="1"/>
        <v>0</v>
      </c>
      <c r="P36" s="123">
        <v>4</v>
      </c>
      <c r="Q36" s="124">
        <v>4</v>
      </c>
      <c r="R36" s="124">
        <v>4</v>
      </c>
      <c r="S36" s="97">
        <f>1436.08+3433.93</f>
        <v>4870.01</v>
      </c>
      <c r="T36" s="131">
        <v>1436.08</v>
      </c>
      <c r="U36" s="97">
        <f t="shared" si="2"/>
        <v>3433.9300000000003</v>
      </c>
      <c r="V36" s="142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3" t="s">
        <v>43</v>
      </c>
      <c r="D37" s="100" t="s">
        <v>124</v>
      </c>
      <c r="E37" s="101"/>
      <c r="F37" s="17" t="s">
        <v>106</v>
      </c>
      <c r="G37" s="72" t="s">
        <v>161</v>
      </c>
      <c r="H37" s="77">
        <v>8</v>
      </c>
      <c r="I37" s="75">
        <v>6</v>
      </c>
      <c r="J37" s="75">
        <v>6</v>
      </c>
      <c r="K37" s="75">
        <v>5</v>
      </c>
      <c r="L37" s="75">
        <v>5</v>
      </c>
      <c r="M37" s="97">
        <f>568.43+3282.53</f>
        <v>3850.96</v>
      </c>
      <c r="N37" s="97">
        <v>568.42999999999995</v>
      </c>
      <c r="O37" s="93">
        <f t="shared" si="1"/>
        <v>3282.53</v>
      </c>
      <c r="P37" s="123">
        <v>2</v>
      </c>
      <c r="Q37" s="124">
        <v>1</v>
      </c>
      <c r="R37" s="124">
        <v>1</v>
      </c>
      <c r="S37" s="97">
        <v>552.96</v>
      </c>
      <c r="T37" s="131">
        <v>552.96</v>
      </c>
      <c r="U37" s="97">
        <f t="shared" si="2"/>
        <v>0</v>
      </c>
      <c r="V37" s="142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1" t="s">
        <v>44</v>
      </c>
      <c r="D38" s="100" t="s">
        <v>124</v>
      </c>
      <c r="E38" s="101"/>
      <c r="F38" s="17" t="s">
        <v>105</v>
      </c>
      <c r="G38" s="72" t="s">
        <v>162</v>
      </c>
      <c r="H38" s="77">
        <v>26</v>
      </c>
      <c r="I38" s="75">
        <v>10</v>
      </c>
      <c r="J38" s="75">
        <v>14</v>
      </c>
      <c r="K38" s="75">
        <v>14</v>
      </c>
      <c r="L38" s="75">
        <v>8</v>
      </c>
      <c r="M38" s="97">
        <f>1783.68+344.5+1626.04</f>
        <v>3754.2200000000003</v>
      </c>
      <c r="N38" s="97"/>
      <c r="O38" s="93">
        <f t="shared" si="1"/>
        <v>3754.2200000000003</v>
      </c>
      <c r="P38" s="123">
        <v>17</v>
      </c>
      <c r="Q38" s="124">
        <v>17</v>
      </c>
      <c r="R38" s="124">
        <v>16</v>
      </c>
      <c r="S38" s="97">
        <f>13233.81+6471.95</f>
        <v>19705.759999999998</v>
      </c>
      <c r="T38" s="131">
        <v>10213.92</v>
      </c>
      <c r="U38" s="97">
        <f t="shared" si="2"/>
        <v>9491.8399999999983</v>
      </c>
      <c r="V38" s="14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1" t="s">
        <v>45</v>
      </c>
      <c r="D39" s="100" t="s">
        <v>124</v>
      </c>
      <c r="E39" s="101"/>
      <c r="F39" s="17" t="s">
        <v>111</v>
      </c>
      <c r="G39" s="72" t="s">
        <v>163</v>
      </c>
      <c r="H39" s="77">
        <v>10</v>
      </c>
      <c r="I39" s="75">
        <v>5</v>
      </c>
      <c r="J39" s="75">
        <v>7</v>
      </c>
      <c r="K39" s="75">
        <v>6</v>
      </c>
      <c r="L39" s="75">
        <v>4</v>
      </c>
      <c r="M39" s="97">
        <f>821.67+1850.17</f>
        <v>2671.84</v>
      </c>
      <c r="N39" s="97">
        <f>821.67</f>
        <v>821.67</v>
      </c>
      <c r="O39" s="93">
        <f t="shared" si="1"/>
        <v>1850.17</v>
      </c>
      <c r="P39" s="123">
        <v>3</v>
      </c>
      <c r="Q39" s="124">
        <v>2</v>
      </c>
      <c r="R39" s="124"/>
      <c r="S39" s="97"/>
      <c r="T39" s="131"/>
      <c r="U39" s="97">
        <f t="shared" si="2"/>
        <v>0</v>
      </c>
      <c r="V39" s="14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0" t="s">
        <v>46</v>
      </c>
      <c r="D40" s="100" t="s">
        <v>124</v>
      </c>
      <c r="E40" s="101"/>
      <c r="F40" s="17" t="s">
        <v>106</v>
      </c>
      <c r="G40" s="72" t="s">
        <v>164</v>
      </c>
      <c r="H40" s="77">
        <v>6</v>
      </c>
      <c r="I40" s="75">
        <v>5</v>
      </c>
      <c r="J40" s="75">
        <v>5</v>
      </c>
      <c r="K40" s="75">
        <v>3</v>
      </c>
      <c r="L40" s="75">
        <v>3</v>
      </c>
      <c r="M40" s="97">
        <f>2273.7+1002.51</f>
        <v>3276.21</v>
      </c>
      <c r="N40" s="97">
        <v>2273.6999999999998</v>
      </c>
      <c r="O40" s="93">
        <f t="shared" si="1"/>
        <v>1002.5100000000002</v>
      </c>
      <c r="P40" s="123">
        <v>4</v>
      </c>
      <c r="Q40" s="124">
        <v>3</v>
      </c>
      <c r="R40" s="124">
        <v>3</v>
      </c>
      <c r="S40" s="97">
        <f>3996.7+1341.47</f>
        <v>5338.17</v>
      </c>
      <c r="T40" s="131">
        <v>3996.7</v>
      </c>
      <c r="U40" s="97">
        <f t="shared" si="2"/>
        <v>1341.4700000000003</v>
      </c>
      <c r="V40" s="135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0" t="s">
        <v>47</v>
      </c>
      <c r="D41" s="100" t="s">
        <v>124</v>
      </c>
      <c r="E41" s="101"/>
      <c r="F41" s="17" t="s">
        <v>116</v>
      </c>
      <c r="G41" s="72" t="s">
        <v>165</v>
      </c>
      <c r="H41" s="77">
        <v>9</v>
      </c>
      <c r="I41" s="75">
        <v>6</v>
      </c>
      <c r="J41" s="75">
        <v>7</v>
      </c>
      <c r="K41" s="75">
        <v>5</v>
      </c>
      <c r="L41" s="75">
        <v>3</v>
      </c>
      <c r="M41" s="97">
        <f>1322.88+206.7</f>
        <v>1529.5800000000002</v>
      </c>
      <c r="N41" s="97">
        <v>1322.88</v>
      </c>
      <c r="O41" s="93">
        <f t="shared" si="1"/>
        <v>206.70000000000005</v>
      </c>
      <c r="P41" s="123">
        <v>3</v>
      </c>
      <c r="Q41" s="124">
        <v>3</v>
      </c>
      <c r="R41" s="124">
        <v>2</v>
      </c>
      <c r="S41" s="97">
        <v>1016.08</v>
      </c>
      <c r="T41" s="131">
        <v>1016.08</v>
      </c>
      <c r="U41" s="97">
        <f t="shared" si="2"/>
        <v>0</v>
      </c>
      <c r="V41" s="135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3" t="s">
        <v>48</v>
      </c>
      <c r="D42" s="100" t="s">
        <v>124</v>
      </c>
      <c r="E42" s="101"/>
      <c r="F42" s="17" t="s">
        <v>106</v>
      </c>
      <c r="G42" s="72" t="s">
        <v>166</v>
      </c>
      <c r="H42" s="77">
        <v>6</v>
      </c>
      <c r="I42" s="75">
        <v>2</v>
      </c>
      <c r="J42" s="75">
        <v>2</v>
      </c>
      <c r="K42" s="75">
        <v>2</v>
      </c>
      <c r="L42" s="75">
        <v>2</v>
      </c>
      <c r="M42" s="97">
        <v>4681.8900000000003</v>
      </c>
      <c r="N42" s="97"/>
      <c r="O42" s="93">
        <f t="shared" si="1"/>
        <v>4681.8900000000003</v>
      </c>
      <c r="P42" s="123">
        <v>4</v>
      </c>
      <c r="Q42" s="124">
        <v>4</v>
      </c>
      <c r="R42" s="124">
        <v>3</v>
      </c>
      <c r="S42" s="97">
        <f>3907.41+583.58</f>
        <v>4490.99</v>
      </c>
      <c r="T42" s="131">
        <v>1733.58</v>
      </c>
      <c r="U42" s="97">
        <f t="shared" si="2"/>
        <v>2757.41</v>
      </c>
      <c r="V42" s="142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0" t="s">
        <v>49</v>
      </c>
      <c r="D43" s="100" t="s">
        <v>124</v>
      </c>
      <c r="E43" s="101"/>
      <c r="F43" s="17" t="s">
        <v>106</v>
      </c>
      <c r="G43" s="72" t="s">
        <v>167</v>
      </c>
      <c r="H43" s="77">
        <v>8</v>
      </c>
      <c r="I43" s="75">
        <v>1</v>
      </c>
      <c r="J43" s="75">
        <v>1</v>
      </c>
      <c r="K43" s="75">
        <v>1</v>
      </c>
      <c r="L43" s="75">
        <v>1</v>
      </c>
      <c r="M43" s="97">
        <v>1157.56</v>
      </c>
      <c r="N43" s="97"/>
      <c r="O43" s="93">
        <f t="shared" si="1"/>
        <v>1157.56</v>
      </c>
      <c r="P43" s="123">
        <v>6</v>
      </c>
      <c r="Q43" s="124">
        <v>6</v>
      </c>
      <c r="R43" s="124">
        <v>5</v>
      </c>
      <c r="S43" s="97">
        <v>6437</v>
      </c>
      <c r="T43" s="131">
        <f>3957.6+2479.4</f>
        <v>6437</v>
      </c>
      <c r="U43" s="97">
        <f t="shared" si="2"/>
        <v>0</v>
      </c>
      <c r="V43" s="135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3" t="s">
        <v>50</v>
      </c>
      <c r="D44" s="100" t="s">
        <v>124</v>
      </c>
      <c r="E44" s="101"/>
      <c r="F44" s="17" t="s">
        <v>106</v>
      </c>
      <c r="G44" s="72" t="s">
        <v>168</v>
      </c>
      <c r="H44" s="77">
        <v>5</v>
      </c>
      <c r="I44" s="75">
        <v>5</v>
      </c>
      <c r="J44" s="75">
        <v>6</v>
      </c>
      <c r="K44" s="75">
        <v>6</v>
      </c>
      <c r="L44" s="75">
        <v>4</v>
      </c>
      <c r="M44" s="97">
        <f>1345.04+387.91</f>
        <v>1732.95</v>
      </c>
      <c r="N44" s="97">
        <f>1345.04</f>
        <v>1345.04</v>
      </c>
      <c r="O44" s="93">
        <f t="shared" si="1"/>
        <v>387.91000000000008</v>
      </c>
      <c r="P44" s="123">
        <v>4</v>
      </c>
      <c r="Q44" s="124">
        <v>4</v>
      </c>
      <c r="R44" s="124">
        <v>4</v>
      </c>
      <c r="S44" s="97">
        <f>3997.92+850.65</f>
        <v>4848.57</v>
      </c>
      <c r="T44" s="131">
        <f>3997.92</f>
        <v>3997.92</v>
      </c>
      <c r="U44" s="97">
        <f t="shared" si="2"/>
        <v>850.64999999999964</v>
      </c>
      <c r="V44" s="142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1" t="s">
        <v>51</v>
      </c>
      <c r="D45" s="100" t="s">
        <v>124</v>
      </c>
      <c r="E45" s="101"/>
      <c r="F45" s="22" t="s">
        <v>112</v>
      </c>
      <c r="G45" s="72"/>
      <c r="H45" s="77"/>
      <c r="I45" s="75"/>
      <c r="J45" s="75"/>
      <c r="K45" s="75"/>
      <c r="L45" s="75"/>
      <c r="M45" s="97"/>
      <c r="N45" s="97"/>
      <c r="O45" s="93">
        <f t="shared" si="1"/>
        <v>0</v>
      </c>
      <c r="P45" s="123"/>
      <c r="Q45" s="124"/>
      <c r="R45" s="124"/>
      <c r="S45" s="97"/>
      <c r="T45" s="131"/>
      <c r="U45" s="97">
        <f t="shared" si="2"/>
        <v>0</v>
      </c>
      <c r="V45" s="14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1" t="s">
        <v>131</v>
      </c>
      <c r="D46" s="100" t="s">
        <v>124</v>
      </c>
      <c r="E46" s="101"/>
      <c r="F46" s="22" t="s">
        <v>106</v>
      </c>
      <c r="G46" s="72" t="s">
        <v>171</v>
      </c>
      <c r="H46" s="77">
        <v>4</v>
      </c>
      <c r="I46" s="75"/>
      <c r="J46" s="75"/>
      <c r="K46" s="75"/>
      <c r="L46" s="75"/>
      <c r="M46" s="97"/>
      <c r="N46" s="97"/>
      <c r="O46" s="93">
        <f t="shared" si="1"/>
        <v>0</v>
      </c>
      <c r="P46" s="123">
        <v>2</v>
      </c>
      <c r="Q46" s="124">
        <v>2</v>
      </c>
      <c r="R46" s="124">
        <v>1</v>
      </c>
      <c r="S46" s="97">
        <v>11787.49</v>
      </c>
      <c r="T46" s="131">
        <v>11787.49</v>
      </c>
      <c r="U46" s="97">
        <f t="shared" si="2"/>
        <v>0</v>
      </c>
      <c r="V46" s="14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3" t="s">
        <v>52</v>
      </c>
      <c r="D47" s="100" t="s">
        <v>124</v>
      </c>
      <c r="E47" s="101"/>
      <c r="F47" s="17" t="s">
        <v>106</v>
      </c>
      <c r="G47" s="72" t="s">
        <v>169</v>
      </c>
      <c r="H47" s="77">
        <v>19</v>
      </c>
      <c r="I47" s="75">
        <v>8</v>
      </c>
      <c r="J47" s="75">
        <v>11</v>
      </c>
      <c r="K47" s="75">
        <v>11</v>
      </c>
      <c r="L47" s="75">
        <v>4</v>
      </c>
      <c r="M47" s="97">
        <f>2714.54+272.6</f>
        <v>2987.14</v>
      </c>
      <c r="N47" s="97">
        <f>2335.59+378.95</f>
        <v>2714.54</v>
      </c>
      <c r="O47" s="93">
        <f t="shared" si="1"/>
        <v>272.59999999999991</v>
      </c>
      <c r="P47" s="123">
        <v>2</v>
      </c>
      <c r="Q47" s="124">
        <v>2</v>
      </c>
      <c r="R47" s="124">
        <v>1</v>
      </c>
      <c r="S47" s="97">
        <v>689</v>
      </c>
      <c r="T47" s="131">
        <f>689</f>
        <v>689</v>
      </c>
      <c r="U47" s="97">
        <f t="shared" si="2"/>
        <v>0</v>
      </c>
      <c r="V47" s="142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0" t="s">
        <v>53</v>
      </c>
      <c r="D48" s="100" t="s">
        <v>124</v>
      </c>
      <c r="E48" s="101"/>
      <c r="F48" s="17" t="s">
        <v>105</v>
      </c>
      <c r="G48" s="72" t="s">
        <v>171</v>
      </c>
      <c r="H48" s="77">
        <v>8</v>
      </c>
      <c r="I48" s="75">
        <v>1</v>
      </c>
      <c r="J48" s="75">
        <v>1</v>
      </c>
      <c r="K48" s="75">
        <v>1</v>
      </c>
      <c r="L48" s="75">
        <v>1</v>
      </c>
      <c r="M48" s="97">
        <v>3786.47</v>
      </c>
      <c r="N48" s="97">
        <f>305.5</f>
        <v>305.5</v>
      </c>
      <c r="O48" s="93">
        <f t="shared" si="1"/>
        <v>3480.97</v>
      </c>
      <c r="P48" s="123">
        <v>3</v>
      </c>
      <c r="Q48" s="124">
        <v>3</v>
      </c>
      <c r="R48" s="124">
        <v>3</v>
      </c>
      <c r="S48" s="97">
        <f>2800.4+5022.92</f>
        <v>7823.32</v>
      </c>
      <c r="T48" s="131">
        <f>2494.9</f>
        <v>2494.9</v>
      </c>
      <c r="U48" s="97">
        <f t="shared" si="2"/>
        <v>5328.42</v>
      </c>
      <c r="V48" s="135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0" t="s">
        <v>54</v>
      </c>
      <c r="D49" s="100" t="s">
        <v>124</v>
      </c>
      <c r="E49" s="101"/>
      <c r="F49" s="17" t="s">
        <v>106</v>
      </c>
      <c r="G49" s="72" t="s">
        <v>172</v>
      </c>
      <c r="H49" s="77">
        <v>9</v>
      </c>
      <c r="I49" s="75">
        <v>1</v>
      </c>
      <c r="J49" s="75">
        <v>1</v>
      </c>
      <c r="K49" s="75">
        <v>1</v>
      </c>
      <c r="L49" s="75">
        <v>1</v>
      </c>
      <c r="M49" s="97">
        <v>397.9</v>
      </c>
      <c r="N49" s="97"/>
      <c r="O49" s="93">
        <f t="shared" si="1"/>
        <v>397.9</v>
      </c>
      <c r="P49" s="123">
        <v>6</v>
      </c>
      <c r="Q49" s="124">
        <v>5</v>
      </c>
      <c r="R49" s="124">
        <v>5</v>
      </c>
      <c r="S49" s="97">
        <f>4105.06+1454.92</f>
        <v>5559.9800000000005</v>
      </c>
      <c r="T49" s="131">
        <f>4105.06</f>
        <v>4105.0600000000004</v>
      </c>
      <c r="U49" s="97">
        <f t="shared" si="2"/>
        <v>1454.92</v>
      </c>
      <c r="V49" s="135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0" t="s">
        <v>55</v>
      </c>
      <c r="D50" s="100" t="s">
        <v>124</v>
      </c>
      <c r="E50" s="101"/>
      <c r="F50" s="17" t="s">
        <v>106</v>
      </c>
      <c r="G50" s="72" t="s">
        <v>173</v>
      </c>
      <c r="H50" s="77">
        <v>10</v>
      </c>
      <c r="I50" s="75">
        <v>7</v>
      </c>
      <c r="J50" s="75">
        <v>7</v>
      </c>
      <c r="K50" s="75">
        <v>7</v>
      </c>
      <c r="L50" s="75">
        <v>5</v>
      </c>
      <c r="M50" s="97">
        <f>2478.12+2441.5</f>
        <v>4919.62</v>
      </c>
      <c r="N50" s="97">
        <v>2478.12</v>
      </c>
      <c r="O50" s="93">
        <f t="shared" si="1"/>
        <v>2441.5</v>
      </c>
      <c r="P50" s="123">
        <v>6</v>
      </c>
      <c r="Q50" s="124">
        <v>5</v>
      </c>
      <c r="R50" s="124">
        <v>5</v>
      </c>
      <c r="S50" s="97">
        <f>2457.28+1725.6</f>
        <v>4182.88</v>
      </c>
      <c r="T50" s="131"/>
      <c r="U50" s="97">
        <f t="shared" si="2"/>
        <v>4182.88</v>
      </c>
      <c r="V50" s="135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0" t="s">
        <v>56</v>
      </c>
      <c r="D51" s="100" t="s">
        <v>124</v>
      </c>
      <c r="E51" s="101"/>
      <c r="F51" s="17" t="s">
        <v>106</v>
      </c>
      <c r="G51" s="72" t="s">
        <v>174</v>
      </c>
      <c r="H51" s="77">
        <v>10</v>
      </c>
      <c r="I51" s="75">
        <v>5</v>
      </c>
      <c r="J51" s="75">
        <v>5</v>
      </c>
      <c r="K51" s="75">
        <v>5</v>
      </c>
      <c r="L51" s="75">
        <v>3</v>
      </c>
      <c r="M51" s="97">
        <v>1308.27</v>
      </c>
      <c r="N51" s="97">
        <v>1308.27</v>
      </c>
      <c r="O51" s="93">
        <f t="shared" si="1"/>
        <v>0</v>
      </c>
      <c r="P51" s="123">
        <v>1</v>
      </c>
      <c r="Q51" s="124">
        <v>1</v>
      </c>
      <c r="R51" s="124">
        <v>1</v>
      </c>
      <c r="S51" s="97">
        <v>728.15</v>
      </c>
      <c r="T51" s="131">
        <v>728.15</v>
      </c>
      <c r="U51" s="97">
        <f t="shared" si="2"/>
        <v>0</v>
      </c>
      <c r="V51" s="135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3" t="s">
        <v>57</v>
      </c>
      <c r="D52" s="100" t="s">
        <v>124</v>
      </c>
      <c r="E52" s="101"/>
      <c r="F52" s="17" t="s">
        <v>106</v>
      </c>
      <c r="G52" s="72" t="s">
        <v>175</v>
      </c>
      <c r="H52" s="77">
        <v>10</v>
      </c>
      <c r="I52" s="75">
        <v>5</v>
      </c>
      <c r="J52" s="75">
        <v>6</v>
      </c>
      <c r="K52" s="75">
        <v>6</v>
      </c>
      <c r="L52" s="75">
        <v>4</v>
      </c>
      <c r="M52" s="97">
        <f>613.9+1710.26</f>
        <v>2324.16</v>
      </c>
      <c r="N52" s="97">
        <v>341.06</v>
      </c>
      <c r="O52" s="93">
        <f t="shared" si="1"/>
        <v>1983.1</v>
      </c>
      <c r="P52" s="123">
        <v>5</v>
      </c>
      <c r="Q52" s="124">
        <v>4</v>
      </c>
      <c r="R52" s="124">
        <v>4</v>
      </c>
      <c r="S52" s="97">
        <f>1535.39+1035.3</f>
        <v>2570.69</v>
      </c>
      <c r="T52" s="131">
        <v>530.53</v>
      </c>
      <c r="U52" s="97">
        <f t="shared" si="2"/>
        <v>2040.16</v>
      </c>
      <c r="V52" s="142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3" t="s">
        <v>58</v>
      </c>
      <c r="D53" s="100" t="s">
        <v>124</v>
      </c>
      <c r="E53" s="101"/>
      <c r="F53" s="17" t="s">
        <v>106</v>
      </c>
      <c r="G53" s="72" t="s">
        <v>260</v>
      </c>
      <c r="H53" s="77">
        <v>4</v>
      </c>
      <c r="I53" s="75"/>
      <c r="J53" s="75"/>
      <c r="K53" s="75"/>
      <c r="L53" s="75"/>
      <c r="M53" s="97"/>
      <c r="N53" s="97"/>
      <c r="O53" s="93">
        <f t="shared" si="1"/>
        <v>0</v>
      </c>
      <c r="P53" s="123">
        <v>2</v>
      </c>
      <c r="Q53" s="124">
        <v>2</v>
      </c>
      <c r="R53" s="124">
        <v>2</v>
      </c>
      <c r="S53" s="97">
        <v>688</v>
      </c>
      <c r="T53" s="131">
        <f>688</f>
        <v>688</v>
      </c>
      <c r="U53" s="97">
        <f t="shared" si="2"/>
        <v>0</v>
      </c>
      <c r="V53" s="142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3" t="s">
        <v>59</v>
      </c>
      <c r="D54" s="100" t="s">
        <v>124</v>
      </c>
      <c r="E54" s="101"/>
      <c r="F54" s="17" t="s">
        <v>112</v>
      </c>
      <c r="G54" s="72" t="s">
        <v>176</v>
      </c>
      <c r="H54" s="77">
        <v>31</v>
      </c>
      <c r="I54" s="75">
        <v>14</v>
      </c>
      <c r="J54" s="75">
        <v>17</v>
      </c>
      <c r="K54" s="75">
        <v>17</v>
      </c>
      <c r="L54" s="75">
        <v>17</v>
      </c>
      <c r="M54" s="97">
        <f>575.32+6377.18</f>
        <v>6952.5</v>
      </c>
      <c r="N54" s="97">
        <v>413.4</v>
      </c>
      <c r="O54" s="93">
        <f t="shared" si="1"/>
        <v>6539.1</v>
      </c>
      <c r="P54" s="123">
        <v>17</v>
      </c>
      <c r="Q54" s="124">
        <v>17</v>
      </c>
      <c r="R54" s="124">
        <v>17</v>
      </c>
      <c r="S54" s="97">
        <f>9629.72+1321.59</f>
        <v>10951.31</v>
      </c>
      <c r="T54" s="131">
        <v>2632.7</v>
      </c>
      <c r="U54" s="97">
        <f t="shared" si="2"/>
        <v>8318.61</v>
      </c>
      <c r="V54" s="142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3" t="s">
        <v>60</v>
      </c>
      <c r="D55" s="100" t="s">
        <v>125</v>
      </c>
      <c r="E55" s="106" t="s">
        <v>126</v>
      </c>
      <c r="F55" s="17" t="s">
        <v>106</v>
      </c>
      <c r="G55" s="72" t="s">
        <v>177</v>
      </c>
      <c r="H55" s="77">
        <v>3</v>
      </c>
      <c r="I55" s="75">
        <v>1</v>
      </c>
      <c r="J55" s="75">
        <v>1</v>
      </c>
      <c r="K55" s="75">
        <v>1</v>
      </c>
      <c r="L55" s="75"/>
      <c r="M55" s="97">
        <v>1887.9</v>
      </c>
      <c r="N55" s="97">
        <v>1887.9</v>
      </c>
      <c r="O55" s="93">
        <f t="shared" si="1"/>
        <v>0</v>
      </c>
      <c r="P55" s="123">
        <v>3</v>
      </c>
      <c r="Q55" s="124">
        <v>3</v>
      </c>
      <c r="R55" s="124">
        <v>3</v>
      </c>
      <c r="S55" s="97">
        <f>757.9+1321.55+620.1</f>
        <v>2699.5499999999997</v>
      </c>
      <c r="T55" s="131">
        <v>757.9</v>
      </c>
      <c r="U55" s="97">
        <f t="shared" si="2"/>
        <v>1941.6499999999996</v>
      </c>
      <c r="V55" s="142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1" t="s">
        <v>61</v>
      </c>
      <c r="D56" s="100" t="s">
        <v>124</v>
      </c>
      <c r="E56" s="101"/>
      <c r="F56" s="17" t="s">
        <v>107</v>
      </c>
      <c r="G56" s="72" t="s">
        <v>178</v>
      </c>
      <c r="H56" s="77">
        <v>26</v>
      </c>
      <c r="I56" s="75">
        <v>14</v>
      </c>
      <c r="J56" s="75">
        <v>15</v>
      </c>
      <c r="K56" s="75">
        <v>15</v>
      </c>
      <c r="L56" s="75">
        <v>13</v>
      </c>
      <c r="M56" s="97">
        <f>2880.54+7232.73</f>
        <v>10113.27</v>
      </c>
      <c r="N56" s="97">
        <v>272.83999999999997</v>
      </c>
      <c r="O56" s="93">
        <f t="shared" si="1"/>
        <v>9840.43</v>
      </c>
      <c r="P56" s="123">
        <v>29</v>
      </c>
      <c r="Q56" s="124">
        <v>29</v>
      </c>
      <c r="R56" s="124">
        <v>24</v>
      </c>
      <c r="S56" s="97">
        <f>35028.07+10662.98</f>
        <v>45691.05</v>
      </c>
      <c r="T56" s="131">
        <v>14478.7</v>
      </c>
      <c r="U56" s="97">
        <f t="shared" si="2"/>
        <v>31212.350000000002</v>
      </c>
      <c r="V56" s="14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1" t="s">
        <v>134</v>
      </c>
      <c r="D57" s="100" t="s">
        <v>124</v>
      </c>
      <c r="E57" s="101"/>
      <c r="F57" s="17" t="s">
        <v>112</v>
      </c>
      <c r="G57" s="72" t="s">
        <v>179</v>
      </c>
      <c r="H57" s="77">
        <v>13</v>
      </c>
      <c r="I57" s="75">
        <v>4</v>
      </c>
      <c r="J57" s="75">
        <v>4</v>
      </c>
      <c r="K57" s="75"/>
      <c r="L57" s="75"/>
      <c r="M57" s="97"/>
      <c r="N57" s="97"/>
      <c r="O57" s="93">
        <f t="shared" si="1"/>
        <v>0</v>
      </c>
      <c r="P57" s="123"/>
      <c r="Q57" s="124"/>
      <c r="R57" s="124"/>
      <c r="S57" s="97"/>
      <c r="T57" s="131"/>
      <c r="U57" s="97">
        <f t="shared" si="2"/>
        <v>0</v>
      </c>
      <c r="V57" s="14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1" t="s">
        <v>62</v>
      </c>
      <c r="D58" s="100" t="s">
        <v>124</v>
      </c>
      <c r="E58" s="101"/>
      <c r="F58" s="17" t="s">
        <v>106</v>
      </c>
      <c r="G58" s="72" t="s">
        <v>230</v>
      </c>
      <c r="H58" s="77"/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131"/>
      <c r="U58" s="97">
        <f t="shared" si="2"/>
        <v>0</v>
      </c>
      <c r="V58" s="14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1" t="s">
        <v>63</v>
      </c>
      <c r="D59" s="100" t="s">
        <v>124</v>
      </c>
      <c r="E59" s="101"/>
      <c r="F59" s="22" t="s">
        <v>112</v>
      </c>
      <c r="G59" s="72" t="s">
        <v>224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131"/>
      <c r="U59" s="97">
        <f t="shared" si="2"/>
        <v>0</v>
      </c>
      <c r="V59" s="14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1" t="s">
        <v>64</v>
      </c>
      <c r="D60" s="100" t="s">
        <v>124</v>
      </c>
      <c r="E60" s="101"/>
      <c r="F60" s="22" t="s">
        <v>107</v>
      </c>
      <c r="G60" s="72" t="s">
        <v>180</v>
      </c>
      <c r="H60" s="77">
        <v>26</v>
      </c>
      <c r="I60" s="75">
        <v>13</v>
      </c>
      <c r="J60" s="75">
        <v>19</v>
      </c>
      <c r="K60" s="75">
        <v>14</v>
      </c>
      <c r="L60" s="75">
        <v>12</v>
      </c>
      <c r="M60" s="97">
        <f>4967.08+2976.17+4153.2</f>
        <v>12096.45</v>
      </c>
      <c r="N60" s="97">
        <f>4967.08</f>
        <v>4967.08</v>
      </c>
      <c r="O60" s="93">
        <f t="shared" si="1"/>
        <v>7129.3700000000008</v>
      </c>
      <c r="P60" s="123">
        <v>6</v>
      </c>
      <c r="Q60" s="124">
        <v>6</v>
      </c>
      <c r="R60" s="124">
        <v>5</v>
      </c>
      <c r="S60" s="97">
        <v>6524.72</v>
      </c>
      <c r="T60" s="131">
        <f>6524.72</f>
        <v>6524.72</v>
      </c>
      <c r="U60" s="97">
        <f t="shared" si="2"/>
        <v>0</v>
      </c>
      <c r="V60" s="14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1" t="s">
        <v>135</v>
      </c>
      <c r="D61" s="100" t="s">
        <v>124</v>
      </c>
      <c r="E61" s="101"/>
      <c r="F61" s="22" t="s">
        <v>111</v>
      </c>
      <c r="G61" s="72" t="s">
        <v>181</v>
      </c>
      <c r="H61" s="77">
        <v>8</v>
      </c>
      <c r="I61" s="75">
        <v>4</v>
      </c>
      <c r="J61" s="75">
        <v>4</v>
      </c>
      <c r="K61" s="75">
        <v>4</v>
      </c>
      <c r="L61" s="75">
        <v>2</v>
      </c>
      <c r="M61" s="97">
        <v>1098.6400000000001</v>
      </c>
      <c r="N61" s="97"/>
      <c r="O61" s="93">
        <f t="shared" si="1"/>
        <v>1098.6400000000001</v>
      </c>
      <c r="P61" s="123"/>
      <c r="Q61" s="124"/>
      <c r="R61" s="124"/>
      <c r="S61" s="97"/>
      <c r="T61" s="131"/>
      <c r="U61" s="97">
        <f t="shared" si="2"/>
        <v>0</v>
      </c>
      <c r="V61" s="14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3" t="s">
        <v>65</v>
      </c>
      <c r="D62" s="100" t="s">
        <v>124</v>
      </c>
      <c r="E62" s="101"/>
      <c r="F62" s="17" t="s">
        <v>106</v>
      </c>
      <c r="G62" s="72" t="s">
        <v>182</v>
      </c>
      <c r="H62" s="77">
        <v>10</v>
      </c>
      <c r="I62" s="75">
        <v>2</v>
      </c>
      <c r="J62" s="75">
        <v>2</v>
      </c>
      <c r="K62" s="75">
        <v>2</v>
      </c>
      <c r="L62" s="75">
        <v>2</v>
      </c>
      <c r="M62" s="97">
        <f>1263.45+2111.32</f>
        <v>3374.7700000000004</v>
      </c>
      <c r="N62" s="97">
        <v>1263.45</v>
      </c>
      <c r="O62" s="93">
        <f t="shared" si="1"/>
        <v>2111.3200000000006</v>
      </c>
      <c r="P62" s="123">
        <v>6</v>
      </c>
      <c r="Q62" s="124">
        <v>6</v>
      </c>
      <c r="R62" s="124">
        <v>6</v>
      </c>
      <c r="S62" s="97">
        <f>740.14+4736.32</f>
        <v>5476.46</v>
      </c>
      <c r="T62" s="131">
        <v>740.14</v>
      </c>
      <c r="U62" s="97">
        <f t="shared" si="2"/>
        <v>4736.32</v>
      </c>
    </row>
    <row r="63" spans="1:40" ht="20.100000000000001" customHeight="1" x14ac:dyDescent="0.25">
      <c r="B63" s="99">
        <f t="shared" si="3"/>
        <v>54</v>
      </c>
      <c r="C63" s="13" t="s">
        <v>66</v>
      </c>
      <c r="D63" s="100" t="s">
        <v>124</v>
      </c>
      <c r="E63" s="101"/>
      <c r="F63" s="17" t="s">
        <v>112</v>
      </c>
      <c r="G63" s="72" t="s">
        <v>227</v>
      </c>
      <c r="H63" s="77"/>
      <c r="I63" s="75"/>
      <c r="J63" s="75"/>
      <c r="K63" s="75"/>
      <c r="L63" s="75"/>
      <c r="M63" s="97"/>
      <c r="N63" s="97"/>
      <c r="O63" s="93">
        <f t="shared" si="1"/>
        <v>0</v>
      </c>
      <c r="P63" s="123">
        <v>27</v>
      </c>
      <c r="Q63" s="124">
        <v>8</v>
      </c>
      <c r="R63" s="124">
        <v>8</v>
      </c>
      <c r="S63" s="97">
        <v>3232.69</v>
      </c>
      <c r="T63" s="131">
        <v>3232.69</v>
      </c>
      <c r="U63" s="97">
        <f t="shared" si="2"/>
        <v>0</v>
      </c>
    </row>
    <row r="64" spans="1:40" ht="20.100000000000001" customHeight="1" x14ac:dyDescent="0.25">
      <c r="A64" s="155">
        <v>50</v>
      </c>
      <c r="B64" s="99">
        <f t="shared" si="3"/>
        <v>55</v>
      </c>
      <c r="C64" s="10" t="s">
        <v>67</v>
      </c>
      <c r="D64" s="100" t="s">
        <v>124</v>
      </c>
      <c r="E64" s="101"/>
      <c r="F64" s="17" t="s">
        <v>106</v>
      </c>
      <c r="G64" s="72" t="s">
        <v>183</v>
      </c>
      <c r="H64" s="77">
        <v>16</v>
      </c>
      <c r="I64" s="75">
        <v>5</v>
      </c>
      <c r="J64" s="75">
        <v>6</v>
      </c>
      <c r="K64" s="75">
        <v>6</v>
      </c>
      <c r="L64" s="75">
        <v>4</v>
      </c>
      <c r="M64" s="97">
        <v>2495.13</v>
      </c>
      <c r="N64" s="97">
        <v>2495.13</v>
      </c>
      <c r="O64" s="93">
        <f t="shared" si="1"/>
        <v>0</v>
      </c>
      <c r="P64" s="123">
        <v>7</v>
      </c>
      <c r="Q64" s="124">
        <v>7</v>
      </c>
      <c r="R64" s="124">
        <v>6</v>
      </c>
      <c r="S64" s="97">
        <v>3377.96</v>
      </c>
      <c r="T64" s="131">
        <v>3377.96</v>
      </c>
      <c r="U64" s="97">
        <f t="shared" si="2"/>
        <v>0</v>
      </c>
    </row>
    <row r="65" spans="1:21" ht="20.100000000000001" customHeight="1" x14ac:dyDescent="0.25">
      <c r="A65" s="155">
        <v>51</v>
      </c>
      <c r="B65" s="99">
        <f t="shared" si="3"/>
        <v>56</v>
      </c>
      <c r="C65" s="10" t="s">
        <v>68</v>
      </c>
      <c r="D65" s="100" t="s">
        <v>124</v>
      </c>
      <c r="E65" s="101"/>
      <c r="F65" s="17" t="s">
        <v>111</v>
      </c>
      <c r="G65" s="72" t="s">
        <v>184</v>
      </c>
      <c r="H65" s="77">
        <v>18</v>
      </c>
      <c r="I65" s="75">
        <v>15</v>
      </c>
      <c r="J65" s="75">
        <v>16</v>
      </c>
      <c r="K65" s="75">
        <v>11</v>
      </c>
      <c r="L65" s="75">
        <v>9</v>
      </c>
      <c r="M65" s="97">
        <f>620.1+6964.42</f>
        <v>7584.52</v>
      </c>
      <c r="N65" s="97">
        <v>620.1</v>
      </c>
      <c r="O65" s="93">
        <f t="shared" si="1"/>
        <v>6964.42</v>
      </c>
      <c r="P65" s="123">
        <v>9</v>
      </c>
      <c r="Q65" s="124">
        <v>9</v>
      </c>
      <c r="R65" s="124">
        <v>8</v>
      </c>
      <c r="S65" s="97">
        <v>5363.21</v>
      </c>
      <c r="T65" s="131">
        <v>5363.21</v>
      </c>
      <c r="U65" s="97">
        <f t="shared" si="2"/>
        <v>0</v>
      </c>
    </row>
    <row r="66" spans="1:21" ht="20.100000000000001" customHeight="1" x14ac:dyDescent="0.25">
      <c r="A66" s="155">
        <v>52</v>
      </c>
      <c r="B66" s="99">
        <f t="shared" si="3"/>
        <v>57</v>
      </c>
      <c r="C66" s="13" t="s">
        <v>69</v>
      </c>
      <c r="D66" s="100" t="s">
        <v>124</v>
      </c>
      <c r="E66" s="101"/>
      <c r="F66" s="17" t="s">
        <v>106</v>
      </c>
      <c r="G66" s="72" t="s">
        <v>185</v>
      </c>
      <c r="H66" s="77">
        <v>3</v>
      </c>
      <c r="I66" s="75">
        <v>2</v>
      </c>
      <c r="J66" s="75">
        <v>3</v>
      </c>
      <c r="K66" s="75">
        <v>3</v>
      </c>
      <c r="L66" s="75">
        <v>3</v>
      </c>
      <c r="M66" s="97">
        <f>463.83+1653.6</f>
        <v>2117.4299999999998</v>
      </c>
      <c r="N66" s="97"/>
      <c r="O66" s="93">
        <f t="shared" si="1"/>
        <v>2117.4299999999998</v>
      </c>
      <c r="P66" s="123">
        <v>4</v>
      </c>
      <c r="Q66" s="124">
        <v>4</v>
      </c>
      <c r="R66" s="124">
        <v>4</v>
      </c>
      <c r="S66" s="97">
        <v>3148.1</v>
      </c>
      <c r="T66" s="131">
        <v>2318.17</v>
      </c>
      <c r="U66" s="97">
        <f t="shared" si="2"/>
        <v>829.92999999999984</v>
      </c>
    </row>
    <row r="67" spans="1:21" ht="20.100000000000001" customHeight="1" x14ac:dyDescent="0.25">
      <c r="A67" s="155">
        <v>53</v>
      </c>
      <c r="B67" s="99">
        <f t="shared" si="3"/>
        <v>58</v>
      </c>
      <c r="C67" s="11" t="s">
        <v>70</v>
      </c>
      <c r="D67" s="100" t="s">
        <v>124</v>
      </c>
      <c r="E67" s="101"/>
      <c r="F67" s="17" t="s">
        <v>107</v>
      </c>
      <c r="G67" s="72" t="s">
        <v>186</v>
      </c>
      <c r="H67" s="77">
        <v>24</v>
      </c>
      <c r="I67" s="75">
        <v>20</v>
      </c>
      <c r="J67" s="75">
        <v>24</v>
      </c>
      <c r="K67" s="75">
        <v>22</v>
      </c>
      <c r="L67" s="75">
        <v>16</v>
      </c>
      <c r="M67" s="97">
        <f>6122.06+2634.24+3593.96</f>
        <v>12350.259999999998</v>
      </c>
      <c r="N67" s="97">
        <v>1327.02</v>
      </c>
      <c r="O67" s="93">
        <f t="shared" si="1"/>
        <v>11023.239999999998</v>
      </c>
      <c r="P67" s="123">
        <v>7</v>
      </c>
      <c r="Q67" s="124">
        <v>7</v>
      </c>
      <c r="R67" s="124">
        <v>7</v>
      </c>
      <c r="S67" s="97">
        <f>1207.07+5904.8</f>
        <v>7111.87</v>
      </c>
      <c r="T67" s="131">
        <v>1207.07</v>
      </c>
      <c r="U67" s="97">
        <f t="shared" si="2"/>
        <v>5904.8</v>
      </c>
    </row>
    <row r="68" spans="1:21" ht="20.100000000000001" customHeight="1" x14ac:dyDescent="0.25">
      <c r="A68" s="155">
        <v>54</v>
      </c>
      <c r="B68" s="99">
        <f t="shared" si="3"/>
        <v>59</v>
      </c>
      <c r="C68" s="11" t="s">
        <v>71</v>
      </c>
      <c r="D68" s="100" t="s">
        <v>124</v>
      </c>
      <c r="E68" s="101"/>
      <c r="F68" s="17" t="s">
        <v>117</v>
      </c>
      <c r="G68" s="72" t="s">
        <v>187</v>
      </c>
      <c r="H68" s="77">
        <v>20</v>
      </c>
      <c r="I68" s="75">
        <v>11</v>
      </c>
      <c r="J68" s="75">
        <v>17</v>
      </c>
      <c r="K68" s="75">
        <v>17</v>
      </c>
      <c r="L68" s="75">
        <v>17</v>
      </c>
      <c r="M68" s="97">
        <f>4665.7+7448.87</f>
        <v>12114.57</v>
      </c>
      <c r="N68" s="97">
        <v>992.16</v>
      </c>
      <c r="O68" s="93">
        <f t="shared" si="1"/>
        <v>11122.41</v>
      </c>
      <c r="P68" s="123">
        <v>10</v>
      </c>
      <c r="Q68" s="124">
        <v>10</v>
      </c>
      <c r="R68" s="124">
        <v>10</v>
      </c>
      <c r="S68" s="97">
        <v>6249.15</v>
      </c>
      <c r="T68" s="131">
        <v>3017.19</v>
      </c>
      <c r="U68" s="97">
        <f t="shared" si="2"/>
        <v>3231.9599999999996</v>
      </c>
    </row>
    <row r="69" spans="1:21" ht="20.100000000000001" customHeight="1" x14ac:dyDescent="0.25">
      <c r="A69" s="155">
        <v>55</v>
      </c>
      <c r="B69" s="99">
        <f t="shared" si="3"/>
        <v>60</v>
      </c>
      <c r="C69" s="11" t="s">
        <v>72</v>
      </c>
      <c r="D69" s="100" t="s">
        <v>125</v>
      </c>
      <c r="E69" s="106" t="s">
        <v>126</v>
      </c>
      <c r="F69" s="17" t="s">
        <v>106</v>
      </c>
      <c r="G69" s="72" t="s">
        <v>188</v>
      </c>
      <c r="H69" s="77">
        <v>5</v>
      </c>
      <c r="I69" s="75">
        <v>1</v>
      </c>
      <c r="J69" s="75">
        <v>1</v>
      </c>
      <c r="K69" s="75">
        <v>1</v>
      </c>
      <c r="L69" s="75"/>
      <c r="M69" s="97"/>
      <c r="N69" s="97"/>
      <c r="O69" s="93">
        <f t="shared" si="1"/>
        <v>0</v>
      </c>
      <c r="P69" s="123"/>
      <c r="Q69" s="124"/>
      <c r="R69" s="124"/>
      <c r="S69" s="97"/>
      <c r="T69" s="131"/>
      <c r="U69" s="97">
        <f t="shared" si="2"/>
        <v>0</v>
      </c>
    </row>
    <row r="70" spans="1:21" ht="20.100000000000001" customHeight="1" x14ac:dyDescent="0.25">
      <c r="A70" s="155">
        <v>56</v>
      </c>
      <c r="B70" s="99">
        <f t="shared" si="3"/>
        <v>61</v>
      </c>
      <c r="C70" s="10" t="s">
        <v>73</v>
      </c>
      <c r="D70" s="100" t="s">
        <v>124</v>
      </c>
      <c r="E70" s="101"/>
      <c r="F70" s="17" t="s">
        <v>106</v>
      </c>
      <c r="G70" s="72" t="s">
        <v>189</v>
      </c>
      <c r="H70" s="77">
        <v>6</v>
      </c>
      <c r="I70" s="75"/>
      <c r="J70" s="75"/>
      <c r="K70" s="75"/>
      <c r="L70" s="75"/>
      <c r="M70" s="97"/>
      <c r="N70" s="97"/>
      <c r="O70" s="93">
        <f t="shared" si="1"/>
        <v>0</v>
      </c>
      <c r="P70" s="123">
        <v>1</v>
      </c>
      <c r="Q70" s="124">
        <v>1</v>
      </c>
      <c r="R70" s="124">
        <v>1</v>
      </c>
      <c r="S70" s="97">
        <v>551.20000000000005</v>
      </c>
      <c r="T70" s="131"/>
      <c r="U70" s="97">
        <f t="shared" si="2"/>
        <v>551.20000000000005</v>
      </c>
    </row>
    <row r="71" spans="1:21" ht="20.100000000000001" customHeight="1" x14ac:dyDescent="0.25">
      <c r="A71" s="155">
        <v>57</v>
      </c>
      <c r="B71" s="99">
        <f t="shared" si="3"/>
        <v>62</v>
      </c>
      <c r="C71" s="11" t="s">
        <v>74</v>
      </c>
      <c r="D71" s="100" t="s">
        <v>124</v>
      </c>
      <c r="E71" s="101"/>
      <c r="F71" s="17" t="s">
        <v>111</v>
      </c>
      <c r="G71" s="72" t="s">
        <v>190</v>
      </c>
      <c r="H71" s="77">
        <v>10</v>
      </c>
      <c r="I71" s="75">
        <v>3</v>
      </c>
      <c r="J71" s="75">
        <v>3</v>
      </c>
      <c r="K71" s="75">
        <v>3</v>
      </c>
      <c r="L71" s="75">
        <v>2</v>
      </c>
      <c r="M71" s="97">
        <v>2228.5</v>
      </c>
      <c r="N71" s="97">
        <v>2228.5</v>
      </c>
      <c r="O71" s="93">
        <f t="shared" si="1"/>
        <v>0</v>
      </c>
      <c r="P71" s="123">
        <v>20</v>
      </c>
      <c r="Q71" s="124">
        <v>20</v>
      </c>
      <c r="R71" s="124">
        <v>17</v>
      </c>
      <c r="S71" s="97">
        <f>27744.56+14819.18</f>
        <v>42563.740000000005</v>
      </c>
      <c r="T71" s="131">
        <v>27744.560000000001</v>
      </c>
      <c r="U71" s="97">
        <f t="shared" si="2"/>
        <v>14819.180000000004</v>
      </c>
    </row>
    <row r="72" spans="1:21" ht="20.100000000000001" customHeight="1" x14ac:dyDescent="0.25">
      <c r="A72" s="155">
        <v>58</v>
      </c>
      <c r="B72" s="99">
        <f t="shared" si="3"/>
        <v>63</v>
      </c>
      <c r="C72" s="11" t="s">
        <v>75</v>
      </c>
      <c r="D72" s="100" t="s">
        <v>124</v>
      </c>
      <c r="E72" s="101"/>
      <c r="F72" s="17" t="s">
        <v>118</v>
      </c>
      <c r="G72" s="72" t="s">
        <v>191</v>
      </c>
      <c r="H72" s="77">
        <v>6</v>
      </c>
      <c r="I72" s="75">
        <v>2</v>
      </c>
      <c r="J72" s="75">
        <v>3</v>
      </c>
      <c r="K72" s="75">
        <v>3</v>
      </c>
      <c r="L72" s="75">
        <v>2</v>
      </c>
      <c r="M72" s="97">
        <v>1163.72</v>
      </c>
      <c r="N72" s="97"/>
      <c r="O72" s="93">
        <f t="shared" si="1"/>
        <v>1163.72</v>
      </c>
      <c r="P72" s="123">
        <v>7</v>
      </c>
      <c r="Q72" s="124">
        <v>7</v>
      </c>
      <c r="R72" s="124">
        <v>7</v>
      </c>
      <c r="S72" s="97">
        <f>3959.69+961.38</f>
        <v>4921.07</v>
      </c>
      <c r="T72" s="131">
        <v>3959.69</v>
      </c>
      <c r="U72" s="97">
        <f t="shared" si="2"/>
        <v>961.37999999999965</v>
      </c>
    </row>
    <row r="73" spans="1:21" ht="20.100000000000001" customHeight="1" x14ac:dyDescent="0.25">
      <c r="A73" s="155">
        <v>59</v>
      </c>
      <c r="B73" s="99">
        <f t="shared" si="3"/>
        <v>64</v>
      </c>
      <c r="C73" s="10" t="s">
        <v>76</v>
      </c>
      <c r="D73" s="100" t="s">
        <v>124</v>
      </c>
      <c r="E73" s="101"/>
      <c r="F73" s="10" t="s">
        <v>105</v>
      </c>
      <c r="G73" s="72" t="s">
        <v>192</v>
      </c>
      <c r="H73" s="77">
        <v>9</v>
      </c>
      <c r="I73" s="75">
        <v>2</v>
      </c>
      <c r="J73" s="75">
        <v>2</v>
      </c>
      <c r="K73" s="75">
        <v>2</v>
      </c>
      <c r="L73" s="75">
        <v>2</v>
      </c>
      <c r="M73" s="97">
        <v>507.1</v>
      </c>
      <c r="N73" s="97"/>
      <c r="O73" s="93">
        <f t="shared" si="1"/>
        <v>507.1</v>
      </c>
      <c r="P73" s="123">
        <v>3</v>
      </c>
      <c r="Q73" s="124">
        <v>3</v>
      </c>
      <c r="R73" s="124">
        <v>3</v>
      </c>
      <c r="S73" s="97">
        <v>1821.06</v>
      </c>
      <c r="T73" s="131">
        <v>1821.06</v>
      </c>
      <c r="U73" s="97">
        <f t="shared" si="2"/>
        <v>0</v>
      </c>
    </row>
    <row r="74" spans="1:21" ht="20.100000000000001" customHeight="1" x14ac:dyDescent="0.25">
      <c r="B74" s="99">
        <f t="shared" si="3"/>
        <v>65</v>
      </c>
      <c r="C74" s="11" t="s">
        <v>77</v>
      </c>
      <c r="D74" s="100" t="s">
        <v>124</v>
      </c>
      <c r="E74" s="101"/>
      <c r="F74" s="10" t="s">
        <v>111</v>
      </c>
      <c r="G74" s="72" t="s">
        <v>225</v>
      </c>
      <c r="H74" s="77"/>
      <c r="I74" s="75"/>
      <c r="J74" s="75"/>
      <c r="K74" s="75"/>
      <c r="L74" s="75"/>
      <c r="M74" s="97"/>
      <c r="N74" s="97"/>
      <c r="O74" s="93">
        <f t="shared" si="1"/>
        <v>0</v>
      </c>
      <c r="P74" s="123">
        <v>1</v>
      </c>
      <c r="Q74" s="124">
        <v>1</v>
      </c>
      <c r="R74" s="124">
        <v>1</v>
      </c>
      <c r="S74" s="97">
        <v>3278.32</v>
      </c>
      <c r="T74" s="131">
        <v>3278.32</v>
      </c>
      <c r="U74" s="97">
        <f t="shared" si="2"/>
        <v>0</v>
      </c>
    </row>
    <row r="75" spans="1:21" ht="20.100000000000001" customHeight="1" x14ac:dyDescent="0.25">
      <c r="A75" s="155">
        <v>60</v>
      </c>
      <c r="B75" s="99">
        <f t="shared" ref="B75:B101" si="4">B74+1</f>
        <v>66</v>
      </c>
      <c r="C75" s="10" t="s">
        <v>78</v>
      </c>
      <c r="D75" s="100" t="s">
        <v>124</v>
      </c>
      <c r="E75" s="101"/>
      <c r="F75" s="23" t="s">
        <v>119</v>
      </c>
      <c r="G75" s="72" t="s">
        <v>193</v>
      </c>
      <c r="H75" s="77">
        <v>5</v>
      </c>
      <c r="I75" s="75"/>
      <c r="J75" s="75"/>
      <c r="K75" s="75"/>
      <c r="L75" s="75"/>
      <c r="M75" s="97"/>
      <c r="N75" s="97"/>
      <c r="O75" s="93">
        <f t="shared" ref="O75:O102" si="5" xml:space="preserve"> (M75-N75)</f>
        <v>0</v>
      </c>
      <c r="P75" s="123">
        <v>2</v>
      </c>
      <c r="Q75" s="124">
        <v>2</v>
      </c>
      <c r="R75" s="124">
        <v>2</v>
      </c>
      <c r="S75" s="97">
        <v>617.03</v>
      </c>
      <c r="T75" s="131">
        <v>617.03</v>
      </c>
      <c r="U75" s="97">
        <f t="shared" ref="U75:U102" si="6" xml:space="preserve"> (S75-T75)</f>
        <v>0</v>
      </c>
    </row>
    <row r="76" spans="1:21" ht="20.100000000000001" customHeight="1" x14ac:dyDescent="0.25">
      <c r="A76" s="155">
        <v>61</v>
      </c>
      <c r="B76" s="99">
        <f t="shared" si="4"/>
        <v>67</v>
      </c>
      <c r="C76" s="11" t="s">
        <v>79</v>
      </c>
      <c r="D76" s="100" t="s">
        <v>124</v>
      </c>
      <c r="E76" s="101"/>
      <c r="F76" s="17" t="s">
        <v>106</v>
      </c>
      <c r="G76" s="72" t="s">
        <v>194</v>
      </c>
      <c r="H76" s="77">
        <v>14</v>
      </c>
      <c r="I76" s="75">
        <v>7</v>
      </c>
      <c r="J76" s="75">
        <v>10</v>
      </c>
      <c r="K76" s="75">
        <v>10</v>
      </c>
      <c r="L76" s="75">
        <v>8</v>
      </c>
      <c r="M76" s="97">
        <f>1065.4+3931.58</f>
        <v>4996.9799999999996</v>
      </c>
      <c r="N76" s="97">
        <v>522.80999999999995</v>
      </c>
      <c r="O76" s="93">
        <f t="shared" si="5"/>
        <v>4474.17</v>
      </c>
      <c r="P76" s="123">
        <v>5</v>
      </c>
      <c r="Q76" s="124">
        <v>5</v>
      </c>
      <c r="R76" s="124">
        <v>4</v>
      </c>
      <c r="S76" s="97">
        <f>2337.1+1182.32</f>
        <v>3519.42</v>
      </c>
      <c r="T76" s="131">
        <v>373.44</v>
      </c>
      <c r="U76" s="97">
        <f t="shared" si="6"/>
        <v>3145.98</v>
      </c>
    </row>
    <row r="77" spans="1:21" ht="20.100000000000001" customHeight="1" x14ac:dyDescent="0.25">
      <c r="A77" s="155">
        <v>62</v>
      </c>
      <c r="B77" s="99">
        <f t="shared" si="4"/>
        <v>68</v>
      </c>
      <c r="C77" s="11" t="s">
        <v>80</v>
      </c>
      <c r="D77" s="100" t="s">
        <v>124</v>
      </c>
      <c r="E77" s="101"/>
      <c r="F77" s="17" t="s">
        <v>106</v>
      </c>
      <c r="G77" s="72" t="s">
        <v>195</v>
      </c>
      <c r="H77" s="77">
        <v>8</v>
      </c>
      <c r="I77" s="75">
        <v>3</v>
      </c>
      <c r="J77" s="75">
        <v>3</v>
      </c>
      <c r="K77" s="75">
        <v>3</v>
      </c>
      <c r="L77" s="75">
        <v>2</v>
      </c>
      <c r="M77" s="97">
        <f>3034.57</f>
        <v>3034.57</v>
      </c>
      <c r="N77" s="97"/>
      <c r="O77" s="93">
        <f t="shared" si="5"/>
        <v>3034.57</v>
      </c>
      <c r="P77" s="123"/>
      <c r="Q77" s="124"/>
      <c r="R77" s="124"/>
      <c r="S77" s="97"/>
      <c r="T77" s="131"/>
      <c r="U77" s="97">
        <f t="shared" si="6"/>
        <v>0</v>
      </c>
    </row>
    <row r="78" spans="1:21" ht="20.100000000000001" customHeight="1" x14ac:dyDescent="0.25">
      <c r="B78" s="99">
        <f t="shared" si="4"/>
        <v>69</v>
      </c>
      <c r="C78" s="14" t="s">
        <v>81</v>
      </c>
      <c r="D78" s="100" t="s">
        <v>124</v>
      </c>
      <c r="E78" s="101"/>
      <c r="F78" s="10" t="s">
        <v>106</v>
      </c>
      <c r="G78" s="72" t="s">
        <v>226</v>
      </c>
      <c r="H78" s="77"/>
      <c r="I78" s="75"/>
      <c r="J78" s="75"/>
      <c r="K78" s="75"/>
      <c r="L78" s="75"/>
      <c r="M78" s="97"/>
      <c r="N78" s="97"/>
      <c r="O78" s="93">
        <f t="shared" si="5"/>
        <v>0</v>
      </c>
      <c r="P78" s="123">
        <v>8</v>
      </c>
      <c r="Q78" s="124">
        <v>8</v>
      </c>
      <c r="R78" s="124">
        <v>8</v>
      </c>
      <c r="S78" s="97">
        <v>3889.76</v>
      </c>
      <c r="T78" s="131">
        <v>3889.76</v>
      </c>
      <c r="U78" s="97">
        <f t="shared" si="6"/>
        <v>0</v>
      </c>
    </row>
    <row r="79" spans="1:21" ht="20.100000000000001" customHeight="1" x14ac:dyDescent="0.25">
      <c r="A79" s="155">
        <v>63</v>
      </c>
      <c r="B79" s="99">
        <f t="shared" si="4"/>
        <v>70</v>
      </c>
      <c r="C79" s="14" t="s">
        <v>82</v>
      </c>
      <c r="D79" s="100" t="s">
        <v>124</v>
      </c>
      <c r="E79" s="101"/>
      <c r="F79" s="10" t="s">
        <v>106</v>
      </c>
      <c r="G79" s="72" t="s">
        <v>196</v>
      </c>
      <c r="H79" s="77">
        <v>11</v>
      </c>
      <c r="I79" s="75">
        <v>1</v>
      </c>
      <c r="J79" s="75">
        <v>2</v>
      </c>
      <c r="K79" s="75">
        <v>2</v>
      </c>
      <c r="L79" s="75">
        <v>2</v>
      </c>
      <c r="M79" s="97">
        <f>272.84+664.75</f>
        <v>937.58999999999992</v>
      </c>
      <c r="N79" s="97">
        <v>272.83999999999997</v>
      </c>
      <c r="O79" s="93">
        <f t="shared" si="5"/>
        <v>664.75</v>
      </c>
      <c r="P79" s="123">
        <v>1</v>
      </c>
      <c r="Q79" s="124">
        <v>1</v>
      </c>
      <c r="R79" s="124">
        <v>1</v>
      </c>
      <c r="S79" s="97">
        <v>275.60000000000002</v>
      </c>
      <c r="T79" s="131">
        <v>275.60000000000002</v>
      </c>
      <c r="U79" s="97">
        <f t="shared" si="6"/>
        <v>0</v>
      </c>
    </row>
    <row r="80" spans="1:21" ht="20.100000000000001" customHeight="1" x14ac:dyDescent="0.25">
      <c r="A80" s="155">
        <v>64</v>
      </c>
      <c r="B80" s="99">
        <f t="shared" si="4"/>
        <v>71</v>
      </c>
      <c r="C80" s="14" t="s">
        <v>83</v>
      </c>
      <c r="D80" s="100" t="s">
        <v>124</v>
      </c>
      <c r="E80" s="101"/>
      <c r="F80" s="10" t="s">
        <v>106</v>
      </c>
      <c r="G80" s="72" t="s">
        <v>197</v>
      </c>
      <c r="H80" s="77">
        <v>12</v>
      </c>
      <c r="I80" s="75">
        <v>3</v>
      </c>
      <c r="J80" s="75">
        <v>3</v>
      </c>
      <c r="K80" s="75">
        <v>3</v>
      </c>
      <c r="L80" s="75">
        <v>3</v>
      </c>
      <c r="M80" s="97">
        <f>531.74+1660.98</f>
        <v>2192.7200000000003</v>
      </c>
      <c r="N80" s="97">
        <v>531.74</v>
      </c>
      <c r="O80" s="93">
        <f t="shared" si="5"/>
        <v>1660.9800000000002</v>
      </c>
      <c r="P80" s="123">
        <v>6</v>
      </c>
      <c r="Q80" s="124">
        <v>6</v>
      </c>
      <c r="R80" s="124">
        <v>6</v>
      </c>
      <c r="S80" s="97">
        <f>12327.43+413.4</f>
        <v>12740.83</v>
      </c>
      <c r="T80" s="131">
        <v>12327.43</v>
      </c>
      <c r="U80" s="97">
        <f t="shared" si="6"/>
        <v>413.39999999999964</v>
      </c>
    </row>
    <row r="81" spans="1:21" ht="20.100000000000001" customHeight="1" x14ac:dyDescent="0.25">
      <c r="A81" s="155">
        <v>65</v>
      </c>
      <c r="B81" s="99">
        <f t="shared" si="4"/>
        <v>72</v>
      </c>
      <c r="C81" s="11" t="s">
        <v>84</v>
      </c>
      <c r="D81" s="100" t="s">
        <v>124</v>
      </c>
      <c r="E81" s="101"/>
      <c r="F81" s="10" t="s">
        <v>120</v>
      </c>
      <c r="G81" s="72" t="s">
        <v>198</v>
      </c>
      <c r="H81" s="77">
        <v>1</v>
      </c>
      <c r="I81" s="75"/>
      <c r="J81" s="75"/>
      <c r="K81" s="75"/>
      <c r="L81" s="75"/>
      <c r="M81" s="97"/>
      <c r="N81" s="97"/>
      <c r="O81" s="93">
        <f t="shared" si="5"/>
        <v>0</v>
      </c>
      <c r="P81" s="123"/>
      <c r="Q81" s="124"/>
      <c r="R81" s="124"/>
      <c r="S81" s="97"/>
      <c r="T81" s="131"/>
      <c r="U81" s="97">
        <f t="shared" si="6"/>
        <v>0</v>
      </c>
    </row>
    <row r="82" spans="1:21" ht="20.100000000000001" customHeight="1" x14ac:dyDescent="0.25">
      <c r="A82" s="155">
        <v>66</v>
      </c>
      <c r="B82" s="99">
        <f t="shared" si="4"/>
        <v>73</v>
      </c>
      <c r="C82" s="13" t="s">
        <v>85</v>
      </c>
      <c r="D82" s="100" t="s">
        <v>124</v>
      </c>
      <c r="E82" s="101"/>
      <c r="F82" s="19" t="s">
        <v>106</v>
      </c>
      <c r="G82" s="72" t="s">
        <v>199</v>
      </c>
      <c r="H82" s="77">
        <v>13</v>
      </c>
      <c r="I82" s="75">
        <v>5</v>
      </c>
      <c r="J82" s="75">
        <v>5</v>
      </c>
      <c r="K82" s="75">
        <v>5</v>
      </c>
      <c r="L82" s="75">
        <v>4</v>
      </c>
      <c r="M82" s="97">
        <v>2282.25</v>
      </c>
      <c r="N82" s="97"/>
      <c r="O82" s="93">
        <f t="shared" si="5"/>
        <v>2282.25</v>
      </c>
      <c r="P82" s="123">
        <v>6</v>
      </c>
      <c r="Q82" s="124">
        <v>6</v>
      </c>
      <c r="R82" s="124">
        <v>6</v>
      </c>
      <c r="S82" s="97">
        <f>15935.59+881.06</f>
        <v>16816.650000000001</v>
      </c>
      <c r="T82" s="131">
        <v>5274.97</v>
      </c>
      <c r="U82" s="97">
        <f t="shared" si="6"/>
        <v>11541.68</v>
      </c>
    </row>
    <row r="83" spans="1:21" ht="20.100000000000001" customHeight="1" x14ac:dyDescent="0.25">
      <c r="A83" s="155">
        <v>67</v>
      </c>
      <c r="B83" s="99">
        <f t="shared" si="4"/>
        <v>74</v>
      </c>
      <c r="C83" s="10" t="s">
        <v>86</v>
      </c>
      <c r="D83" s="100" t="s">
        <v>124</v>
      </c>
      <c r="E83" s="101"/>
      <c r="F83" s="22" t="s">
        <v>118</v>
      </c>
      <c r="G83" s="72" t="s">
        <v>200</v>
      </c>
      <c r="H83" s="77">
        <v>10</v>
      </c>
      <c r="I83" s="75">
        <v>11</v>
      </c>
      <c r="J83" s="75">
        <v>11</v>
      </c>
      <c r="K83" s="75">
        <v>7</v>
      </c>
      <c r="L83" s="75">
        <v>7</v>
      </c>
      <c r="M83" s="97">
        <f>2803.04+5035.5</f>
        <v>7838.54</v>
      </c>
      <c r="N83" s="97">
        <v>2803.04</v>
      </c>
      <c r="O83" s="93">
        <f t="shared" si="5"/>
        <v>5035.5</v>
      </c>
      <c r="P83" s="123">
        <v>9</v>
      </c>
      <c r="Q83" s="124">
        <v>6</v>
      </c>
      <c r="R83" s="124">
        <v>6</v>
      </c>
      <c r="S83" s="97">
        <f>6465.89+3406.65</f>
        <v>9872.5400000000009</v>
      </c>
      <c r="T83" s="131">
        <v>6465.89</v>
      </c>
      <c r="U83" s="97">
        <f t="shared" si="6"/>
        <v>3406.6500000000005</v>
      </c>
    </row>
    <row r="84" spans="1:21" ht="20.100000000000001" customHeight="1" x14ac:dyDescent="0.25">
      <c r="A84" s="155">
        <v>68</v>
      </c>
      <c r="B84" s="99">
        <f t="shared" si="4"/>
        <v>75</v>
      </c>
      <c r="C84" s="10" t="s">
        <v>87</v>
      </c>
      <c r="D84" s="100" t="s">
        <v>124</v>
      </c>
      <c r="E84" s="101"/>
      <c r="F84" s="22" t="s">
        <v>115</v>
      </c>
      <c r="G84" s="72" t="s">
        <v>201</v>
      </c>
      <c r="H84" s="77">
        <v>10</v>
      </c>
      <c r="I84" s="75">
        <v>3</v>
      </c>
      <c r="J84" s="75">
        <v>4</v>
      </c>
      <c r="K84" s="75">
        <v>4</v>
      </c>
      <c r="L84" s="75">
        <v>3</v>
      </c>
      <c r="M84" s="97">
        <f>409.27+3438.52</f>
        <v>3847.79</v>
      </c>
      <c r="N84" s="97">
        <v>409.27</v>
      </c>
      <c r="O84" s="93">
        <f t="shared" si="5"/>
        <v>3438.52</v>
      </c>
      <c r="P84" s="123">
        <v>1</v>
      </c>
      <c r="Q84" s="124">
        <v>1</v>
      </c>
      <c r="R84" s="124">
        <v>1</v>
      </c>
      <c r="S84" s="97">
        <v>1515.31</v>
      </c>
      <c r="T84" s="131"/>
      <c r="U84" s="97">
        <f t="shared" si="6"/>
        <v>1515.31</v>
      </c>
    </row>
    <row r="85" spans="1:21" ht="20.100000000000001" customHeight="1" x14ac:dyDescent="0.25">
      <c r="A85" s="155">
        <v>70</v>
      </c>
      <c r="B85" s="99">
        <f t="shared" si="4"/>
        <v>76</v>
      </c>
      <c r="C85" s="11" t="s">
        <v>88</v>
      </c>
      <c r="D85" s="100" t="s">
        <v>124</v>
      </c>
      <c r="E85" s="101"/>
      <c r="F85" s="17" t="s">
        <v>121</v>
      </c>
      <c r="G85" s="72" t="s">
        <v>203</v>
      </c>
      <c r="H85" s="77">
        <v>16</v>
      </c>
      <c r="I85" s="75">
        <v>10</v>
      </c>
      <c r="J85" s="75">
        <v>18</v>
      </c>
      <c r="K85" s="75">
        <v>18</v>
      </c>
      <c r="L85" s="75">
        <v>13</v>
      </c>
      <c r="M85" s="97">
        <f>4781.94+3598.27</f>
        <v>8380.2099999999991</v>
      </c>
      <c r="N85" s="97"/>
      <c r="O85" s="93">
        <f t="shared" si="5"/>
        <v>8380.2099999999991</v>
      </c>
      <c r="P85" s="123">
        <v>6</v>
      </c>
      <c r="Q85" s="124">
        <v>5</v>
      </c>
      <c r="R85" s="124">
        <v>5</v>
      </c>
      <c r="S85" s="97">
        <f>2068.47+2492.49</f>
        <v>4560.9599999999991</v>
      </c>
      <c r="T85" s="131"/>
      <c r="U85" s="97">
        <f t="shared" si="6"/>
        <v>4560.9599999999991</v>
      </c>
    </row>
    <row r="86" spans="1:21" ht="20.100000000000001" customHeight="1" x14ac:dyDescent="0.25">
      <c r="A86" s="155">
        <v>69</v>
      </c>
      <c r="B86" s="99">
        <f t="shared" si="4"/>
        <v>77</v>
      </c>
      <c r="C86" s="14" t="s">
        <v>89</v>
      </c>
      <c r="D86" s="100" t="s">
        <v>124</v>
      </c>
      <c r="E86" s="101"/>
      <c r="F86" s="19" t="s">
        <v>106</v>
      </c>
      <c r="G86" s="72" t="s">
        <v>202</v>
      </c>
      <c r="H86" s="77">
        <v>7</v>
      </c>
      <c r="I86" s="75"/>
      <c r="J86" s="75"/>
      <c r="K86" s="75"/>
      <c r="L86" s="75"/>
      <c r="M86" s="97"/>
      <c r="N86" s="97"/>
      <c r="O86" s="93">
        <f t="shared" si="5"/>
        <v>0</v>
      </c>
      <c r="P86" s="123">
        <v>2</v>
      </c>
      <c r="Q86" s="124">
        <v>2</v>
      </c>
      <c r="R86" s="124">
        <v>2</v>
      </c>
      <c r="S86" s="97">
        <v>839.18</v>
      </c>
      <c r="T86" s="131">
        <v>839.18</v>
      </c>
      <c r="U86" s="97">
        <f t="shared" si="6"/>
        <v>0</v>
      </c>
    </row>
    <row r="87" spans="1:21" ht="20.100000000000001" customHeight="1" x14ac:dyDescent="0.25">
      <c r="A87" s="155">
        <v>71</v>
      </c>
      <c r="B87" s="99">
        <f t="shared" si="4"/>
        <v>78</v>
      </c>
      <c r="C87" s="14" t="s">
        <v>90</v>
      </c>
      <c r="D87" s="100" t="s">
        <v>124</v>
      </c>
      <c r="E87" s="101"/>
      <c r="F87" s="19" t="s">
        <v>106</v>
      </c>
      <c r="G87" s="72" t="s">
        <v>204</v>
      </c>
      <c r="H87" s="77">
        <v>4</v>
      </c>
      <c r="I87" s="75">
        <v>4</v>
      </c>
      <c r="J87" s="75">
        <v>4</v>
      </c>
      <c r="K87" s="75">
        <v>4</v>
      </c>
      <c r="L87" s="75">
        <v>4</v>
      </c>
      <c r="M87" s="97">
        <f>795.8+4099.92</f>
        <v>4895.72</v>
      </c>
      <c r="N87" s="97">
        <v>250.11</v>
      </c>
      <c r="O87" s="93">
        <f t="shared" si="5"/>
        <v>4645.6100000000006</v>
      </c>
      <c r="P87" s="123">
        <v>5</v>
      </c>
      <c r="Q87" s="124">
        <v>4</v>
      </c>
      <c r="R87" s="124">
        <v>4</v>
      </c>
      <c r="S87" s="97">
        <f>2723.78+3718.48</f>
        <v>6442.26</v>
      </c>
      <c r="T87" s="131">
        <v>2723.78</v>
      </c>
      <c r="U87" s="97">
        <f t="shared" si="6"/>
        <v>3718.48</v>
      </c>
    </row>
    <row r="88" spans="1:21" ht="20.100000000000001" customHeight="1" x14ac:dyDescent="0.25">
      <c r="B88" s="99">
        <f t="shared" si="4"/>
        <v>79</v>
      </c>
      <c r="C88" s="10" t="s">
        <v>91</v>
      </c>
      <c r="D88" s="100" t="s">
        <v>124</v>
      </c>
      <c r="E88" s="101"/>
      <c r="F88" s="17" t="s">
        <v>111</v>
      </c>
      <c r="G88" s="72" t="s">
        <v>231</v>
      </c>
      <c r="H88" s="77">
        <v>1</v>
      </c>
      <c r="I88" s="75"/>
      <c r="J88" s="75"/>
      <c r="K88" s="75"/>
      <c r="L88" s="75"/>
      <c r="M88" s="97"/>
      <c r="N88" s="97"/>
      <c r="O88" s="93">
        <f t="shared" si="5"/>
        <v>0</v>
      </c>
      <c r="P88" s="123">
        <v>6</v>
      </c>
      <c r="Q88" s="124">
        <v>6</v>
      </c>
      <c r="R88" s="124">
        <v>6</v>
      </c>
      <c r="S88" s="97">
        <v>7502.29</v>
      </c>
      <c r="T88" s="131">
        <v>7502.29</v>
      </c>
      <c r="U88" s="97">
        <f t="shared" si="6"/>
        <v>0</v>
      </c>
    </row>
    <row r="89" spans="1:21" ht="20.100000000000001" customHeight="1" x14ac:dyDescent="0.25">
      <c r="A89" s="155">
        <v>72</v>
      </c>
      <c r="B89" s="99">
        <f t="shared" si="4"/>
        <v>80</v>
      </c>
      <c r="C89" s="10" t="s">
        <v>92</v>
      </c>
      <c r="D89" s="100" t="s">
        <v>124</v>
      </c>
      <c r="E89" s="101"/>
      <c r="F89" s="19" t="s">
        <v>106</v>
      </c>
      <c r="G89" s="72" t="s">
        <v>205</v>
      </c>
      <c r="H89" s="77">
        <v>4</v>
      </c>
      <c r="I89" s="75">
        <v>1</v>
      </c>
      <c r="J89" s="75">
        <v>2</v>
      </c>
      <c r="K89" s="75">
        <v>2</v>
      </c>
      <c r="L89" s="75">
        <v>2</v>
      </c>
      <c r="M89" s="97">
        <f>725.77+1768.23</f>
        <v>2494</v>
      </c>
      <c r="N89" s="97"/>
      <c r="O89" s="93">
        <f t="shared" si="5"/>
        <v>2494</v>
      </c>
      <c r="P89" s="123">
        <v>4</v>
      </c>
      <c r="Q89" s="124">
        <v>4</v>
      </c>
      <c r="R89" s="124">
        <v>4</v>
      </c>
      <c r="S89" s="97">
        <f>8161.92+1118.75</f>
        <v>9280.67</v>
      </c>
      <c r="T89" s="131">
        <v>5032.46</v>
      </c>
      <c r="U89" s="97">
        <f t="shared" si="6"/>
        <v>4248.21</v>
      </c>
    </row>
    <row r="90" spans="1:21" ht="20.100000000000001" customHeight="1" x14ac:dyDescent="0.25">
      <c r="A90" s="155">
        <v>73</v>
      </c>
      <c r="B90" s="99">
        <f t="shared" si="4"/>
        <v>81</v>
      </c>
      <c r="C90" s="11" t="s">
        <v>93</v>
      </c>
      <c r="D90" s="100" t="s">
        <v>124</v>
      </c>
      <c r="E90" s="101"/>
      <c r="F90" s="17" t="s">
        <v>122</v>
      </c>
      <c r="G90" s="72" t="s">
        <v>206</v>
      </c>
      <c r="H90" s="77">
        <v>19</v>
      </c>
      <c r="I90" s="75">
        <v>12</v>
      </c>
      <c r="J90" s="75">
        <v>22</v>
      </c>
      <c r="K90" s="75">
        <v>22</v>
      </c>
      <c r="L90" s="75">
        <v>20</v>
      </c>
      <c r="M90" s="97">
        <f>2814.78+10694.95</f>
        <v>13509.730000000001</v>
      </c>
      <c r="N90" s="97">
        <f>2814.78</f>
        <v>2814.78</v>
      </c>
      <c r="O90" s="93">
        <f t="shared" si="5"/>
        <v>10694.95</v>
      </c>
      <c r="P90" s="123">
        <v>8</v>
      </c>
      <c r="Q90" s="124">
        <v>7</v>
      </c>
      <c r="R90" s="124">
        <v>7</v>
      </c>
      <c r="S90" s="97">
        <f>2624.93</f>
        <v>2624.93</v>
      </c>
      <c r="T90" s="131"/>
      <c r="U90" s="97">
        <f t="shared" si="6"/>
        <v>2624.93</v>
      </c>
    </row>
    <row r="91" spans="1:21" ht="20.100000000000001" customHeight="1" x14ac:dyDescent="0.25">
      <c r="A91" s="155">
        <v>74</v>
      </c>
      <c r="B91" s="99">
        <f t="shared" si="4"/>
        <v>82</v>
      </c>
      <c r="C91" s="11" t="s">
        <v>94</v>
      </c>
      <c r="D91" s="100" t="s">
        <v>124</v>
      </c>
      <c r="E91" s="101"/>
      <c r="F91" s="19" t="s">
        <v>106</v>
      </c>
      <c r="G91" s="72" t="s">
        <v>218</v>
      </c>
      <c r="H91" s="77">
        <v>9</v>
      </c>
      <c r="I91" s="75">
        <v>5</v>
      </c>
      <c r="J91" s="75">
        <v>10</v>
      </c>
      <c r="K91" s="75">
        <v>10</v>
      </c>
      <c r="L91" s="75">
        <v>5</v>
      </c>
      <c r="M91" s="97">
        <f>1255.05+1986.57</f>
        <v>3241.62</v>
      </c>
      <c r="N91" s="97">
        <v>1255.05</v>
      </c>
      <c r="O91" s="93">
        <f t="shared" si="5"/>
        <v>1986.57</v>
      </c>
      <c r="P91" s="123">
        <v>6</v>
      </c>
      <c r="Q91" s="124">
        <v>6</v>
      </c>
      <c r="R91" s="124">
        <v>6</v>
      </c>
      <c r="S91" s="97">
        <f>6219.66+748.35</f>
        <v>6968.01</v>
      </c>
      <c r="T91" s="131">
        <f>6219.66</f>
        <v>6219.66</v>
      </c>
      <c r="U91" s="97">
        <f t="shared" si="6"/>
        <v>748.35000000000036</v>
      </c>
    </row>
    <row r="92" spans="1:21" ht="20.100000000000001" customHeight="1" x14ac:dyDescent="0.25">
      <c r="A92" s="155">
        <v>75</v>
      </c>
      <c r="B92" s="99">
        <f t="shared" si="4"/>
        <v>83</v>
      </c>
      <c r="C92" s="11" t="s">
        <v>95</v>
      </c>
      <c r="D92" s="100" t="s">
        <v>124</v>
      </c>
      <c r="E92" s="101"/>
      <c r="F92" s="19" t="s">
        <v>123</v>
      </c>
      <c r="G92" s="72" t="s">
        <v>217</v>
      </c>
      <c r="H92" s="77">
        <v>11</v>
      </c>
      <c r="I92" s="75">
        <v>10</v>
      </c>
      <c r="J92" s="75">
        <v>12</v>
      </c>
      <c r="K92" s="75">
        <v>9</v>
      </c>
      <c r="L92" s="75">
        <v>9</v>
      </c>
      <c r="M92" s="97">
        <f>2301.54+4352.56</f>
        <v>6654.1</v>
      </c>
      <c r="N92" s="97"/>
      <c r="O92" s="93">
        <f t="shared" si="5"/>
        <v>6654.1</v>
      </c>
      <c r="P92" s="123">
        <v>1</v>
      </c>
      <c r="Q92" s="124">
        <v>1</v>
      </c>
      <c r="R92" s="124">
        <v>1</v>
      </c>
      <c r="S92" s="97">
        <v>206.7</v>
      </c>
      <c r="T92" s="131">
        <v>206.7</v>
      </c>
      <c r="U92" s="97">
        <f t="shared" si="6"/>
        <v>0</v>
      </c>
    </row>
    <row r="93" spans="1:21" ht="20.100000000000001" customHeight="1" x14ac:dyDescent="0.25">
      <c r="A93" s="155">
        <v>76</v>
      </c>
      <c r="B93" s="99">
        <f t="shared" si="4"/>
        <v>84</v>
      </c>
      <c r="C93" s="11" t="s">
        <v>96</v>
      </c>
      <c r="D93" s="100" t="s">
        <v>124</v>
      </c>
      <c r="E93" s="101"/>
      <c r="F93" s="22" t="s">
        <v>112</v>
      </c>
      <c r="G93" s="72" t="s">
        <v>216</v>
      </c>
      <c r="H93" s="77">
        <v>31</v>
      </c>
      <c r="I93" s="75">
        <v>14</v>
      </c>
      <c r="J93" s="75">
        <v>18</v>
      </c>
      <c r="K93" s="75">
        <v>17</v>
      </c>
      <c r="L93" s="75">
        <v>10</v>
      </c>
      <c r="M93" s="97">
        <v>4236.8100000000004</v>
      </c>
      <c r="N93" s="97"/>
      <c r="O93" s="93">
        <f t="shared" si="5"/>
        <v>4236.8100000000004</v>
      </c>
      <c r="P93" s="123">
        <v>8</v>
      </c>
      <c r="Q93" s="124">
        <v>7</v>
      </c>
      <c r="R93" s="124">
        <v>5</v>
      </c>
      <c r="S93" s="97">
        <f>5838.31+135.69</f>
        <v>5974</v>
      </c>
      <c r="T93" s="131">
        <v>5838.31</v>
      </c>
      <c r="U93" s="97">
        <f t="shared" si="6"/>
        <v>135.6899999999996</v>
      </c>
    </row>
    <row r="94" spans="1:21" ht="20.100000000000001" customHeight="1" x14ac:dyDescent="0.25">
      <c r="A94" s="155">
        <v>77</v>
      </c>
      <c r="B94" s="99">
        <f t="shared" si="4"/>
        <v>85</v>
      </c>
      <c r="C94" s="11" t="s">
        <v>97</v>
      </c>
      <c r="D94" s="100" t="s">
        <v>124</v>
      </c>
      <c r="E94" s="101"/>
      <c r="F94" s="17" t="s">
        <v>111</v>
      </c>
      <c r="G94" s="72" t="s">
        <v>215</v>
      </c>
      <c r="H94" s="77">
        <v>14</v>
      </c>
      <c r="I94" s="75">
        <v>5</v>
      </c>
      <c r="J94" s="75">
        <v>6</v>
      </c>
      <c r="K94" s="75">
        <v>5</v>
      </c>
      <c r="L94" s="75">
        <v>4</v>
      </c>
      <c r="M94" s="97">
        <v>3291.36</v>
      </c>
      <c r="N94" s="97"/>
      <c r="O94" s="93">
        <f t="shared" si="5"/>
        <v>3291.36</v>
      </c>
      <c r="P94" s="123">
        <v>19</v>
      </c>
      <c r="Q94" s="124">
        <v>19</v>
      </c>
      <c r="R94" s="124">
        <v>19</v>
      </c>
      <c r="S94" s="97">
        <f>18253.04+4245.2</f>
        <v>22498.240000000002</v>
      </c>
      <c r="T94" s="131">
        <v>18253.04</v>
      </c>
      <c r="U94" s="97">
        <f t="shared" si="6"/>
        <v>4245.2000000000007</v>
      </c>
    </row>
    <row r="95" spans="1:21" ht="20.100000000000001" customHeight="1" x14ac:dyDescent="0.25">
      <c r="A95" s="155">
        <v>78</v>
      </c>
      <c r="B95" s="99">
        <f t="shared" si="4"/>
        <v>86</v>
      </c>
      <c r="C95" s="10" t="s">
        <v>98</v>
      </c>
      <c r="D95" s="100" t="s">
        <v>124</v>
      </c>
      <c r="E95" s="101"/>
      <c r="F95" s="19" t="s">
        <v>106</v>
      </c>
      <c r="G95" s="72" t="s">
        <v>214</v>
      </c>
      <c r="H95" s="77">
        <v>18</v>
      </c>
      <c r="I95" s="75">
        <v>3</v>
      </c>
      <c r="J95" s="75">
        <v>3</v>
      </c>
      <c r="K95" s="75">
        <v>3</v>
      </c>
      <c r="L95" s="75">
        <v>3</v>
      </c>
      <c r="M95" s="97">
        <f>413.4+1061.4</f>
        <v>1474.8000000000002</v>
      </c>
      <c r="N95" s="97">
        <v>413.4</v>
      </c>
      <c r="O95" s="93">
        <f t="shared" si="5"/>
        <v>1061.4000000000001</v>
      </c>
      <c r="P95" s="123">
        <v>11</v>
      </c>
      <c r="Q95" s="124">
        <v>11</v>
      </c>
      <c r="R95" s="124">
        <v>10</v>
      </c>
      <c r="S95" s="97">
        <f>22276.25+1366.6</f>
        <v>23642.85</v>
      </c>
      <c r="T95" s="131">
        <v>22276.25</v>
      </c>
      <c r="U95" s="97">
        <f t="shared" si="6"/>
        <v>1366.5999999999985</v>
      </c>
    </row>
    <row r="96" spans="1:21" ht="20.100000000000001" customHeight="1" x14ac:dyDescent="0.25">
      <c r="A96" s="155">
        <v>80</v>
      </c>
      <c r="B96" s="99">
        <f t="shared" si="4"/>
        <v>87</v>
      </c>
      <c r="C96" s="10" t="s">
        <v>129</v>
      </c>
      <c r="D96" s="100" t="s">
        <v>124</v>
      </c>
      <c r="E96" s="101"/>
      <c r="F96" s="19" t="s">
        <v>106</v>
      </c>
      <c r="G96" s="72" t="s">
        <v>212</v>
      </c>
      <c r="H96" s="77">
        <v>7</v>
      </c>
      <c r="I96" s="75"/>
      <c r="J96" s="75"/>
      <c r="K96" s="75"/>
      <c r="L96" s="75"/>
      <c r="M96" s="97"/>
      <c r="N96" s="97"/>
      <c r="O96" s="93">
        <f t="shared" si="5"/>
        <v>0</v>
      </c>
      <c r="P96" s="123"/>
      <c r="Q96" s="124"/>
      <c r="R96" s="124"/>
      <c r="S96" s="97"/>
      <c r="T96" s="131"/>
      <c r="U96" s="97">
        <f t="shared" si="6"/>
        <v>0</v>
      </c>
    </row>
    <row r="97" spans="1:33" ht="20.100000000000001" customHeight="1" x14ac:dyDescent="0.25">
      <c r="A97" s="155">
        <v>79</v>
      </c>
      <c r="B97" s="99">
        <f t="shared" si="4"/>
        <v>88</v>
      </c>
      <c r="C97" s="10" t="s">
        <v>99</v>
      </c>
      <c r="D97" s="100" t="s">
        <v>124</v>
      </c>
      <c r="E97" s="101"/>
      <c r="F97" s="19" t="s">
        <v>106</v>
      </c>
      <c r="G97" s="72" t="s">
        <v>213</v>
      </c>
      <c r="H97" s="77">
        <v>7</v>
      </c>
      <c r="I97" s="75">
        <v>5</v>
      </c>
      <c r="J97" s="75">
        <v>5</v>
      </c>
      <c r="K97" s="75">
        <v>4</v>
      </c>
      <c r="L97" s="75">
        <v>4</v>
      </c>
      <c r="M97" s="97">
        <f>1545.67+969.43</f>
        <v>2515.1</v>
      </c>
      <c r="N97" s="97">
        <v>408.82</v>
      </c>
      <c r="O97" s="93">
        <f t="shared" si="5"/>
        <v>2106.2799999999997</v>
      </c>
      <c r="P97" s="123">
        <v>4</v>
      </c>
      <c r="Q97" s="124">
        <v>4</v>
      </c>
      <c r="R97" s="124">
        <v>4</v>
      </c>
      <c r="S97" s="97">
        <v>1744.35</v>
      </c>
      <c r="T97" s="131">
        <v>822.22</v>
      </c>
      <c r="U97" s="97">
        <f t="shared" si="6"/>
        <v>922.12999999999988</v>
      </c>
    </row>
    <row r="98" spans="1:33" ht="20.100000000000001" customHeight="1" x14ac:dyDescent="0.25">
      <c r="A98" s="155">
        <v>81</v>
      </c>
      <c r="B98" s="99">
        <f t="shared" si="4"/>
        <v>89</v>
      </c>
      <c r="C98" s="13" t="s">
        <v>100</v>
      </c>
      <c r="D98" s="100" t="s">
        <v>124</v>
      </c>
      <c r="E98" s="101"/>
      <c r="F98" s="19" t="s">
        <v>106</v>
      </c>
      <c r="G98" s="72" t="s">
        <v>211</v>
      </c>
      <c r="H98" s="77">
        <v>10</v>
      </c>
      <c r="I98" s="75">
        <v>3</v>
      </c>
      <c r="J98" s="75">
        <v>3</v>
      </c>
      <c r="K98" s="75">
        <v>3</v>
      </c>
      <c r="L98" s="75">
        <v>2</v>
      </c>
      <c r="M98" s="97">
        <v>482.3</v>
      </c>
      <c r="N98" s="97"/>
      <c r="O98" s="93">
        <f t="shared" si="5"/>
        <v>482.3</v>
      </c>
      <c r="P98" s="123">
        <v>7</v>
      </c>
      <c r="Q98" s="124">
        <v>7</v>
      </c>
      <c r="R98" s="124">
        <v>6</v>
      </c>
      <c r="S98" s="97">
        <f>6457+964.6</f>
        <v>7421.6</v>
      </c>
      <c r="T98" s="131">
        <v>6457</v>
      </c>
      <c r="U98" s="97">
        <f t="shared" si="6"/>
        <v>964.60000000000036</v>
      </c>
    </row>
    <row r="99" spans="1:33" ht="20.100000000000001" customHeight="1" x14ac:dyDescent="0.25">
      <c r="A99" s="155">
        <v>82</v>
      </c>
      <c r="B99" s="99">
        <f t="shared" si="4"/>
        <v>90</v>
      </c>
      <c r="C99" s="13" t="s">
        <v>101</v>
      </c>
      <c r="D99" s="100" t="s">
        <v>124</v>
      </c>
      <c r="E99" s="101"/>
      <c r="F99" s="17" t="s">
        <v>106</v>
      </c>
      <c r="G99" s="72" t="s">
        <v>210</v>
      </c>
      <c r="H99" s="77">
        <v>10</v>
      </c>
      <c r="I99" s="75">
        <v>4</v>
      </c>
      <c r="J99" s="75">
        <v>5</v>
      </c>
      <c r="K99" s="75">
        <v>5</v>
      </c>
      <c r="L99" s="75">
        <v>1</v>
      </c>
      <c r="M99" s="97">
        <v>545.69000000000005</v>
      </c>
      <c r="N99" s="97"/>
      <c r="O99" s="93">
        <f t="shared" si="5"/>
        <v>545.69000000000005</v>
      </c>
      <c r="P99" s="123">
        <v>8</v>
      </c>
      <c r="Q99" s="124">
        <v>8</v>
      </c>
      <c r="R99" s="124">
        <v>6</v>
      </c>
      <c r="S99" s="97">
        <v>5077.71</v>
      </c>
      <c r="T99" s="131">
        <v>2190.71</v>
      </c>
      <c r="U99" s="97">
        <f t="shared" si="6"/>
        <v>2887</v>
      </c>
    </row>
    <row r="100" spans="1:33" ht="20.100000000000001" customHeight="1" x14ac:dyDescent="0.25">
      <c r="A100" s="155">
        <v>83</v>
      </c>
      <c r="B100" s="99">
        <f t="shared" si="4"/>
        <v>91</v>
      </c>
      <c r="C100" s="13" t="s">
        <v>102</v>
      </c>
      <c r="D100" s="100" t="s">
        <v>124</v>
      </c>
      <c r="E100" s="101"/>
      <c r="F100" s="17" t="s">
        <v>106</v>
      </c>
      <c r="G100" s="72" t="s">
        <v>209</v>
      </c>
      <c r="H100" s="77">
        <v>11</v>
      </c>
      <c r="I100" s="75">
        <v>5</v>
      </c>
      <c r="J100" s="75">
        <v>6</v>
      </c>
      <c r="K100" s="75">
        <v>6</v>
      </c>
      <c r="L100" s="75">
        <v>6</v>
      </c>
      <c r="M100" s="97">
        <f>4459.37+1998.1</f>
        <v>6457.4699999999993</v>
      </c>
      <c r="N100" s="97">
        <v>2669.35</v>
      </c>
      <c r="O100" s="93">
        <f t="shared" si="5"/>
        <v>3788.1199999999994</v>
      </c>
      <c r="P100" s="123">
        <v>7</v>
      </c>
      <c r="Q100" s="124">
        <v>7</v>
      </c>
      <c r="R100" s="124">
        <v>7</v>
      </c>
      <c r="S100" s="97">
        <v>4232.91</v>
      </c>
      <c r="T100" s="131">
        <v>2274.39</v>
      </c>
      <c r="U100" s="97">
        <f t="shared" si="6"/>
        <v>1958.52</v>
      </c>
    </row>
    <row r="101" spans="1:33" ht="20.100000000000001" customHeight="1" x14ac:dyDescent="0.25">
      <c r="A101" s="155">
        <v>84</v>
      </c>
      <c r="B101" s="99">
        <f t="shared" si="4"/>
        <v>92</v>
      </c>
      <c r="C101" s="11" t="s">
        <v>103</v>
      </c>
      <c r="D101" s="100" t="s">
        <v>124</v>
      </c>
      <c r="E101" s="101"/>
      <c r="F101" s="22" t="s">
        <v>112</v>
      </c>
      <c r="G101" s="72" t="s">
        <v>208</v>
      </c>
      <c r="H101" s="77">
        <v>32</v>
      </c>
      <c r="I101" s="75">
        <v>9</v>
      </c>
      <c r="J101" s="75">
        <v>10</v>
      </c>
      <c r="K101" s="75">
        <v>7</v>
      </c>
      <c r="L101" s="75">
        <v>6</v>
      </c>
      <c r="M101" s="97">
        <f>234.26+3190.4</f>
        <v>3424.66</v>
      </c>
      <c r="N101" s="97">
        <f>234.26</f>
        <v>234.26</v>
      </c>
      <c r="O101" s="93">
        <f t="shared" si="5"/>
        <v>3190.3999999999996</v>
      </c>
      <c r="P101" s="123">
        <v>20</v>
      </c>
      <c r="Q101" s="124">
        <v>17</v>
      </c>
      <c r="R101" s="124">
        <v>14</v>
      </c>
      <c r="S101" s="97">
        <f>16946.83+3092.58</f>
        <v>20039.410000000003</v>
      </c>
      <c r="T101" s="131">
        <f>6585.82+10361.01</f>
        <v>16946.830000000002</v>
      </c>
      <c r="U101" s="97">
        <f t="shared" si="6"/>
        <v>3092.5800000000017</v>
      </c>
    </row>
    <row r="102" spans="1:33" ht="20.100000000000001" customHeight="1" x14ac:dyDescent="0.25">
      <c r="A102" s="155">
        <v>85</v>
      </c>
      <c r="B102" s="115">
        <f>B101+1</f>
        <v>93</v>
      </c>
      <c r="C102" s="116" t="s">
        <v>104</v>
      </c>
      <c r="D102" s="111" t="s">
        <v>124</v>
      </c>
      <c r="E102" s="112"/>
      <c r="F102" s="117" t="s">
        <v>106</v>
      </c>
      <c r="G102" s="118" t="s">
        <v>207</v>
      </c>
      <c r="H102" s="113">
        <v>5</v>
      </c>
      <c r="I102" s="114">
        <v>2</v>
      </c>
      <c r="J102" s="114">
        <v>2</v>
      </c>
      <c r="K102" s="114">
        <v>2</v>
      </c>
      <c r="L102" s="114">
        <v>1</v>
      </c>
      <c r="M102" s="147">
        <v>137.80000000000001</v>
      </c>
      <c r="N102" s="147">
        <v>137.80000000000001</v>
      </c>
      <c r="O102" s="148">
        <f t="shared" si="5"/>
        <v>0</v>
      </c>
      <c r="P102" s="149">
        <v>3</v>
      </c>
      <c r="Q102" s="150">
        <v>3</v>
      </c>
      <c r="R102" s="150">
        <v>3</v>
      </c>
      <c r="S102" s="147">
        <v>1193.3</v>
      </c>
      <c r="T102" s="132">
        <v>1193.3</v>
      </c>
      <c r="U102" s="97">
        <f t="shared" si="6"/>
        <v>0</v>
      </c>
      <c r="V102" s="145"/>
    </row>
    <row r="103" spans="1:33" ht="20.100000000000001" customHeight="1" x14ac:dyDescent="0.25">
      <c r="A103" s="155">
        <v>88</v>
      </c>
      <c r="B103" s="106">
        <v>94</v>
      </c>
      <c r="C103" s="10" t="s">
        <v>258</v>
      </c>
      <c r="D103" s="111" t="s">
        <v>124</v>
      </c>
      <c r="E103" s="101"/>
      <c r="F103" s="12" t="s">
        <v>106</v>
      </c>
      <c r="G103" s="118" t="s">
        <v>261</v>
      </c>
      <c r="H103" s="75">
        <v>2</v>
      </c>
      <c r="I103" s="75"/>
      <c r="J103" s="75"/>
      <c r="K103" s="75"/>
      <c r="L103" s="75"/>
      <c r="M103" s="97"/>
      <c r="N103" s="97"/>
      <c r="O103" s="97"/>
      <c r="P103" s="124"/>
      <c r="Q103" s="124"/>
      <c r="R103" s="124"/>
      <c r="S103" s="97"/>
      <c r="T103" s="131"/>
      <c r="U103" s="97"/>
      <c r="V103" s="145"/>
    </row>
    <row r="104" spans="1:33" ht="20.100000000000001" customHeight="1" x14ac:dyDescent="0.25">
      <c r="B104" s="106">
        <v>95</v>
      </c>
      <c r="C104" s="10" t="s">
        <v>242</v>
      </c>
      <c r="D104" s="100" t="s">
        <v>124</v>
      </c>
      <c r="E104" s="101"/>
      <c r="F104" s="17" t="s">
        <v>117</v>
      </c>
      <c r="G104" s="72" t="s">
        <v>259</v>
      </c>
      <c r="H104" s="77">
        <v>3</v>
      </c>
      <c r="I104" s="75">
        <v>2</v>
      </c>
      <c r="J104" s="75">
        <v>2</v>
      </c>
      <c r="K104" s="75">
        <v>2</v>
      </c>
      <c r="L104" s="75"/>
      <c r="M104" s="97"/>
      <c r="N104" s="97"/>
      <c r="O104" s="97"/>
      <c r="P104" s="124"/>
      <c r="Q104" s="124"/>
      <c r="R104" s="124"/>
      <c r="S104" s="97"/>
      <c r="T104" s="131"/>
      <c r="U104" s="97"/>
      <c r="V104" s="145"/>
    </row>
    <row r="105" spans="1:33" ht="20.100000000000001" customHeight="1" x14ac:dyDescent="0.25">
      <c r="B105" s="362"/>
      <c r="C105" s="362"/>
      <c r="D105" s="362"/>
      <c r="E105" s="362"/>
      <c r="F105" s="362"/>
      <c r="G105" s="362"/>
      <c r="H105" s="119">
        <f>SUM(H10:H104)</f>
        <v>960</v>
      </c>
      <c r="I105" s="119">
        <f>SUM(I10:I104)</f>
        <v>436</v>
      </c>
      <c r="J105" s="119">
        <f>SUM(J10:J104)</f>
        <v>558</v>
      </c>
      <c r="K105" s="119">
        <f>SUM(K10:K104)</f>
        <v>487</v>
      </c>
      <c r="L105" s="119">
        <f>SUM(L10:L104)</f>
        <v>379</v>
      </c>
      <c r="M105" s="151">
        <f>SUM(M10:M102)</f>
        <v>266776.8</v>
      </c>
      <c r="N105" s="151">
        <f>SUM(N10:N104)</f>
        <v>56789.53</v>
      </c>
      <c r="O105" s="151">
        <f>SUM(O10:O104)</f>
        <v>209987.27000000002</v>
      </c>
      <c r="P105" s="152">
        <f>SUM(P10:P104)</f>
        <v>577</v>
      </c>
      <c r="Q105" s="152">
        <f>SUM(Q10:Q104)</f>
        <v>534</v>
      </c>
      <c r="R105" s="152">
        <f>SUM(R11:R104)</f>
        <v>487</v>
      </c>
      <c r="S105" s="151">
        <f>SUM(S10:S104)</f>
        <v>652971.25000000012</v>
      </c>
      <c r="T105" s="146">
        <f>SUM(T10:T104)</f>
        <v>403280.81</v>
      </c>
      <c r="U105" s="120">
        <f>SUM(U10:U104)</f>
        <v>249690.44</v>
      </c>
      <c r="V105" s="156"/>
      <c r="W105" s="156"/>
      <c r="X105" s="157"/>
      <c r="Y105" s="156"/>
      <c r="Z105" s="157"/>
      <c r="AA105" s="156"/>
      <c r="AB105" s="157"/>
      <c r="AC105" s="157"/>
      <c r="AD105" s="157"/>
      <c r="AE105" s="157"/>
      <c r="AF105" s="156"/>
      <c r="AG105" s="156"/>
    </row>
    <row r="107" spans="1:33" x14ac:dyDescent="0.25">
      <c r="V107" s="145"/>
      <c r="W107" s="14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430" priority="2" stopIfTrue="1" operator="equal">
      <formula>0</formula>
    </cfRule>
  </conditionalFormatting>
  <conditionalFormatting sqref="AL45">
    <cfRule type="cellIs" dxfId="429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7"/>
  <sheetViews>
    <sheetView topLeftCell="B52" workbookViewId="0">
      <selection activeCell="V109" sqref="V109"/>
    </sheetView>
  </sheetViews>
  <sheetFormatPr defaultRowHeight="15.75" x14ac:dyDescent="0.25"/>
  <cols>
    <col min="1" max="1" width="9.140625" style="155" hidden="1" customWidth="1"/>
    <col min="2" max="2" width="9.140625" style="55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9.5703125" style="109" customWidth="1"/>
    <col min="15" max="15" width="12.28515625" style="109" customWidth="1"/>
    <col min="16" max="18" width="9.140625" style="109" customWidth="1"/>
    <col min="19" max="19" width="16.85546875" style="109" customWidth="1"/>
    <col min="20" max="20" width="10.7109375" style="109" customWidth="1"/>
    <col min="21" max="21" width="10.7109375" style="133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3" width="10.28515625" style="134" bestFit="1" customWidth="1"/>
    <col min="34" max="34" width="9.140625" style="134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266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267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17</v>
      </c>
      <c r="I10" s="75">
        <v>9</v>
      </c>
      <c r="J10" s="75">
        <v>11</v>
      </c>
      <c r="K10" s="75">
        <v>11</v>
      </c>
      <c r="L10" s="75">
        <v>3</v>
      </c>
      <c r="M10" s="97">
        <f>1033.5+1418.08</f>
        <v>2451.58</v>
      </c>
      <c r="N10" s="97">
        <v>1033.5</v>
      </c>
      <c r="O10" s="93">
        <f xml:space="preserve"> (M10-N10)</f>
        <v>1418.08</v>
      </c>
      <c r="P10" s="123">
        <v>6</v>
      </c>
      <c r="Q10" s="124">
        <v>6</v>
      </c>
      <c r="R10" s="124">
        <v>6</v>
      </c>
      <c r="S10" s="97">
        <v>4246.75</v>
      </c>
      <c r="T10" s="131">
        <v>4246.75</v>
      </c>
      <c r="U10" s="97">
        <f xml:space="preserve"> (S10-T10)</f>
        <v>0</v>
      </c>
      <c r="V10" s="135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4</v>
      </c>
      <c r="I11" s="75">
        <v>3</v>
      </c>
      <c r="J11" s="75">
        <v>3</v>
      </c>
      <c r="K11" s="75">
        <v>3</v>
      </c>
      <c r="L11" s="75">
        <v>1</v>
      </c>
      <c r="M11" s="97">
        <v>275.60000000000002</v>
      </c>
      <c r="N11" s="97"/>
      <c r="O11" s="93">
        <f t="shared" ref="O11:O74" si="1" xml:space="preserve"> (M11-N11)</f>
        <v>275.60000000000002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131">
        <v>234.26</v>
      </c>
      <c r="U11" s="97">
        <f t="shared" ref="U11:U74" si="2" xml:space="preserve"> (S11-T11)</f>
        <v>1035.3</v>
      </c>
      <c r="V11" s="135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f t="shared" ref="B12:B75" si="3">B11+1</f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2</v>
      </c>
      <c r="S12" s="97">
        <v>1548.67</v>
      </c>
      <c r="T12" s="131">
        <v>1548.67</v>
      </c>
      <c r="U12" s="97">
        <f t="shared" si="2"/>
        <v>0</v>
      </c>
      <c r="V12" s="14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si="3"/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10</v>
      </c>
      <c r="I13" s="75">
        <v>4</v>
      </c>
      <c r="J13" s="75">
        <v>5</v>
      </c>
      <c r="K13" s="75">
        <v>5</v>
      </c>
      <c r="L13" s="75">
        <v>5</v>
      </c>
      <c r="M13" s="97">
        <f>272.84+2699.54</f>
        <v>2972.38</v>
      </c>
      <c r="N13" s="97">
        <v>272.83999999999997</v>
      </c>
      <c r="O13" s="93">
        <f t="shared" si="1"/>
        <v>2699.54</v>
      </c>
      <c r="P13" s="123">
        <v>4</v>
      </c>
      <c r="Q13" s="124">
        <v>4</v>
      </c>
      <c r="R13" s="124">
        <v>4</v>
      </c>
      <c r="S13" s="97">
        <f>7385.53+1228.66</f>
        <v>8614.19</v>
      </c>
      <c r="T13" s="131">
        <v>7385.53</v>
      </c>
      <c r="U13" s="97">
        <f t="shared" si="2"/>
        <v>1228.6600000000008</v>
      </c>
      <c r="V13" s="14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15</v>
      </c>
      <c r="I14" s="75">
        <v>7</v>
      </c>
      <c r="J14" s="75">
        <v>8</v>
      </c>
      <c r="K14" s="75">
        <v>7</v>
      </c>
      <c r="L14" s="75">
        <v>7</v>
      </c>
      <c r="M14" s="97">
        <f>2277.13+1033.5</f>
        <v>3310.63</v>
      </c>
      <c r="N14" s="97">
        <v>2277.13</v>
      </c>
      <c r="O14" s="93">
        <f t="shared" si="1"/>
        <v>1033.5</v>
      </c>
      <c r="P14" s="123">
        <v>5</v>
      </c>
      <c r="Q14" s="124">
        <v>4</v>
      </c>
      <c r="R14" s="124">
        <v>4</v>
      </c>
      <c r="S14" s="97">
        <f>1800.7+633</f>
        <v>2433.6999999999998</v>
      </c>
      <c r="T14" s="131">
        <v>1800.7</v>
      </c>
      <c r="U14" s="97">
        <f t="shared" si="2"/>
        <v>632.99999999999977</v>
      </c>
      <c r="V14" s="135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17</v>
      </c>
      <c r="I15" s="75">
        <v>9</v>
      </c>
      <c r="J15" s="75">
        <v>14</v>
      </c>
      <c r="K15" s="75">
        <v>14</v>
      </c>
      <c r="L15" s="75">
        <v>9</v>
      </c>
      <c r="M15" s="97">
        <f>3475.33+5779.42</f>
        <v>9254.75</v>
      </c>
      <c r="N15" s="97"/>
      <c r="O15" s="93">
        <f t="shared" si="1"/>
        <v>9254.75</v>
      </c>
      <c r="P15" s="123">
        <v>12</v>
      </c>
      <c r="Q15" s="124">
        <v>12</v>
      </c>
      <c r="R15" s="124">
        <v>11</v>
      </c>
      <c r="S15" s="97">
        <f>9375.69+2892.09</f>
        <v>12267.78</v>
      </c>
      <c r="T15" s="131">
        <v>4569.41</v>
      </c>
      <c r="U15" s="97">
        <f t="shared" si="2"/>
        <v>7698.3700000000008</v>
      </c>
      <c r="V15" s="135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131"/>
      <c r="U16" s="97">
        <f t="shared" si="2"/>
        <v>0</v>
      </c>
      <c r="V16" s="135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9</v>
      </c>
      <c r="I17" s="75">
        <v>5</v>
      </c>
      <c r="J17" s="75">
        <v>8</v>
      </c>
      <c r="K17" s="75">
        <v>2</v>
      </c>
      <c r="L17" s="75"/>
      <c r="M17" s="97"/>
      <c r="N17" s="97"/>
      <c r="O17" s="93">
        <f t="shared" si="1"/>
        <v>0</v>
      </c>
      <c r="P17" s="123">
        <v>1</v>
      </c>
      <c r="Q17" s="124">
        <v>1</v>
      </c>
      <c r="R17" s="124"/>
      <c r="S17" s="97"/>
      <c r="T17" s="131"/>
      <c r="U17" s="97">
        <f t="shared" si="2"/>
        <v>0</v>
      </c>
      <c r="V17" s="135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3</v>
      </c>
      <c r="I18" s="75"/>
      <c r="J18" s="75"/>
      <c r="K18" s="75"/>
      <c r="L18" s="75"/>
      <c r="M18" s="97"/>
      <c r="N18" s="97"/>
      <c r="O18" s="93">
        <f t="shared" si="1"/>
        <v>0</v>
      </c>
      <c r="P18" s="123">
        <v>5</v>
      </c>
      <c r="Q18" s="124">
        <v>5</v>
      </c>
      <c r="R18" s="124">
        <v>3</v>
      </c>
      <c r="S18" s="97">
        <v>14748.55</v>
      </c>
      <c r="T18" s="131">
        <v>14748.55</v>
      </c>
      <c r="U18" s="97">
        <f t="shared" si="2"/>
        <v>0</v>
      </c>
      <c r="V18" s="135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16</v>
      </c>
      <c r="I19" s="75">
        <v>8</v>
      </c>
      <c r="J19" s="75">
        <v>11</v>
      </c>
      <c r="K19" s="75">
        <v>9</v>
      </c>
      <c r="L19" s="75">
        <v>9</v>
      </c>
      <c r="M19" s="97">
        <f>1744.9+542.59+1862.35</f>
        <v>4149.84</v>
      </c>
      <c r="N19" s="97">
        <f>749.29</f>
        <v>749.29</v>
      </c>
      <c r="O19" s="93">
        <f t="shared" si="1"/>
        <v>3400.55</v>
      </c>
      <c r="P19" s="123">
        <v>12</v>
      </c>
      <c r="Q19" s="124">
        <v>12</v>
      </c>
      <c r="R19" s="124">
        <v>12</v>
      </c>
      <c r="S19" s="97">
        <f>12589.36+4299.58+3922.41</f>
        <v>20811.350000000002</v>
      </c>
      <c r="T19" s="131">
        <f>9246.57</f>
        <v>9246.57</v>
      </c>
      <c r="U19" s="97">
        <f t="shared" si="2"/>
        <v>11564.780000000002</v>
      </c>
      <c r="V19" s="143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15</v>
      </c>
      <c r="I20" s="75">
        <v>4</v>
      </c>
      <c r="J20" s="75">
        <v>4</v>
      </c>
      <c r="K20" s="75">
        <v>4</v>
      </c>
      <c r="L20" s="75">
        <v>3</v>
      </c>
      <c r="M20" s="97">
        <v>1581.26</v>
      </c>
      <c r="N20" s="97"/>
      <c r="O20" s="93">
        <f t="shared" si="1"/>
        <v>1581.26</v>
      </c>
      <c r="P20" s="123">
        <v>22</v>
      </c>
      <c r="Q20" s="124">
        <v>22</v>
      </c>
      <c r="R20" s="124">
        <v>19</v>
      </c>
      <c r="S20" s="97">
        <f>14391.07+12609.01</f>
        <v>27000.080000000002</v>
      </c>
      <c r="T20" s="131">
        <v>14391.07</v>
      </c>
      <c r="U20" s="97">
        <f t="shared" si="2"/>
        <v>12609.010000000002</v>
      </c>
      <c r="V20" s="14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8</v>
      </c>
      <c r="I21" s="75">
        <v>3</v>
      </c>
      <c r="J21" s="75">
        <v>3</v>
      </c>
      <c r="K21" s="75">
        <v>3</v>
      </c>
      <c r="L21" s="75">
        <v>2</v>
      </c>
      <c r="M21" s="97">
        <f>427.18+831.61</f>
        <v>1258.79</v>
      </c>
      <c r="N21" s="97">
        <v>427.18</v>
      </c>
      <c r="O21" s="93">
        <f t="shared" si="1"/>
        <v>831.6099999999999</v>
      </c>
      <c r="P21" s="123">
        <v>5</v>
      </c>
      <c r="Q21" s="124">
        <v>5</v>
      </c>
      <c r="R21" s="124">
        <v>4</v>
      </c>
      <c r="S21" s="97">
        <f>5005.45+1729.9</f>
        <v>6735.35</v>
      </c>
      <c r="T21" s="131">
        <f>1928.2+3077.25</f>
        <v>5005.45</v>
      </c>
      <c r="U21" s="97">
        <f t="shared" si="2"/>
        <v>1729.9000000000005</v>
      </c>
      <c r="V21" s="135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35</v>
      </c>
      <c r="I22" s="75">
        <v>17</v>
      </c>
      <c r="J22" s="75">
        <v>26</v>
      </c>
      <c r="K22" s="75">
        <v>9</v>
      </c>
      <c r="L22" s="75">
        <v>9</v>
      </c>
      <c r="M22" s="97">
        <f>910.39+3506.19</f>
        <v>4416.58</v>
      </c>
      <c r="N22" s="97">
        <v>910.39</v>
      </c>
      <c r="O22" s="93">
        <f t="shared" si="1"/>
        <v>3506.19</v>
      </c>
      <c r="P22" s="123">
        <v>18</v>
      </c>
      <c r="Q22" s="124">
        <v>15</v>
      </c>
      <c r="R22" s="124">
        <v>15</v>
      </c>
      <c r="S22" s="97">
        <f>16007.48+3068.6</f>
        <v>19076.079999999998</v>
      </c>
      <c r="T22" s="131">
        <f>14006.59+2000.89</f>
        <v>16007.48</v>
      </c>
      <c r="U22" s="97">
        <f t="shared" si="2"/>
        <v>3068.5999999999985</v>
      </c>
      <c r="V22" s="135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8</v>
      </c>
      <c r="I23" s="75">
        <v>5</v>
      </c>
      <c r="J23" s="75">
        <v>5</v>
      </c>
      <c r="K23" s="75">
        <v>3</v>
      </c>
      <c r="L23" s="75">
        <v>3</v>
      </c>
      <c r="M23" s="97">
        <f>1852.03+375.16</f>
        <v>2227.19</v>
      </c>
      <c r="N23" s="97">
        <v>1852.03</v>
      </c>
      <c r="O23" s="93">
        <f t="shared" si="1"/>
        <v>375.16000000000008</v>
      </c>
      <c r="P23" s="123">
        <v>11</v>
      </c>
      <c r="Q23" s="124">
        <v>11</v>
      </c>
      <c r="R23" s="124">
        <v>10</v>
      </c>
      <c r="S23" s="97">
        <f>23953.14+1377.56</f>
        <v>25330.7</v>
      </c>
      <c r="T23" s="131">
        <f>13330.21</f>
        <v>13330.21</v>
      </c>
      <c r="U23" s="97">
        <f t="shared" si="2"/>
        <v>12000.490000000002</v>
      </c>
      <c r="V23" s="143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12</v>
      </c>
      <c r="I24" s="75">
        <v>8</v>
      </c>
      <c r="J24" s="75">
        <v>10</v>
      </c>
      <c r="K24" s="75">
        <v>5</v>
      </c>
      <c r="L24" s="75">
        <v>5</v>
      </c>
      <c r="M24" s="97">
        <v>1515.11</v>
      </c>
      <c r="N24" s="97"/>
      <c r="O24" s="93">
        <f t="shared" si="1"/>
        <v>1515.11</v>
      </c>
      <c r="P24" s="123">
        <v>8</v>
      </c>
      <c r="Q24" s="124">
        <v>6</v>
      </c>
      <c r="R24" s="124">
        <v>6</v>
      </c>
      <c r="S24" s="97">
        <v>4998.37</v>
      </c>
      <c r="T24" s="131">
        <f>274.6+334.74</f>
        <v>609.34</v>
      </c>
      <c r="U24" s="97">
        <f t="shared" si="2"/>
        <v>4389.03</v>
      </c>
      <c r="V24" s="135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12</v>
      </c>
      <c r="I25" s="75">
        <v>9</v>
      </c>
      <c r="J25" s="75">
        <v>14</v>
      </c>
      <c r="K25" s="75">
        <v>12</v>
      </c>
      <c r="L25" s="75">
        <v>8</v>
      </c>
      <c r="M25" s="97">
        <f>2255.39+2419.13</f>
        <v>4674.5200000000004</v>
      </c>
      <c r="N25" s="97">
        <v>2255.39</v>
      </c>
      <c r="O25" s="93">
        <f t="shared" si="1"/>
        <v>2419.1300000000006</v>
      </c>
      <c r="P25" s="123">
        <v>21</v>
      </c>
      <c r="Q25" s="124">
        <v>20</v>
      </c>
      <c r="R25" s="124">
        <v>18</v>
      </c>
      <c r="S25" s="97">
        <f>17792.25+4619.68</f>
        <v>22411.93</v>
      </c>
      <c r="T25" s="131">
        <f>14484.31+3307.94</f>
        <v>17792.25</v>
      </c>
      <c r="U25" s="97">
        <f t="shared" si="2"/>
        <v>4619.68</v>
      </c>
      <c r="V25" s="142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15</v>
      </c>
      <c r="I26" s="75"/>
      <c r="J26" s="75"/>
      <c r="K26" s="75"/>
      <c r="L26" s="75"/>
      <c r="M26" s="97"/>
      <c r="N26" s="97"/>
      <c r="O26" s="93">
        <f t="shared" si="1"/>
        <v>0</v>
      </c>
      <c r="P26" s="123"/>
      <c r="Q26" s="124"/>
      <c r="R26" s="124"/>
      <c r="S26" s="97"/>
      <c r="T26" s="131"/>
      <c r="U26" s="97">
        <f t="shared" si="2"/>
        <v>0</v>
      </c>
      <c r="V26" s="135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14</v>
      </c>
      <c r="I27" s="75">
        <v>7</v>
      </c>
      <c r="J27" s="75">
        <v>12</v>
      </c>
      <c r="K27" s="75">
        <v>12</v>
      </c>
      <c r="L27" s="75">
        <v>9</v>
      </c>
      <c r="M27" s="97">
        <f>2738.38+1698.1</f>
        <v>4436.4799999999996</v>
      </c>
      <c r="N27" s="97"/>
      <c r="O27" s="93">
        <f t="shared" si="1"/>
        <v>4436.4799999999996</v>
      </c>
      <c r="P27" s="123">
        <v>13</v>
      </c>
      <c r="Q27" s="124">
        <v>13</v>
      </c>
      <c r="R27" s="124">
        <v>12</v>
      </c>
      <c r="S27" s="97">
        <f>11399.36+591.16</f>
        <v>11990.52</v>
      </c>
      <c r="T27" s="131">
        <v>3370.97</v>
      </c>
      <c r="U27" s="97">
        <f t="shared" si="2"/>
        <v>8619.5500000000011</v>
      </c>
      <c r="V27" s="135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131"/>
      <c r="U28" s="97">
        <f t="shared" si="2"/>
        <v>0</v>
      </c>
      <c r="V28" s="135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14</v>
      </c>
      <c r="I29" s="75">
        <v>11</v>
      </c>
      <c r="J29" s="75">
        <v>13</v>
      </c>
      <c r="K29" s="75">
        <v>11</v>
      </c>
      <c r="L29" s="75">
        <v>11</v>
      </c>
      <c r="M29" s="97">
        <f>2023.14+2605.8+1307.38</f>
        <v>5936.3200000000006</v>
      </c>
      <c r="N29" s="97">
        <f>358.28+1664.86</f>
        <v>2023.1399999999999</v>
      </c>
      <c r="O29" s="93">
        <f t="shared" si="1"/>
        <v>3913.1800000000007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131">
        <v>15185.09</v>
      </c>
      <c r="U29" s="97">
        <f t="shared" si="2"/>
        <v>570.43000000000029</v>
      </c>
      <c r="V29" s="143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18</v>
      </c>
      <c r="I30" s="75">
        <v>9</v>
      </c>
      <c r="J30" s="75">
        <v>10</v>
      </c>
      <c r="K30" s="75">
        <v>8</v>
      </c>
      <c r="L30" s="75">
        <v>8</v>
      </c>
      <c r="M30" s="97">
        <f>2487.52+2349.38</f>
        <v>4836.8999999999996</v>
      </c>
      <c r="N30" s="97"/>
      <c r="O30" s="93">
        <f t="shared" si="1"/>
        <v>4836.8999999999996</v>
      </c>
      <c r="P30" s="123">
        <v>16</v>
      </c>
      <c r="Q30" s="124">
        <v>14</v>
      </c>
      <c r="R30" s="124">
        <v>14</v>
      </c>
      <c r="S30" s="97">
        <f>7176.8+21702.37</f>
        <v>28879.17</v>
      </c>
      <c r="T30" s="131">
        <v>5755.74</v>
      </c>
      <c r="U30" s="97">
        <f t="shared" si="2"/>
        <v>23123.43</v>
      </c>
      <c r="V30" s="14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1" t="s">
        <v>38</v>
      </c>
      <c r="D31" s="100" t="s">
        <v>124</v>
      </c>
      <c r="E31" s="101"/>
      <c r="F31" s="17" t="s">
        <v>106</v>
      </c>
      <c r="G31" s="72" t="s">
        <v>157</v>
      </c>
      <c r="H31" s="77">
        <v>4</v>
      </c>
      <c r="I31" s="75">
        <v>1</v>
      </c>
      <c r="J31" s="75">
        <v>2</v>
      </c>
      <c r="K31" s="75">
        <v>2</v>
      </c>
      <c r="L31" s="75">
        <v>2</v>
      </c>
      <c r="M31" s="97">
        <v>859.25</v>
      </c>
      <c r="N31" s="97"/>
      <c r="O31" s="93">
        <f t="shared" si="1"/>
        <v>859.25</v>
      </c>
      <c r="P31" s="123">
        <v>2</v>
      </c>
      <c r="Q31" s="124">
        <v>2</v>
      </c>
      <c r="R31" s="124">
        <v>2</v>
      </c>
      <c r="S31" s="97">
        <f>442.37+1014.7</f>
        <v>1457.0700000000002</v>
      </c>
      <c r="T31" s="131">
        <v>442.37</v>
      </c>
      <c r="U31" s="97">
        <f t="shared" si="2"/>
        <v>1014.7000000000002</v>
      </c>
      <c r="V31" s="14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0" t="s">
        <v>39</v>
      </c>
      <c r="D32" s="100" t="s">
        <v>124</v>
      </c>
      <c r="E32" s="101"/>
      <c r="F32" s="10" t="s">
        <v>105</v>
      </c>
      <c r="G32" s="72" t="s">
        <v>220</v>
      </c>
      <c r="H32" s="77"/>
      <c r="I32" s="75"/>
      <c r="J32" s="75"/>
      <c r="K32" s="75"/>
      <c r="L32" s="75"/>
      <c r="M32" s="97"/>
      <c r="N32" s="97"/>
      <c r="O32" s="93">
        <f t="shared" si="1"/>
        <v>0</v>
      </c>
      <c r="P32" s="123"/>
      <c r="Q32" s="124"/>
      <c r="R32" s="124"/>
      <c r="S32" s="97"/>
      <c r="T32" s="131"/>
      <c r="U32" s="97">
        <f t="shared" si="2"/>
        <v>0</v>
      </c>
      <c r="V32" s="135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0" t="s">
        <v>137</v>
      </c>
      <c r="D33" s="100" t="s">
        <v>124</v>
      </c>
      <c r="E33" s="101"/>
      <c r="F33" s="17" t="s">
        <v>106</v>
      </c>
      <c r="G33" s="72" t="s">
        <v>158</v>
      </c>
      <c r="H33" s="77">
        <v>9</v>
      </c>
      <c r="I33" s="75">
        <v>4</v>
      </c>
      <c r="J33" s="75">
        <v>4</v>
      </c>
      <c r="K33" s="75">
        <v>4</v>
      </c>
      <c r="L33" s="75">
        <v>3</v>
      </c>
      <c r="M33" s="97">
        <f>1929.2</f>
        <v>1929.2</v>
      </c>
      <c r="N33" s="97"/>
      <c r="O33" s="93">
        <f t="shared" si="1"/>
        <v>1929.2</v>
      </c>
      <c r="P33" s="123"/>
      <c r="Q33" s="124"/>
      <c r="R33" s="124"/>
      <c r="S33" s="97"/>
      <c r="T33" s="131"/>
      <c r="U33" s="97">
        <f t="shared" si="2"/>
        <v>0</v>
      </c>
      <c r="V33" s="135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2" t="s">
        <v>40</v>
      </c>
      <c r="D34" s="100" t="s">
        <v>124</v>
      </c>
      <c r="E34" s="101"/>
      <c r="F34" s="19" t="s">
        <v>115</v>
      </c>
      <c r="G34" s="72" t="s">
        <v>159</v>
      </c>
      <c r="H34" s="77">
        <v>9</v>
      </c>
      <c r="I34" s="75">
        <v>6</v>
      </c>
      <c r="J34" s="75">
        <v>11</v>
      </c>
      <c r="K34" s="75">
        <v>11</v>
      </c>
      <c r="L34" s="75">
        <v>11</v>
      </c>
      <c r="M34" s="97">
        <f>1580.26+3633.22+2321.45</f>
        <v>7534.9299999999994</v>
      </c>
      <c r="N34" s="97">
        <v>1580.26</v>
      </c>
      <c r="O34" s="93">
        <f t="shared" si="1"/>
        <v>5954.6699999999992</v>
      </c>
      <c r="P34" s="123">
        <v>2</v>
      </c>
      <c r="Q34" s="124">
        <v>2</v>
      </c>
      <c r="R34" s="124">
        <v>2</v>
      </c>
      <c r="S34" s="97">
        <v>872.59</v>
      </c>
      <c r="T34" s="131">
        <v>872.59</v>
      </c>
      <c r="U34" s="97">
        <f t="shared" si="2"/>
        <v>0</v>
      </c>
      <c r="V34" s="143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1" t="s">
        <v>41</v>
      </c>
      <c r="D35" s="100" t="s">
        <v>124</v>
      </c>
      <c r="E35" s="101"/>
      <c r="F35" s="17" t="s">
        <v>106</v>
      </c>
      <c r="G35" s="72" t="s">
        <v>160</v>
      </c>
      <c r="H35" s="77">
        <v>9</v>
      </c>
      <c r="I35" s="75">
        <v>5</v>
      </c>
      <c r="J35" s="75">
        <v>8</v>
      </c>
      <c r="K35" s="75">
        <v>8</v>
      </c>
      <c r="L35" s="75">
        <v>3</v>
      </c>
      <c r="M35" s="97">
        <f>738.32+1081.83</f>
        <v>1820.15</v>
      </c>
      <c r="N35" s="97">
        <v>738.32</v>
      </c>
      <c r="O35" s="93">
        <f t="shared" si="1"/>
        <v>1081.83</v>
      </c>
      <c r="P35" s="123">
        <v>8</v>
      </c>
      <c r="Q35" s="124">
        <v>8</v>
      </c>
      <c r="R35" s="124">
        <v>7</v>
      </c>
      <c r="S35" s="97">
        <f>7876.12+900.18</f>
        <v>8776.2999999999993</v>
      </c>
      <c r="T35" s="131">
        <v>7876.12</v>
      </c>
      <c r="U35" s="97">
        <f t="shared" si="2"/>
        <v>900.17999999999938</v>
      </c>
      <c r="V35" s="141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3" t="s">
        <v>42</v>
      </c>
      <c r="D36" s="100" t="s">
        <v>124</v>
      </c>
      <c r="E36" s="101"/>
      <c r="F36" s="17" t="s">
        <v>106</v>
      </c>
      <c r="G36" s="72" t="s">
        <v>221</v>
      </c>
      <c r="H36" s="77">
        <v>7</v>
      </c>
      <c r="I36" s="75">
        <v>2</v>
      </c>
      <c r="J36" s="75">
        <v>2</v>
      </c>
      <c r="K36" s="75">
        <v>2</v>
      </c>
      <c r="L36" s="75"/>
      <c r="M36" s="97"/>
      <c r="N36" s="97"/>
      <c r="O36" s="93">
        <f t="shared" si="1"/>
        <v>0</v>
      </c>
      <c r="P36" s="123">
        <v>4</v>
      </c>
      <c r="Q36" s="124">
        <v>4</v>
      </c>
      <c r="R36" s="124">
        <v>4</v>
      </c>
      <c r="S36" s="97">
        <f>1436.08+3433.93</f>
        <v>4870.01</v>
      </c>
      <c r="T36" s="131">
        <v>1436.08</v>
      </c>
      <c r="U36" s="97">
        <f t="shared" si="2"/>
        <v>3433.9300000000003</v>
      </c>
      <c r="V36" s="142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3" t="s">
        <v>43</v>
      </c>
      <c r="D37" s="100" t="s">
        <v>124</v>
      </c>
      <c r="E37" s="101"/>
      <c r="F37" s="17" t="s">
        <v>106</v>
      </c>
      <c r="G37" s="72" t="s">
        <v>161</v>
      </c>
      <c r="H37" s="77">
        <v>8</v>
      </c>
      <c r="I37" s="75">
        <v>6</v>
      </c>
      <c r="J37" s="75">
        <v>6</v>
      </c>
      <c r="K37" s="75">
        <v>5</v>
      </c>
      <c r="L37" s="75">
        <v>5</v>
      </c>
      <c r="M37" s="97">
        <f>568.43+3282.53</f>
        <v>3850.96</v>
      </c>
      <c r="N37" s="97">
        <v>568.42999999999995</v>
      </c>
      <c r="O37" s="93">
        <f t="shared" si="1"/>
        <v>3282.53</v>
      </c>
      <c r="P37" s="123">
        <v>2</v>
      </c>
      <c r="Q37" s="124">
        <v>1</v>
      </c>
      <c r="R37" s="124">
        <v>1</v>
      </c>
      <c r="S37" s="97">
        <v>552.96</v>
      </c>
      <c r="T37" s="131">
        <v>552.96</v>
      </c>
      <c r="U37" s="97">
        <f t="shared" si="2"/>
        <v>0</v>
      </c>
      <c r="V37" s="142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1" t="s">
        <v>44</v>
      </c>
      <c r="D38" s="100" t="s">
        <v>124</v>
      </c>
      <c r="E38" s="101"/>
      <c r="F38" s="17" t="s">
        <v>105</v>
      </c>
      <c r="G38" s="72" t="s">
        <v>162</v>
      </c>
      <c r="H38" s="77">
        <v>27</v>
      </c>
      <c r="I38" s="75">
        <v>13</v>
      </c>
      <c r="J38" s="75">
        <v>17</v>
      </c>
      <c r="K38" s="75">
        <v>17</v>
      </c>
      <c r="L38" s="75">
        <v>8</v>
      </c>
      <c r="M38" s="97">
        <f>1783.68+344.5+1626.04</f>
        <v>3754.2200000000003</v>
      </c>
      <c r="N38" s="97"/>
      <c r="O38" s="93">
        <f t="shared" si="1"/>
        <v>3754.2200000000003</v>
      </c>
      <c r="P38" s="123">
        <v>18</v>
      </c>
      <c r="Q38" s="124">
        <v>18</v>
      </c>
      <c r="R38" s="124">
        <v>16</v>
      </c>
      <c r="S38" s="97">
        <f>13233.81+6471.95</f>
        <v>19705.759999999998</v>
      </c>
      <c r="T38" s="131">
        <v>10213.92</v>
      </c>
      <c r="U38" s="97">
        <f t="shared" si="2"/>
        <v>9491.8399999999983</v>
      </c>
      <c r="V38" s="14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1" t="s">
        <v>45</v>
      </c>
      <c r="D39" s="100" t="s">
        <v>124</v>
      </c>
      <c r="E39" s="101"/>
      <c r="F39" s="17" t="s">
        <v>111</v>
      </c>
      <c r="G39" s="72" t="s">
        <v>163</v>
      </c>
      <c r="H39" s="77">
        <v>12</v>
      </c>
      <c r="I39" s="75">
        <v>6</v>
      </c>
      <c r="J39" s="75">
        <v>8</v>
      </c>
      <c r="K39" s="75">
        <v>6</v>
      </c>
      <c r="L39" s="75">
        <v>4</v>
      </c>
      <c r="M39" s="97">
        <f>821.67+1850.17</f>
        <v>2671.84</v>
      </c>
      <c r="N39" s="97">
        <f>821.67</f>
        <v>821.67</v>
      </c>
      <c r="O39" s="93">
        <f t="shared" si="1"/>
        <v>1850.17</v>
      </c>
      <c r="P39" s="123">
        <v>3</v>
      </c>
      <c r="Q39" s="124">
        <v>2</v>
      </c>
      <c r="R39" s="124"/>
      <c r="S39" s="97"/>
      <c r="T39" s="131"/>
      <c r="U39" s="97">
        <f t="shared" si="2"/>
        <v>0</v>
      </c>
      <c r="V39" s="14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0" t="s">
        <v>46</v>
      </c>
      <c r="D40" s="100" t="s">
        <v>124</v>
      </c>
      <c r="E40" s="101"/>
      <c r="F40" s="17" t="s">
        <v>106</v>
      </c>
      <c r="G40" s="72" t="s">
        <v>164</v>
      </c>
      <c r="H40" s="77">
        <v>6</v>
      </c>
      <c r="I40" s="75">
        <v>5</v>
      </c>
      <c r="J40" s="75">
        <v>5</v>
      </c>
      <c r="K40" s="75">
        <v>3</v>
      </c>
      <c r="L40" s="75">
        <v>3</v>
      </c>
      <c r="M40" s="97">
        <f>2273.7+1002.51</f>
        <v>3276.21</v>
      </c>
      <c r="N40" s="97">
        <v>2273.6999999999998</v>
      </c>
      <c r="O40" s="93">
        <f t="shared" si="1"/>
        <v>1002.5100000000002</v>
      </c>
      <c r="P40" s="123">
        <v>4</v>
      </c>
      <c r="Q40" s="124">
        <v>3</v>
      </c>
      <c r="R40" s="124">
        <v>3</v>
      </c>
      <c r="S40" s="97">
        <f>3996.7+1341.47</f>
        <v>5338.17</v>
      </c>
      <c r="T40" s="131">
        <v>3996.7</v>
      </c>
      <c r="U40" s="97">
        <f t="shared" si="2"/>
        <v>1341.4700000000003</v>
      </c>
      <c r="V40" s="135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0" t="s">
        <v>47</v>
      </c>
      <c r="D41" s="100" t="s">
        <v>124</v>
      </c>
      <c r="E41" s="101"/>
      <c r="F41" s="17" t="s">
        <v>116</v>
      </c>
      <c r="G41" s="72" t="s">
        <v>165</v>
      </c>
      <c r="H41" s="77">
        <v>9</v>
      </c>
      <c r="I41" s="75">
        <v>6</v>
      </c>
      <c r="J41" s="75">
        <v>7</v>
      </c>
      <c r="K41" s="75">
        <v>5</v>
      </c>
      <c r="L41" s="75">
        <v>3</v>
      </c>
      <c r="M41" s="97">
        <f>1322.88+206.7</f>
        <v>1529.5800000000002</v>
      </c>
      <c r="N41" s="97">
        <v>1322.88</v>
      </c>
      <c r="O41" s="93">
        <f t="shared" si="1"/>
        <v>206.70000000000005</v>
      </c>
      <c r="P41" s="123">
        <v>3</v>
      </c>
      <c r="Q41" s="124">
        <v>3</v>
      </c>
      <c r="R41" s="124">
        <v>2</v>
      </c>
      <c r="S41" s="97">
        <v>1016.08</v>
      </c>
      <c r="T41" s="131">
        <v>1016.08</v>
      </c>
      <c r="U41" s="97">
        <f t="shared" si="2"/>
        <v>0</v>
      </c>
      <c r="V41" s="135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3" t="s">
        <v>48</v>
      </c>
      <c r="D42" s="100" t="s">
        <v>124</v>
      </c>
      <c r="E42" s="101"/>
      <c r="F42" s="17" t="s">
        <v>106</v>
      </c>
      <c r="G42" s="72" t="s">
        <v>166</v>
      </c>
      <c r="H42" s="77">
        <v>6</v>
      </c>
      <c r="I42" s="75">
        <v>2</v>
      </c>
      <c r="J42" s="75">
        <v>2</v>
      </c>
      <c r="K42" s="75">
        <v>2</v>
      </c>
      <c r="L42" s="75">
        <v>2</v>
      </c>
      <c r="M42" s="97">
        <v>4681.8900000000003</v>
      </c>
      <c r="N42" s="97"/>
      <c r="O42" s="93">
        <f t="shared" si="1"/>
        <v>4681.8900000000003</v>
      </c>
      <c r="P42" s="123">
        <v>5</v>
      </c>
      <c r="Q42" s="124">
        <v>5</v>
      </c>
      <c r="R42" s="124">
        <v>3</v>
      </c>
      <c r="S42" s="97">
        <f>3907.41+583.58</f>
        <v>4490.99</v>
      </c>
      <c r="T42" s="131">
        <v>1733.58</v>
      </c>
      <c r="U42" s="97">
        <f t="shared" si="2"/>
        <v>2757.41</v>
      </c>
      <c r="V42" s="142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0" t="s">
        <v>49</v>
      </c>
      <c r="D43" s="100" t="s">
        <v>124</v>
      </c>
      <c r="E43" s="101"/>
      <c r="F43" s="17" t="s">
        <v>106</v>
      </c>
      <c r="G43" s="72" t="s">
        <v>167</v>
      </c>
      <c r="H43" s="77">
        <v>10</v>
      </c>
      <c r="I43" s="75">
        <v>2</v>
      </c>
      <c r="J43" s="75">
        <v>2</v>
      </c>
      <c r="K43" s="75">
        <v>2</v>
      </c>
      <c r="L43" s="75">
        <v>1</v>
      </c>
      <c r="M43" s="97">
        <v>1157.56</v>
      </c>
      <c r="N43" s="97"/>
      <c r="O43" s="93">
        <f t="shared" si="1"/>
        <v>1157.56</v>
      </c>
      <c r="P43" s="123">
        <v>7</v>
      </c>
      <c r="Q43" s="124">
        <v>6</v>
      </c>
      <c r="R43" s="124">
        <v>5</v>
      </c>
      <c r="S43" s="97">
        <v>6437</v>
      </c>
      <c r="T43" s="131">
        <f>3957.6+2479.4</f>
        <v>6437</v>
      </c>
      <c r="U43" s="97">
        <f t="shared" si="2"/>
        <v>0</v>
      </c>
      <c r="V43" s="135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3" t="s">
        <v>50</v>
      </c>
      <c r="D44" s="100" t="s">
        <v>124</v>
      </c>
      <c r="E44" s="101"/>
      <c r="F44" s="17" t="s">
        <v>106</v>
      </c>
      <c r="G44" s="72" t="s">
        <v>168</v>
      </c>
      <c r="H44" s="77">
        <v>5</v>
      </c>
      <c r="I44" s="75">
        <v>5</v>
      </c>
      <c r="J44" s="75">
        <v>6</v>
      </c>
      <c r="K44" s="75">
        <v>6</v>
      </c>
      <c r="L44" s="75">
        <v>4</v>
      </c>
      <c r="M44" s="97">
        <f>1345.04+387.91</f>
        <v>1732.95</v>
      </c>
      <c r="N44" s="97">
        <f>1345.04</f>
        <v>1345.04</v>
      </c>
      <c r="O44" s="93">
        <f t="shared" si="1"/>
        <v>387.91000000000008</v>
      </c>
      <c r="P44" s="123">
        <v>4</v>
      </c>
      <c r="Q44" s="124">
        <v>4</v>
      </c>
      <c r="R44" s="124">
        <v>4</v>
      </c>
      <c r="S44" s="97">
        <f>3997.92+850.65</f>
        <v>4848.57</v>
      </c>
      <c r="T44" s="131">
        <f>3997.92</f>
        <v>3997.92</v>
      </c>
      <c r="U44" s="97">
        <f t="shared" si="2"/>
        <v>850.64999999999964</v>
      </c>
      <c r="V44" s="142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1" t="s">
        <v>51</v>
      </c>
      <c r="D45" s="100" t="s">
        <v>124</v>
      </c>
      <c r="E45" s="101"/>
      <c r="F45" s="22" t="s">
        <v>112</v>
      </c>
      <c r="G45" s="72"/>
      <c r="H45" s="77"/>
      <c r="I45" s="75"/>
      <c r="J45" s="75"/>
      <c r="K45" s="75"/>
      <c r="L45" s="75"/>
      <c r="M45" s="97"/>
      <c r="N45" s="97"/>
      <c r="O45" s="93">
        <f t="shared" si="1"/>
        <v>0</v>
      </c>
      <c r="P45" s="123"/>
      <c r="Q45" s="124"/>
      <c r="R45" s="124"/>
      <c r="S45" s="97"/>
      <c r="T45" s="131"/>
      <c r="U45" s="97">
        <f t="shared" si="2"/>
        <v>0</v>
      </c>
      <c r="V45" s="14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1" t="s">
        <v>131</v>
      </c>
      <c r="D46" s="100" t="s">
        <v>124</v>
      </c>
      <c r="E46" s="101"/>
      <c r="F46" s="22" t="s">
        <v>106</v>
      </c>
      <c r="G46" s="72" t="s">
        <v>171</v>
      </c>
      <c r="H46" s="77">
        <v>6</v>
      </c>
      <c r="I46" s="75"/>
      <c r="J46" s="75"/>
      <c r="K46" s="75"/>
      <c r="L46" s="75"/>
      <c r="M46" s="97"/>
      <c r="N46" s="97"/>
      <c r="O46" s="93">
        <f t="shared" si="1"/>
        <v>0</v>
      </c>
      <c r="P46" s="123">
        <v>2</v>
      </c>
      <c r="Q46" s="124">
        <v>2</v>
      </c>
      <c r="R46" s="124">
        <v>1</v>
      </c>
      <c r="S46" s="97">
        <v>11787.49</v>
      </c>
      <c r="T46" s="131">
        <v>11787.49</v>
      </c>
      <c r="U46" s="97">
        <f t="shared" si="2"/>
        <v>0</v>
      </c>
      <c r="V46" s="14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3" t="s">
        <v>52</v>
      </c>
      <c r="D47" s="100" t="s">
        <v>124</v>
      </c>
      <c r="E47" s="101"/>
      <c r="F47" s="17" t="s">
        <v>106</v>
      </c>
      <c r="G47" s="72" t="s">
        <v>169</v>
      </c>
      <c r="H47" s="77">
        <v>20</v>
      </c>
      <c r="I47" s="75">
        <v>8</v>
      </c>
      <c r="J47" s="75">
        <v>11</v>
      </c>
      <c r="K47" s="75">
        <v>11</v>
      </c>
      <c r="L47" s="75">
        <v>4</v>
      </c>
      <c r="M47" s="97">
        <f>2714.54+272.6</f>
        <v>2987.14</v>
      </c>
      <c r="N47" s="97">
        <f>2335.59+378.95</f>
        <v>2714.54</v>
      </c>
      <c r="O47" s="93">
        <f t="shared" si="1"/>
        <v>272.59999999999991</v>
      </c>
      <c r="P47" s="123">
        <v>2</v>
      </c>
      <c r="Q47" s="124">
        <v>2</v>
      </c>
      <c r="R47" s="124">
        <v>1</v>
      </c>
      <c r="S47" s="97">
        <v>689</v>
      </c>
      <c r="T47" s="131">
        <f>689</f>
        <v>689</v>
      </c>
      <c r="U47" s="97">
        <f t="shared" si="2"/>
        <v>0</v>
      </c>
      <c r="V47" s="142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0" t="s">
        <v>53</v>
      </c>
      <c r="D48" s="100" t="s">
        <v>124</v>
      </c>
      <c r="E48" s="101"/>
      <c r="F48" s="17" t="s">
        <v>105</v>
      </c>
      <c r="G48" s="72" t="s">
        <v>171</v>
      </c>
      <c r="H48" s="77">
        <v>8</v>
      </c>
      <c r="I48" s="75">
        <v>1</v>
      </c>
      <c r="J48" s="75">
        <v>1</v>
      </c>
      <c r="K48" s="75">
        <v>1</v>
      </c>
      <c r="L48" s="75">
        <v>1</v>
      </c>
      <c r="M48" s="97">
        <v>3786.47</v>
      </c>
      <c r="N48" s="97">
        <f>305.5</f>
        <v>305.5</v>
      </c>
      <c r="O48" s="93">
        <f t="shared" si="1"/>
        <v>3480.97</v>
      </c>
      <c r="P48" s="123">
        <v>3</v>
      </c>
      <c r="Q48" s="124">
        <v>3</v>
      </c>
      <c r="R48" s="124">
        <v>3</v>
      </c>
      <c r="S48" s="97">
        <f>2800.4+5022.92</f>
        <v>7823.32</v>
      </c>
      <c r="T48" s="131">
        <f>2494.9</f>
        <v>2494.9</v>
      </c>
      <c r="U48" s="97">
        <f t="shared" si="2"/>
        <v>5328.42</v>
      </c>
      <c r="V48" s="135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0" t="s">
        <v>54</v>
      </c>
      <c r="D49" s="100" t="s">
        <v>124</v>
      </c>
      <c r="E49" s="101"/>
      <c r="F49" s="17" t="s">
        <v>106</v>
      </c>
      <c r="G49" s="72" t="s">
        <v>172</v>
      </c>
      <c r="H49" s="77">
        <v>9</v>
      </c>
      <c r="I49" s="75">
        <v>1</v>
      </c>
      <c r="J49" s="75">
        <v>1</v>
      </c>
      <c r="K49" s="75">
        <v>1</v>
      </c>
      <c r="L49" s="75">
        <v>1</v>
      </c>
      <c r="M49" s="97">
        <v>397.9</v>
      </c>
      <c r="N49" s="97"/>
      <c r="O49" s="93">
        <f t="shared" si="1"/>
        <v>397.9</v>
      </c>
      <c r="P49" s="123">
        <v>6</v>
      </c>
      <c r="Q49" s="124">
        <v>5</v>
      </c>
      <c r="R49" s="124">
        <v>5</v>
      </c>
      <c r="S49" s="97">
        <f>4105.06+1454.92</f>
        <v>5559.9800000000005</v>
      </c>
      <c r="T49" s="131">
        <f>4105.06</f>
        <v>4105.0600000000004</v>
      </c>
      <c r="U49" s="97">
        <f t="shared" si="2"/>
        <v>1454.92</v>
      </c>
      <c r="V49" s="135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0" t="s">
        <v>55</v>
      </c>
      <c r="D50" s="100" t="s">
        <v>124</v>
      </c>
      <c r="E50" s="101"/>
      <c r="F50" s="17" t="s">
        <v>106</v>
      </c>
      <c r="G50" s="72" t="s">
        <v>173</v>
      </c>
      <c r="H50" s="77">
        <v>11</v>
      </c>
      <c r="I50" s="75">
        <v>7</v>
      </c>
      <c r="J50" s="75">
        <v>7</v>
      </c>
      <c r="K50" s="75">
        <v>7</v>
      </c>
      <c r="L50" s="75">
        <v>5</v>
      </c>
      <c r="M50" s="97">
        <f>2478.12+2441.5</f>
        <v>4919.62</v>
      </c>
      <c r="N50" s="97">
        <v>2478.12</v>
      </c>
      <c r="O50" s="93">
        <f t="shared" si="1"/>
        <v>2441.5</v>
      </c>
      <c r="P50" s="123">
        <v>6</v>
      </c>
      <c r="Q50" s="124">
        <v>5</v>
      </c>
      <c r="R50" s="124">
        <v>5</v>
      </c>
      <c r="S50" s="97">
        <f>2457.28+1725.6</f>
        <v>4182.88</v>
      </c>
      <c r="T50" s="131"/>
      <c r="U50" s="97">
        <f t="shared" si="2"/>
        <v>4182.88</v>
      </c>
      <c r="V50" s="135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0" t="s">
        <v>56</v>
      </c>
      <c r="D51" s="100" t="s">
        <v>124</v>
      </c>
      <c r="E51" s="101"/>
      <c r="F51" s="17" t="s">
        <v>106</v>
      </c>
      <c r="G51" s="72" t="s">
        <v>174</v>
      </c>
      <c r="H51" s="77">
        <v>10</v>
      </c>
      <c r="I51" s="75">
        <v>5</v>
      </c>
      <c r="J51" s="75">
        <v>6</v>
      </c>
      <c r="K51" s="75">
        <v>6</v>
      </c>
      <c r="L51" s="75">
        <v>3</v>
      </c>
      <c r="M51" s="97">
        <v>1308.27</v>
      </c>
      <c r="N51" s="97">
        <v>1308.27</v>
      </c>
      <c r="O51" s="93">
        <f t="shared" si="1"/>
        <v>0</v>
      </c>
      <c r="P51" s="123">
        <v>1</v>
      </c>
      <c r="Q51" s="124">
        <v>1</v>
      </c>
      <c r="R51" s="124">
        <v>1</v>
      </c>
      <c r="S51" s="97">
        <v>728.15</v>
      </c>
      <c r="T51" s="131">
        <v>728.15</v>
      </c>
      <c r="U51" s="97">
        <f t="shared" si="2"/>
        <v>0</v>
      </c>
      <c r="V51" s="135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3" t="s">
        <v>57</v>
      </c>
      <c r="D52" s="100" t="s">
        <v>124</v>
      </c>
      <c r="E52" s="101"/>
      <c r="F52" s="17" t="s">
        <v>106</v>
      </c>
      <c r="G52" s="72" t="s">
        <v>175</v>
      </c>
      <c r="H52" s="77">
        <v>10</v>
      </c>
      <c r="I52" s="75">
        <v>5</v>
      </c>
      <c r="J52" s="75">
        <v>6</v>
      </c>
      <c r="K52" s="75">
        <v>6</v>
      </c>
      <c r="L52" s="75">
        <v>4</v>
      </c>
      <c r="M52" s="97">
        <f>613.9+1710.26</f>
        <v>2324.16</v>
      </c>
      <c r="N52" s="97">
        <v>341.06</v>
      </c>
      <c r="O52" s="93">
        <f t="shared" si="1"/>
        <v>1983.1</v>
      </c>
      <c r="P52" s="123">
        <v>5</v>
      </c>
      <c r="Q52" s="124">
        <v>4</v>
      </c>
      <c r="R52" s="124">
        <v>4</v>
      </c>
      <c r="S52" s="97">
        <f>1535.39+1035.3</f>
        <v>2570.69</v>
      </c>
      <c r="T52" s="131">
        <v>530.53</v>
      </c>
      <c r="U52" s="97">
        <f t="shared" si="2"/>
        <v>2040.16</v>
      </c>
      <c r="V52" s="142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3" t="s">
        <v>58</v>
      </c>
      <c r="D53" s="100" t="s">
        <v>124</v>
      </c>
      <c r="E53" s="101"/>
      <c r="F53" s="17" t="s">
        <v>106</v>
      </c>
      <c r="G53" s="72" t="s">
        <v>260</v>
      </c>
      <c r="H53" s="77">
        <v>4</v>
      </c>
      <c r="I53" s="75"/>
      <c r="J53" s="75"/>
      <c r="K53" s="75"/>
      <c r="L53" s="75"/>
      <c r="M53" s="97"/>
      <c r="N53" s="97"/>
      <c r="O53" s="93">
        <f t="shared" si="1"/>
        <v>0</v>
      </c>
      <c r="P53" s="123">
        <v>2</v>
      </c>
      <c r="Q53" s="124">
        <v>2</v>
      </c>
      <c r="R53" s="124">
        <v>2</v>
      </c>
      <c r="S53" s="97">
        <v>688</v>
      </c>
      <c r="T53" s="131">
        <f>688</f>
        <v>688</v>
      </c>
      <c r="U53" s="97">
        <f t="shared" si="2"/>
        <v>0</v>
      </c>
      <c r="V53" s="142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3" t="s">
        <v>59</v>
      </c>
      <c r="D54" s="100" t="s">
        <v>124</v>
      </c>
      <c r="E54" s="101"/>
      <c r="F54" s="17" t="s">
        <v>112</v>
      </c>
      <c r="G54" s="72" t="s">
        <v>176</v>
      </c>
      <c r="H54" s="77">
        <v>32</v>
      </c>
      <c r="I54" s="75">
        <v>19</v>
      </c>
      <c r="J54" s="75">
        <v>25</v>
      </c>
      <c r="K54" s="75">
        <v>17</v>
      </c>
      <c r="L54" s="75">
        <v>17</v>
      </c>
      <c r="M54" s="97">
        <f>575.32+6377.18</f>
        <v>6952.5</v>
      </c>
      <c r="N54" s="97">
        <v>413.4</v>
      </c>
      <c r="O54" s="93">
        <f t="shared" si="1"/>
        <v>6539.1</v>
      </c>
      <c r="P54" s="123">
        <v>17</v>
      </c>
      <c r="Q54" s="124">
        <v>17</v>
      </c>
      <c r="R54" s="124">
        <v>17</v>
      </c>
      <c r="S54" s="97">
        <f>9629.72+1321.59</f>
        <v>10951.31</v>
      </c>
      <c r="T54" s="131">
        <v>2632.7</v>
      </c>
      <c r="U54" s="97">
        <f t="shared" si="2"/>
        <v>8318.61</v>
      </c>
      <c r="V54" s="142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3" t="s">
        <v>60</v>
      </c>
      <c r="D55" s="100" t="s">
        <v>125</v>
      </c>
      <c r="E55" s="106" t="s">
        <v>126</v>
      </c>
      <c r="F55" s="17" t="s">
        <v>106</v>
      </c>
      <c r="G55" s="72" t="s">
        <v>177</v>
      </c>
      <c r="H55" s="77">
        <v>3</v>
      </c>
      <c r="I55" s="75">
        <v>1</v>
      </c>
      <c r="J55" s="75">
        <v>1</v>
      </c>
      <c r="K55" s="75">
        <v>1</v>
      </c>
      <c r="L55" s="75"/>
      <c r="M55" s="97">
        <v>1887.9</v>
      </c>
      <c r="N55" s="97">
        <v>1887.9</v>
      </c>
      <c r="O55" s="93">
        <f t="shared" si="1"/>
        <v>0</v>
      </c>
      <c r="P55" s="123">
        <v>3</v>
      </c>
      <c r="Q55" s="124">
        <v>3</v>
      </c>
      <c r="R55" s="124">
        <v>3</v>
      </c>
      <c r="S55" s="97">
        <f>757.9+1321.55+620.1</f>
        <v>2699.5499999999997</v>
      </c>
      <c r="T55" s="131">
        <v>757.9</v>
      </c>
      <c r="U55" s="97">
        <f t="shared" si="2"/>
        <v>1941.6499999999996</v>
      </c>
      <c r="V55" s="142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1" t="s">
        <v>61</v>
      </c>
      <c r="D56" s="100" t="s">
        <v>124</v>
      </c>
      <c r="E56" s="101"/>
      <c r="F56" s="17" t="s">
        <v>107</v>
      </c>
      <c r="G56" s="72" t="s">
        <v>178</v>
      </c>
      <c r="H56" s="77">
        <v>26</v>
      </c>
      <c r="I56" s="75">
        <v>16</v>
      </c>
      <c r="J56" s="75">
        <v>18</v>
      </c>
      <c r="K56" s="75">
        <v>15</v>
      </c>
      <c r="L56" s="75">
        <v>13</v>
      </c>
      <c r="M56" s="97">
        <f>2880.54+7232.73</f>
        <v>10113.27</v>
      </c>
      <c r="N56" s="97">
        <v>272.83999999999997</v>
      </c>
      <c r="O56" s="93">
        <f t="shared" si="1"/>
        <v>9840.43</v>
      </c>
      <c r="P56" s="123">
        <v>29</v>
      </c>
      <c r="Q56" s="124">
        <v>29</v>
      </c>
      <c r="R56" s="124">
        <v>24</v>
      </c>
      <c r="S56" s="97">
        <f>35028.07+10662.98</f>
        <v>45691.05</v>
      </c>
      <c r="T56" s="131">
        <v>14478.7</v>
      </c>
      <c r="U56" s="97">
        <f t="shared" si="2"/>
        <v>31212.350000000002</v>
      </c>
      <c r="V56" s="14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1" t="s">
        <v>134</v>
      </c>
      <c r="D57" s="100" t="s">
        <v>124</v>
      </c>
      <c r="E57" s="101"/>
      <c r="F57" s="17" t="s">
        <v>112</v>
      </c>
      <c r="G57" s="72" t="s">
        <v>179</v>
      </c>
      <c r="H57" s="77">
        <v>13</v>
      </c>
      <c r="I57" s="75">
        <v>4</v>
      </c>
      <c r="J57" s="75">
        <v>4</v>
      </c>
      <c r="K57" s="75"/>
      <c r="L57" s="75"/>
      <c r="M57" s="97"/>
      <c r="N57" s="97"/>
      <c r="O57" s="93">
        <f t="shared" si="1"/>
        <v>0</v>
      </c>
      <c r="P57" s="123"/>
      <c r="Q57" s="124"/>
      <c r="R57" s="124"/>
      <c r="S57" s="97"/>
      <c r="T57" s="131"/>
      <c r="U57" s="97">
        <f t="shared" si="2"/>
        <v>0</v>
      </c>
      <c r="V57" s="14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1" t="s">
        <v>62</v>
      </c>
      <c r="D58" s="100" t="s">
        <v>124</v>
      </c>
      <c r="E58" s="101"/>
      <c r="F58" s="17" t="s">
        <v>106</v>
      </c>
      <c r="G58" s="72" t="s">
        <v>230</v>
      </c>
      <c r="H58" s="77"/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131"/>
      <c r="U58" s="97">
        <f t="shared" si="2"/>
        <v>0</v>
      </c>
      <c r="V58" s="14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1" t="s">
        <v>63</v>
      </c>
      <c r="D59" s="100" t="s">
        <v>124</v>
      </c>
      <c r="E59" s="101"/>
      <c r="F59" s="22" t="s">
        <v>112</v>
      </c>
      <c r="G59" s="72" t="s">
        <v>224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131"/>
      <c r="U59" s="97">
        <f t="shared" si="2"/>
        <v>0</v>
      </c>
      <c r="V59" s="14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1" t="s">
        <v>64</v>
      </c>
      <c r="D60" s="100" t="s">
        <v>124</v>
      </c>
      <c r="E60" s="101"/>
      <c r="F60" s="22" t="s">
        <v>107</v>
      </c>
      <c r="G60" s="72" t="s">
        <v>180</v>
      </c>
      <c r="H60" s="77">
        <v>26</v>
      </c>
      <c r="I60" s="75">
        <v>13</v>
      </c>
      <c r="J60" s="75">
        <v>21</v>
      </c>
      <c r="K60" s="75">
        <v>19</v>
      </c>
      <c r="L60" s="75">
        <v>12</v>
      </c>
      <c r="M60" s="97">
        <f>4967.08+2976.17+4153.2</f>
        <v>12096.45</v>
      </c>
      <c r="N60" s="97">
        <f>4967.08</f>
        <v>4967.08</v>
      </c>
      <c r="O60" s="93">
        <f t="shared" si="1"/>
        <v>7129.3700000000008</v>
      </c>
      <c r="P60" s="123">
        <v>6</v>
      </c>
      <c r="Q60" s="124">
        <v>6</v>
      </c>
      <c r="R60" s="124">
        <v>5</v>
      </c>
      <c r="S60" s="97">
        <v>6524.72</v>
      </c>
      <c r="T60" s="131">
        <f>6524.72</f>
        <v>6524.72</v>
      </c>
      <c r="U60" s="97">
        <f t="shared" si="2"/>
        <v>0</v>
      </c>
      <c r="V60" s="14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1" t="s">
        <v>135</v>
      </c>
      <c r="D61" s="100" t="s">
        <v>124</v>
      </c>
      <c r="E61" s="101"/>
      <c r="F61" s="22" t="s">
        <v>111</v>
      </c>
      <c r="G61" s="72" t="s">
        <v>181</v>
      </c>
      <c r="H61" s="77">
        <v>8</v>
      </c>
      <c r="I61" s="75">
        <v>4</v>
      </c>
      <c r="J61" s="75">
        <v>4</v>
      </c>
      <c r="K61" s="75">
        <v>4</v>
      </c>
      <c r="L61" s="75">
        <v>2</v>
      </c>
      <c r="M61" s="97">
        <v>1098.6400000000001</v>
      </c>
      <c r="N61" s="97"/>
      <c r="O61" s="93">
        <f t="shared" si="1"/>
        <v>1098.6400000000001</v>
      </c>
      <c r="P61" s="123"/>
      <c r="Q61" s="124"/>
      <c r="R61" s="124"/>
      <c r="S61" s="97"/>
      <c r="T61" s="131"/>
      <c r="U61" s="97">
        <f t="shared" si="2"/>
        <v>0</v>
      </c>
      <c r="V61" s="14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3" t="s">
        <v>65</v>
      </c>
      <c r="D62" s="100" t="s">
        <v>124</v>
      </c>
      <c r="E62" s="101"/>
      <c r="F62" s="17" t="s">
        <v>106</v>
      </c>
      <c r="G62" s="72" t="s">
        <v>182</v>
      </c>
      <c r="H62" s="77">
        <v>11</v>
      </c>
      <c r="I62" s="75">
        <v>2</v>
      </c>
      <c r="J62" s="75">
        <v>2</v>
      </c>
      <c r="K62" s="75">
        <v>2</v>
      </c>
      <c r="L62" s="75">
        <v>2</v>
      </c>
      <c r="M62" s="97">
        <f>1263.45+2111.32</f>
        <v>3374.7700000000004</v>
      </c>
      <c r="N62" s="97">
        <v>1263.45</v>
      </c>
      <c r="O62" s="93">
        <f t="shared" si="1"/>
        <v>2111.3200000000006</v>
      </c>
      <c r="P62" s="123">
        <v>6</v>
      </c>
      <c r="Q62" s="124">
        <v>6</v>
      </c>
      <c r="R62" s="124">
        <v>6</v>
      </c>
      <c r="S62" s="97">
        <f>740.14+4736.32</f>
        <v>5476.46</v>
      </c>
      <c r="T62" s="131">
        <v>740.14</v>
      </c>
      <c r="U62" s="97">
        <f t="shared" si="2"/>
        <v>4736.32</v>
      </c>
    </row>
    <row r="63" spans="1:40" ht="20.100000000000001" customHeight="1" x14ac:dyDescent="0.25">
      <c r="B63" s="99">
        <f t="shared" si="3"/>
        <v>54</v>
      </c>
      <c r="C63" s="13" t="s">
        <v>66</v>
      </c>
      <c r="D63" s="100" t="s">
        <v>124</v>
      </c>
      <c r="E63" s="101"/>
      <c r="F63" s="17" t="s">
        <v>112</v>
      </c>
      <c r="G63" s="72" t="s">
        <v>227</v>
      </c>
      <c r="H63" s="77"/>
      <c r="I63" s="75"/>
      <c r="J63" s="75"/>
      <c r="K63" s="75"/>
      <c r="L63" s="75"/>
      <c r="M63" s="97"/>
      <c r="N63" s="97"/>
      <c r="O63" s="93">
        <f t="shared" si="1"/>
        <v>0</v>
      </c>
      <c r="P63" s="123">
        <v>28</v>
      </c>
      <c r="Q63" s="124">
        <v>8</v>
      </c>
      <c r="R63" s="124">
        <v>8</v>
      </c>
      <c r="S63" s="97">
        <v>3232.69</v>
      </c>
      <c r="T63" s="131">
        <v>3232.69</v>
      </c>
      <c r="U63" s="97">
        <f t="shared" si="2"/>
        <v>0</v>
      </c>
    </row>
    <row r="64" spans="1:40" ht="20.100000000000001" customHeight="1" x14ac:dyDescent="0.25">
      <c r="A64" s="155">
        <v>50</v>
      </c>
      <c r="B64" s="99">
        <f t="shared" si="3"/>
        <v>55</v>
      </c>
      <c r="C64" s="10" t="s">
        <v>67</v>
      </c>
      <c r="D64" s="100" t="s">
        <v>124</v>
      </c>
      <c r="E64" s="101"/>
      <c r="F64" s="17" t="s">
        <v>106</v>
      </c>
      <c r="G64" s="72" t="s">
        <v>183</v>
      </c>
      <c r="H64" s="77">
        <v>16</v>
      </c>
      <c r="I64" s="75">
        <v>6</v>
      </c>
      <c r="J64" s="75">
        <v>7</v>
      </c>
      <c r="K64" s="75">
        <v>7</v>
      </c>
      <c r="L64" s="75">
        <v>4</v>
      </c>
      <c r="M64" s="97">
        <v>2495.13</v>
      </c>
      <c r="N64" s="97">
        <v>2495.13</v>
      </c>
      <c r="O64" s="93">
        <f t="shared" si="1"/>
        <v>0</v>
      </c>
      <c r="P64" s="123">
        <v>8</v>
      </c>
      <c r="Q64" s="124">
        <v>8</v>
      </c>
      <c r="R64" s="124">
        <v>6</v>
      </c>
      <c r="S64" s="97">
        <v>3377.96</v>
      </c>
      <c r="T64" s="131">
        <v>3377.96</v>
      </c>
      <c r="U64" s="97">
        <f t="shared" si="2"/>
        <v>0</v>
      </c>
    </row>
    <row r="65" spans="1:21" ht="20.100000000000001" customHeight="1" x14ac:dyDescent="0.25">
      <c r="A65" s="155">
        <v>51</v>
      </c>
      <c r="B65" s="99">
        <f t="shared" si="3"/>
        <v>56</v>
      </c>
      <c r="C65" s="10" t="s">
        <v>68</v>
      </c>
      <c r="D65" s="100" t="s">
        <v>124</v>
      </c>
      <c r="E65" s="101"/>
      <c r="F65" s="17" t="s">
        <v>111</v>
      </c>
      <c r="G65" s="72" t="s">
        <v>184</v>
      </c>
      <c r="H65" s="77">
        <v>18</v>
      </c>
      <c r="I65" s="75">
        <v>15</v>
      </c>
      <c r="J65" s="75">
        <v>18</v>
      </c>
      <c r="K65" s="75">
        <v>11</v>
      </c>
      <c r="L65" s="75">
        <v>9</v>
      </c>
      <c r="M65" s="97">
        <f>620.1+6964.42</f>
        <v>7584.52</v>
      </c>
      <c r="N65" s="97">
        <v>620.1</v>
      </c>
      <c r="O65" s="93">
        <f t="shared" si="1"/>
        <v>6964.42</v>
      </c>
      <c r="P65" s="123">
        <v>10</v>
      </c>
      <c r="Q65" s="124">
        <v>9</v>
      </c>
      <c r="R65" s="124">
        <v>8</v>
      </c>
      <c r="S65" s="97">
        <v>5363.21</v>
      </c>
      <c r="T65" s="131">
        <v>5363.21</v>
      </c>
      <c r="U65" s="97">
        <f t="shared" si="2"/>
        <v>0</v>
      </c>
    </row>
    <row r="66" spans="1:21" ht="20.100000000000001" customHeight="1" x14ac:dyDescent="0.25">
      <c r="A66" s="155">
        <v>52</v>
      </c>
      <c r="B66" s="99">
        <f t="shared" si="3"/>
        <v>57</v>
      </c>
      <c r="C66" s="13" t="s">
        <v>69</v>
      </c>
      <c r="D66" s="100" t="s">
        <v>124</v>
      </c>
      <c r="E66" s="101"/>
      <c r="F66" s="17" t="s">
        <v>106</v>
      </c>
      <c r="G66" s="72" t="s">
        <v>185</v>
      </c>
      <c r="H66" s="77">
        <v>3</v>
      </c>
      <c r="I66" s="75">
        <v>2</v>
      </c>
      <c r="J66" s="75">
        <v>3</v>
      </c>
      <c r="K66" s="75">
        <v>3</v>
      </c>
      <c r="L66" s="75">
        <v>3</v>
      </c>
      <c r="M66" s="97">
        <f>463.83+1653.6</f>
        <v>2117.4299999999998</v>
      </c>
      <c r="N66" s="97"/>
      <c r="O66" s="93">
        <f t="shared" si="1"/>
        <v>2117.4299999999998</v>
      </c>
      <c r="P66" s="123">
        <v>4</v>
      </c>
      <c r="Q66" s="124">
        <v>4</v>
      </c>
      <c r="R66" s="124">
        <v>4</v>
      </c>
      <c r="S66" s="97">
        <v>3148.1</v>
      </c>
      <c r="T66" s="131">
        <v>2318.17</v>
      </c>
      <c r="U66" s="97">
        <f t="shared" si="2"/>
        <v>829.92999999999984</v>
      </c>
    </row>
    <row r="67" spans="1:21" ht="20.100000000000001" customHeight="1" x14ac:dyDescent="0.25">
      <c r="A67" s="155">
        <v>53</v>
      </c>
      <c r="B67" s="99">
        <f t="shared" si="3"/>
        <v>58</v>
      </c>
      <c r="C67" s="11" t="s">
        <v>70</v>
      </c>
      <c r="D67" s="100" t="s">
        <v>124</v>
      </c>
      <c r="E67" s="101"/>
      <c r="F67" s="17" t="s">
        <v>107</v>
      </c>
      <c r="G67" s="72" t="s">
        <v>186</v>
      </c>
      <c r="H67" s="77">
        <v>25</v>
      </c>
      <c r="I67" s="75">
        <v>20</v>
      </c>
      <c r="J67" s="75">
        <v>24</v>
      </c>
      <c r="K67" s="75">
        <v>23</v>
      </c>
      <c r="L67" s="75">
        <v>16</v>
      </c>
      <c r="M67" s="97">
        <f>6122.06+2634.24+3593.96</f>
        <v>12350.259999999998</v>
      </c>
      <c r="N67" s="97">
        <v>1327.02</v>
      </c>
      <c r="O67" s="93">
        <f t="shared" si="1"/>
        <v>11023.239999999998</v>
      </c>
      <c r="P67" s="123">
        <v>7</v>
      </c>
      <c r="Q67" s="124">
        <v>7</v>
      </c>
      <c r="R67" s="124">
        <v>7</v>
      </c>
      <c r="S67" s="97">
        <f>1207.07+5904.8</f>
        <v>7111.87</v>
      </c>
      <c r="T67" s="131">
        <v>1207.07</v>
      </c>
      <c r="U67" s="97">
        <f t="shared" si="2"/>
        <v>5904.8</v>
      </c>
    </row>
    <row r="68" spans="1:21" ht="20.100000000000001" customHeight="1" x14ac:dyDescent="0.25">
      <c r="A68" s="155">
        <v>54</v>
      </c>
      <c r="B68" s="99">
        <f t="shared" si="3"/>
        <v>59</v>
      </c>
      <c r="C68" s="11" t="s">
        <v>71</v>
      </c>
      <c r="D68" s="100" t="s">
        <v>124</v>
      </c>
      <c r="E68" s="101"/>
      <c r="F68" s="17" t="s">
        <v>117</v>
      </c>
      <c r="G68" s="72" t="s">
        <v>187</v>
      </c>
      <c r="H68" s="77">
        <v>20</v>
      </c>
      <c r="I68" s="75">
        <v>17</v>
      </c>
      <c r="J68" s="75">
        <v>26</v>
      </c>
      <c r="K68" s="75">
        <v>26</v>
      </c>
      <c r="L68" s="75">
        <v>17</v>
      </c>
      <c r="M68" s="97">
        <f>4665.7+7448.87</f>
        <v>12114.57</v>
      </c>
      <c r="N68" s="97">
        <v>992.16</v>
      </c>
      <c r="O68" s="93">
        <f t="shared" si="1"/>
        <v>11122.41</v>
      </c>
      <c r="P68" s="123">
        <v>10</v>
      </c>
      <c r="Q68" s="124">
        <v>10</v>
      </c>
      <c r="R68" s="124">
        <v>10</v>
      </c>
      <c r="S68" s="97">
        <v>6249.15</v>
      </c>
      <c r="T68" s="131">
        <v>3017.19</v>
      </c>
      <c r="U68" s="97">
        <f t="shared" si="2"/>
        <v>3231.9599999999996</v>
      </c>
    </row>
    <row r="69" spans="1:21" ht="20.100000000000001" customHeight="1" x14ac:dyDescent="0.25">
      <c r="A69" s="155">
        <v>55</v>
      </c>
      <c r="B69" s="99">
        <f t="shared" si="3"/>
        <v>60</v>
      </c>
      <c r="C69" s="11" t="s">
        <v>72</v>
      </c>
      <c r="D69" s="100" t="s">
        <v>125</v>
      </c>
      <c r="E69" s="106" t="s">
        <v>126</v>
      </c>
      <c r="F69" s="17" t="s">
        <v>106</v>
      </c>
      <c r="G69" s="72" t="s">
        <v>188</v>
      </c>
      <c r="H69" s="77">
        <v>5</v>
      </c>
      <c r="I69" s="75">
        <v>2</v>
      </c>
      <c r="J69" s="75">
        <v>2</v>
      </c>
      <c r="K69" s="75">
        <v>2</v>
      </c>
      <c r="L69" s="75"/>
      <c r="M69" s="97"/>
      <c r="N69" s="97"/>
      <c r="O69" s="93">
        <f t="shared" si="1"/>
        <v>0</v>
      </c>
      <c r="P69" s="123"/>
      <c r="Q69" s="124"/>
      <c r="R69" s="124"/>
      <c r="S69" s="97"/>
      <c r="T69" s="131"/>
      <c r="U69" s="97">
        <f t="shared" si="2"/>
        <v>0</v>
      </c>
    </row>
    <row r="70" spans="1:21" ht="20.100000000000001" customHeight="1" x14ac:dyDescent="0.25">
      <c r="A70" s="155">
        <v>56</v>
      </c>
      <c r="B70" s="99">
        <f t="shared" si="3"/>
        <v>61</v>
      </c>
      <c r="C70" s="10" t="s">
        <v>73</v>
      </c>
      <c r="D70" s="100" t="s">
        <v>124</v>
      </c>
      <c r="E70" s="101"/>
      <c r="F70" s="17" t="s">
        <v>106</v>
      </c>
      <c r="G70" s="72" t="s">
        <v>189</v>
      </c>
      <c r="H70" s="77">
        <v>7</v>
      </c>
      <c r="I70" s="75">
        <v>2</v>
      </c>
      <c r="J70" s="75">
        <v>2</v>
      </c>
      <c r="K70" s="75">
        <v>2</v>
      </c>
      <c r="L70" s="75"/>
      <c r="M70" s="97"/>
      <c r="N70" s="97"/>
      <c r="O70" s="93">
        <f t="shared" si="1"/>
        <v>0</v>
      </c>
      <c r="P70" s="123">
        <v>1</v>
      </c>
      <c r="Q70" s="124">
        <v>1</v>
      </c>
      <c r="R70" s="124">
        <v>1</v>
      </c>
      <c r="S70" s="97">
        <v>551.20000000000005</v>
      </c>
      <c r="T70" s="131"/>
      <c r="U70" s="97">
        <f t="shared" si="2"/>
        <v>551.20000000000005</v>
      </c>
    </row>
    <row r="71" spans="1:21" ht="20.100000000000001" customHeight="1" x14ac:dyDescent="0.25">
      <c r="A71" s="155">
        <v>57</v>
      </c>
      <c r="B71" s="99">
        <f t="shared" si="3"/>
        <v>62</v>
      </c>
      <c r="C71" s="11" t="s">
        <v>74</v>
      </c>
      <c r="D71" s="100" t="s">
        <v>124</v>
      </c>
      <c r="E71" s="101"/>
      <c r="F71" s="17" t="s">
        <v>111</v>
      </c>
      <c r="G71" s="72" t="s">
        <v>190</v>
      </c>
      <c r="H71" s="77">
        <v>10</v>
      </c>
      <c r="I71" s="75">
        <v>3</v>
      </c>
      <c r="J71" s="75">
        <v>3</v>
      </c>
      <c r="K71" s="75">
        <v>3</v>
      </c>
      <c r="L71" s="75">
        <v>2</v>
      </c>
      <c r="M71" s="97">
        <v>2228.5</v>
      </c>
      <c r="N71" s="97">
        <v>2228.5</v>
      </c>
      <c r="O71" s="93">
        <f t="shared" si="1"/>
        <v>0</v>
      </c>
      <c r="P71" s="123">
        <v>21</v>
      </c>
      <c r="Q71" s="124">
        <v>20</v>
      </c>
      <c r="R71" s="124">
        <v>17</v>
      </c>
      <c r="S71" s="97">
        <f>27744.56+14819.18</f>
        <v>42563.740000000005</v>
      </c>
      <c r="T71" s="131">
        <v>27744.560000000001</v>
      </c>
      <c r="U71" s="97">
        <f t="shared" si="2"/>
        <v>14819.180000000004</v>
      </c>
    </row>
    <row r="72" spans="1:21" ht="20.100000000000001" customHeight="1" x14ac:dyDescent="0.25">
      <c r="A72" s="155">
        <v>58</v>
      </c>
      <c r="B72" s="99">
        <f t="shared" si="3"/>
        <v>63</v>
      </c>
      <c r="C72" s="11" t="s">
        <v>75</v>
      </c>
      <c r="D72" s="100" t="s">
        <v>124</v>
      </c>
      <c r="E72" s="101"/>
      <c r="F72" s="17" t="s">
        <v>118</v>
      </c>
      <c r="G72" s="72" t="s">
        <v>191</v>
      </c>
      <c r="H72" s="77">
        <v>6</v>
      </c>
      <c r="I72" s="75">
        <v>2</v>
      </c>
      <c r="J72" s="75">
        <v>3</v>
      </c>
      <c r="K72" s="75">
        <v>3</v>
      </c>
      <c r="L72" s="75">
        <v>2</v>
      </c>
      <c r="M72" s="97">
        <v>1163.72</v>
      </c>
      <c r="N72" s="97"/>
      <c r="O72" s="93">
        <f t="shared" si="1"/>
        <v>1163.72</v>
      </c>
      <c r="P72" s="123">
        <v>7</v>
      </c>
      <c r="Q72" s="124">
        <v>7</v>
      </c>
      <c r="R72" s="124">
        <v>7</v>
      </c>
      <c r="S72" s="97">
        <f>3959.69+961.38</f>
        <v>4921.07</v>
      </c>
      <c r="T72" s="131">
        <v>3959.69</v>
      </c>
      <c r="U72" s="97">
        <f t="shared" si="2"/>
        <v>961.37999999999965</v>
      </c>
    </row>
    <row r="73" spans="1:21" ht="20.100000000000001" customHeight="1" x14ac:dyDescent="0.25">
      <c r="A73" s="155">
        <v>59</v>
      </c>
      <c r="B73" s="99">
        <f t="shared" si="3"/>
        <v>64</v>
      </c>
      <c r="C73" s="10" t="s">
        <v>76</v>
      </c>
      <c r="D73" s="100" t="s">
        <v>124</v>
      </c>
      <c r="E73" s="101"/>
      <c r="F73" s="10" t="s">
        <v>105</v>
      </c>
      <c r="G73" s="72" t="s">
        <v>192</v>
      </c>
      <c r="H73" s="77">
        <v>9</v>
      </c>
      <c r="I73" s="75">
        <v>2</v>
      </c>
      <c r="J73" s="75">
        <v>2</v>
      </c>
      <c r="K73" s="75">
        <v>2</v>
      </c>
      <c r="L73" s="75">
        <v>2</v>
      </c>
      <c r="M73" s="97">
        <v>507.1</v>
      </c>
      <c r="N73" s="97"/>
      <c r="O73" s="93">
        <f t="shared" si="1"/>
        <v>507.1</v>
      </c>
      <c r="P73" s="123">
        <v>3</v>
      </c>
      <c r="Q73" s="124">
        <v>3</v>
      </c>
      <c r="R73" s="124">
        <v>3</v>
      </c>
      <c r="S73" s="97">
        <v>1821.06</v>
      </c>
      <c r="T73" s="131">
        <v>1821.06</v>
      </c>
      <c r="U73" s="97">
        <f t="shared" si="2"/>
        <v>0</v>
      </c>
    </row>
    <row r="74" spans="1:21" ht="20.100000000000001" customHeight="1" x14ac:dyDescent="0.25">
      <c r="B74" s="99">
        <f t="shared" si="3"/>
        <v>65</v>
      </c>
      <c r="C74" s="11" t="s">
        <v>77</v>
      </c>
      <c r="D74" s="100" t="s">
        <v>124</v>
      </c>
      <c r="E74" s="101"/>
      <c r="F74" s="10" t="s">
        <v>111</v>
      </c>
      <c r="G74" s="72" t="s">
        <v>225</v>
      </c>
      <c r="H74" s="77"/>
      <c r="I74" s="75"/>
      <c r="J74" s="75"/>
      <c r="K74" s="75"/>
      <c r="L74" s="75"/>
      <c r="M74" s="97"/>
      <c r="N74" s="97"/>
      <c r="O74" s="93">
        <f t="shared" si="1"/>
        <v>0</v>
      </c>
      <c r="P74" s="123">
        <v>1</v>
      </c>
      <c r="Q74" s="124">
        <v>1</v>
      </c>
      <c r="R74" s="124">
        <v>1</v>
      </c>
      <c r="S74" s="97">
        <v>3278.32</v>
      </c>
      <c r="T74" s="131">
        <v>3278.32</v>
      </c>
      <c r="U74" s="97">
        <f t="shared" si="2"/>
        <v>0</v>
      </c>
    </row>
    <row r="75" spans="1:21" ht="20.100000000000001" customHeight="1" x14ac:dyDescent="0.25">
      <c r="A75" s="155">
        <v>60</v>
      </c>
      <c r="B75" s="99">
        <f t="shared" si="3"/>
        <v>66</v>
      </c>
      <c r="C75" s="10" t="s">
        <v>78</v>
      </c>
      <c r="D75" s="100" t="s">
        <v>124</v>
      </c>
      <c r="E75" s="101"/>
      <c r="F75" s="23" t="s">
        <v>119</v>
      </c>
      <c r="G75" s="72" t="s">
        <v>193</v>
      </c>
      <c r="H75" s="77">
        <v>5</v>
      </c>
      <c r="I75" s="75"/>
      <c r="J75" s="75"/>
      <c r="K75" s="75"/>
      <c r="L75" s="75"/>
      <c r="M75" s="97"/>
      <c r="N75" s="97"/>
      <c r="O75" s="93">
        <f t="shared" ref="O75:O102" si="4" xml:space="preserve"> (M75-N75)</f>
        <v>0</v>
      </c>
      <c r="P75" s="123">
        <v>2</v>
      </c>
      <c r="Q75" s="124">
        <v>2</v>
      </c>
      <c r="R75" s="124">
        <v>2</v>
      </c>
      <c r="S75" s="97">
        <v>617.03</v>
      </c>
      <c r="T75" s="131">
        <v>617.03</v>
      </c>
      <c r="U75" s="97">
        <f t="shared" ref="U75:U102" si="5" xml:space="preserve"> (S75-T75)</f>
        <v>0</v>
      </c>
    </row>
    <row r="76" spans="1:21" ht="20.100000000000001" customHeight="1" x14ac:dyDescent="0.25">
      <c r="A76" s="155">
        <v>61</v>
      </c>
      <c r="B76" s="99">
        <f t="shared" ref="B76:B101" si="6">B75+1</f>
        <v>67</v>
      </c>
      <c r="C76" s="11" t="s">
        <v>79</v>
      </c>
      <c r="D76" s="100" t="s">
        <v>124</v>
      </c>
      <c r="E76" s="101"/>
      <c r="F76" s="17" t="s">
        <v>106</v>
      </c>
      <c r="G76" s="72" t="s">
        <v>194</v>
      </c>
      <c r="H76" s="77">
        <v>17</v>
      </c>
      <c r="I76" s="75">
        <v>7</v>
      </c>
      <c r="J76" s="75">
        <v>11</v>
      </c>
      <c r="K76" s="75">
        <v>11</v>
      </c>
      <c r="L76" s="75">
        <v>8</v>
      </c>
      <c r="M76" s="97">
        <f>1065.4+3931.58</f>
        <v>4996.9799999999996</v>
      </c>
      <c r="N76" s="97">
        <v>522.80999999999995</v>
      </c>
      <c r="O76" s="93">
        <f t="shared" si="4"/>
        <v>4474.17</v>
      </c>
      <c r="P76" s="123">
        <v>5</v>
      </c>
      <c r="Q76" s="124">
        <v>5</v>
      </c>
      <c r="R76" s="124">
        <v>4</v>
      </c>
      <c r="S76" s="97">
        <f>2337.1+1182.32</f>
        <v>3519.42</v>
      </c>
      <c r="T76" s="131">
        <v>373.44</v>
      </c>
      <c r="U76" s="97">
        <f t="shared" si="5"/>
        <v>3145.98</v>
      </c>
    </row>
    <row r="77" spans="1:21" ht="20.100000000000001" customHeight="1" x14ac:dyDescent="0.25">
      <c r="A77" s="155">
        <v>62</v>
      </c>
      <c r="B77" s="99">
        <f t="shared" si="6"/>
        <v>68</v>
      </c>
      <c r="C77" s="11" t="s">
        <v>80</v>
      </c>
      <c r="D77" s="100" t="s">
        <v>124</v>
      </c>
      <c r="E77" s="101"/>
      <c r="F77" s="17" t="s">
        <v>106</v>
      </c>
      <c r="G77" s="72" t="s">
        <v>195</v>
      </c>
      <c r="H77" s="77">
        <v>10</v>
      </c>
      <c r="I77" s="75">
        <v>3</v>
      </c>
      <c r="J77" s="75">
        <v>3</v>
      </c>
      <c r="K77" s="75">
        <v>3</v>
      </c>
      <c r="L77" s="75">
        <v>2</v>
      </c>
      <c r="M77" s="97">
        <f>3034.57</f>
        <v>3034.57</v>
      </c>
      <c r="N77" s="97"/>
      <c r="O77" s="93">
        <f t="shared" si="4"/>
        <v>3034.57</v>
      </c>
      <c r="P77" s="123"/>
      <c r="Q77" s="124"/>
      <c r="R77" s="124"/>
      <c r="S77" s="97"/>
      <c r="T77" s="131"/>
      <c r="U77" s="97">
        <f t="shared" si="5"/>
        <v>0</v>
      </c>
    </row>
    <row r="78" spans="1:21" ht="20.100000000000001" customHeight="1" x14ac:dyDescent="0.25">
      <c r="B78" s="99">
        <f t="shared" si="6"/>
        <v>69</v>
      </c>
      <c r="C78" s="14" t="s">
        <v>81</v>
      </c>
      <c r="D78" s="100" t="s">
        <v>124</v>
      </c>
      <c r="E78" s="101"/>
      <c r="F78" s="10" t="s">
        <v>106</v>
      </c>
      <c r="G78" s="72" t="s">
        <v>226</v>
      </c>
      <c r="H78" s="77"/>
      <c r="I78" s="75"/>
      <c r="J78" s="75"/>
      <c r="K78" s="75"/>
      <c r="L78" s="75"/>
      <c r="M78" s="97"/>
      <c r="N78" s="97"/>
      <c r="O78" s="93">
        <f t="shared" si="4"/>
        <v>0</v>
      </c>
      <c r="P78" s="123">
        <v>8</v>
      </c>
      <c r="Q78" s="124">
        <v>8</v>
      </c>
      <c r="R78" s="124">
        <v>8</v>
      </c>
      <c r="S78" s="97">
        <v>3889.76</v>
      </c>
      <c r="T78" s="131">
        <v>3889.76</v>
      </c>
      <c r="U78" s="97">
        <f t="shared" si="5"/>
        <v>0</v>
      </c>
    </row>
    <row r="79" spans="1:21" ht="20.100000000000001" customHeight="1" x14ac:dyDescent="0.25">
      <c r="A79" s="155">
        <v>63</v>
      </c>
      <c r="B79" s="99">
        <f t="shared" si="6"/>
        <v>70</v>
      </c>
      <c r="C79" s="14" t="s">
        <v>82</v>
      </c>
      <c r="D79" s="100" t="s">
        <v>124</v>
      </c>
      <c r="E79" s="101"/>
      <c r="F79" s="10" t="s">
        <v>106</v>
      </c>
      <c r="G79" s="72" t="s">
        <v>196</v>
      </c>
      <c r="H79" s="77">
        <v>11</v>
      </c>
      <c r="I79" s="75">
        <v>6</v>
      </c>
      <c r="J79" s="75">
        <v>8</v>
      </c>
      <c r="K79" s="75">
        <v>8</v>
      </c>
      <c r="L79" s="75">
        <v>2</v>
      </c>
      <c r="M79" s="97">
        <f>272.84+664.75</f>
        <v>937.58999999999992</v>
      </c>
      <c r="N79" s="97">
        <v>272.83999999999997</v>
      </c>
      <c r="O79" s="93">
        <f t="shared" si="4"/>
        <v>664.75</v>
      </c>
      <c r="P79" s="123">
        <v>1</v>
      </c>
      <c r="Q79" s="124">
        <v>1</v>
      </c>
      <c r="R79" s="124">
        <v>1</v>
      </c>
      <c r="S79" s="97">
        <v>275.60000000000002</v>
      </c>
      <c r="T79" s="131">
        <v>275.60000000000002</v>
      </c>
      <c r="U79" s="97">
        <f t="shared" si="5"/>
        <v>0</v>
      </c>
    </row>
    <row r="80" spans="1:21" ht="20.100000000000001" customHeight="1" x14ac:dyDescent="0.25">
      <c r="A80" s="155">
        <v>64</v>
      </c>
      <c r="B80" s="99">
        <f t="shared" si="6"/>
        <v>71</v>
      </c>
      <c r="C80" s="14" t="s">
        <v>83</v>
      </c>
      <c r="D80" s="100" t="s">
        <v>124</v>
      </c>
      <c r="E80" s="101"/>
      <c r="F80" s="10" t="s">
        <v>106</v>
      </c>
      <c r="G80" s="72" t="s">
        <v>197</v>
      </c>
      <c r="H80" s="77">
        <v>13</v>
      </c>
      <c r="I80" s="75">
        <v>6</v>
      </c>
      <c r="J80" s="75">
        <v>6</v>
      </c>
      <c r="K80" s="75">
        <v>6</v>
      </c>
      <c r="L80" s="75">
        <v>3</v>
      </c>
      <c r="M80" s="97">
        <f>531.74+1660.98</f>
        <v>2192.7200000000003</v>
      </c>
      <c r="N80" s="97">
        <v>531.74</v>
      </c>
      <c r="O80" s="93">
        <f t="shared" si="4"/>
        <v>1660.9800000000002</v>
      </c>
      <c r="P80" s="123">
        <v>7</v>
      </c>
      <c r="Q80" s="124">
        <v>7</v>
      </c>
      <c r="R80" s="124">
        <v>6</v>
      </c>
      <c r="S80" s="97">
        <f>12327.43+413.4</f>
        <v>12740.83</v>
      </c>
      <c r="T80" s="131">
        <v>12327.43</v>
      </c>
      <c r="U80" s="97">
        <f t="shared" si="5"/>
        <v>413.39999999999964</v>
      </c>
    </row>
    <row r="81" spans="1:21" ht="20.100000000000001" customHeight="1" x14ac:dyDescent="0.25">
      <c r="A81" s="155">
        <v>65</v>
      </c>
      <c r="B81" s="99">
        <f t="shared" si="6"/>
        <v>72</v>
      </c>
      <c r="C81" s="11" t="s">
        <v>84</v>
      </c>
      <c r="D81" s="100" t="s">
        <v>124</v>
      </c>
      <c r="E81" s="101"/>
      <c r="F81" s="10" t="s">
        <v>120</v>
      </c>
      <c r="G81" s="72" t="s">
        <v>198</v>
      </c>
      <c r="H81" s="77">
        <v>1</v>
      </c>
      <c r="I81" s="75"/>
      <c r="J81" s="75"/>
      <c r="K81" s="75"/>
      <c r="L81" s="75"/>
      <c r="M81" s="97"/>
      <c r="N81" s="97"/>
      <c r="O81" s="93">
        <f t="shared" si="4"/>
        <v>0</v>
      </c>
      <c r="P81" s="123"/>
      <c r="Q81" s="124"/>
      <c r="R81" s="124"/>
      <c r="S81" s="97"/>
      <c r="T81" s="131"/>
      <c r="U81" s="97">
        <f t="shared" si="5"/>
        <v>0</v>
      </c>
    </row>
    <row r="82" spans="1:21" ht="20.100000000000001" customHeight="1" x14ac:dyDescent="0.25">
      <c r="A82" s="155">
        <v>66</v>
      </c>
      <c r="B82" s="99">
        <f t="shared" si="6"/>
        <v>73</v>
      </c>
      <c r="C82" s="13" t="s">
        <v>85</v>
      </c>
      <c r="D82" s="100" t="s">
        <v>124</v>
      </c>
      <c r="E82" s="101"/>
      <c r="F82" s="19" t="s">
        <v>106</v>
      </c>
      <c r="G82" s="72" t="s">
        <v>199</v>
      </c>
      <c r="H82" s="77">
        <v>14</v>
      </c>
      <c r="I82" s="75">
        <v>5</v>
      </c>
      <c r="J82" s="75">
        <v>5</v>
      </c>
      <c r="K82" s="75">
        <v>5</v>
      </c>
      <c r="L82" s="75">
        <v>4</v>
      </c>
      <c r="M82" s="97">
        <v>2282.25</v>
      </c>
      <c r="N82" s="97"/>
      <c r="O82" s="93">
        <f t="shared" si="4"/>
        <v>2282.25</v>
      </c>
      <c r="P82" s="123">
        <v>6</v>
      </c>
      <c r="Q82" s="124">
        <v>6</v>
      </c>
      <c r="R82" s="124">
        <v>6</v>
      </c>
      <c r="S82" s="97">
        <f>15935.59+881.06</f>
        <v>16816.650000000001</v>
      </c>
      <c r="T82" s="131">
        <v>5274.97</v>
      </c>
      <c r="U82" s="97">
        <f t="shared" si="5"/>
        <v>11541.68</v>
      </c>
    </row>
    <row r="83" spans="1:21" ht="20.100000000000001" customHeight="1" x14ac:dyDescent="0.25">
      <c r="A83" s="155">
        <v>67</v>
      </c>
      <c r="B83" s="99">
        <f t="shared" si="6"/>
        <v>74</v>
      </c>
      <c r="C83" s="10" t="s">
        <v>86</v>
      </c>
      <c r="D83" s="100" t="s">
        <v>124</v>
      </c>
      <c r="E83" s="101"/>
      <c r="F83" s="22" t="s">
        <v>118</v>
      </c>
      <c r="G83" s="72" t="s">
        <v>200</v>
      </c>
      <c r="H83" s="77">
        <v>11</v>
      </c>
      <c r="I83" s="75">
        <v>11</v>
      </c>
      <c r="J83" s="75">
        <v>11</v>
      </c>
      <c r="K83" s="75">
        <v>7</v>
      </c>
      <c r="L83" s="75">
        <v>7</v>
      </c>
      <c r="M83" s="97">
        <f>2803.04+5035.5</f>
        <v>7838.54</v>
      </c>
      <c r="N83" s="97">
        <v>2803.04</v>
      </c>
      <c r="O83" s="93">
        <f t="shared" si="4"/>
        <v>5035.5</v>
      </c>
      <c r="P83" s="123">
        <v>9</v>
      </c>
      <c r="Q83" s="124">
        <v>6</v>
      </c>
      <c r="R83" s="124">
        <v>6</v>
      </c>
      <c r="S83" s="97">
        <f>6465.89+3406.65</f>
        <v>9872.5400000000009</v>
      </c>
      <c r="T83" s="131">
        <v>6465.89</v>
      </c>
      <c r="U83" s="97">
        <f t="shared" si="5"/>
        <v>3406.6500000000005</v>
      </c>
    </row>
    <row r="84" spans="1:21" ht="20.100000000000001" customHeight="1" x14ac:dyDescent="0.25">
      <c r="A84" s="155">
        <v>68</v>
      </c>
      <c r="B84" s="99">
        <f t="shared" si="6"/>
        <v>75</v>
      </c>
      <c r="C84" s="10" t="s">
        <v>87</v>
      </c>
      <c r="D84" s="100" t="s">
        <v>124</v>
      </c>
      <c r="E84" s="101"/>
      <c r="F84" s="22" t="s">
        <v>115</v>
      </c>
      <c r="G84" s="72" t="s">
        <v>201</v>
      </c>
      <c r="H84" s="77">
        <v>10</v>
      </c>
      <c r="I84" s="75">
        <v>3</v>
      </c>
      <c r="J84" s="75">
        <v>4</v>
      </c>
      <c r="K84" s="75">
        <v>4</v>
      </c>
      <c r="L84" s="75">
        <v>3</v>
      </c>
      <c r="M84" s="97">
        <f>409.27+3438.52</f>
        <v>3847.79</v>
      </c>
      <c r="N84" s="97">
        <v>409.27</v>
      </c>
      <c r="O84" s="93">
        <f t="shared" si="4"/>
        <v>3438.52</v>
      </c>
      <c r="P84" s="123">
        <v>1</v>
      </c>
      <c r="Q84" s="124">
        <v>1</v>
      </c>
      <c r="R84" s="124">
        <v>1</v>
      </c>
      <c r="S84" s="97">
        <v>1515.31</v>
      </c>
      <c r="T84" s="131"/>
      <c r="U84" s="97">
        <f t="shared" si="5"/>
        <v>1515.31</v>
      </c>
    </row>
    <row r="85" spans="1:21" ht="20.100000000000001" customHeight="1" x14ac:dyDescent="0.25">
      <c r="A85" s="155">
        <v>70</v>
      </c>
      <c r="B85" s="99">
        <f t="shared" si="6"/>
        <v>76</v>
      </c>
      <c r="C85" s="11" t="s">
        <v>88</v>
      </c>
      <c r="D85" s="100" t="s">
        <v>124</v>
      </c>
      <c r="E85" s="101"/>
      <c r="F85" s="17" t="s">
        <v>121</v>
      </c>
      <c r="G85" s="72" t="s">
        <v>203</v>
      </c>
      <c r="H85" s="77">
        <v>16</v>
      </c>
      <c r="I85" s="75">
        <v>10</v>
      </c>
      <c r="J85" s="75">
        <v>18</v>
      </c>
      <c r="K85" s="75">
        <v>18</v>
      </c>
      <c r="L85" s="75">
        <v>13</v>
      </c>
      <c r="M85" s="97">
        <f>4781.94+3598.27</f>
        <v>8380.2099999999991</v>
      </c>
      <c r="N85" s="97"/>
      <c r="O85" s="93">
        <f t="shared" si="4"/>
        <v>8380.2099999999991</v>
      </c>
      <c r="P85" s="123">
        <v>6</v>
      </c>
      <c r="Q85" s="124">
        <v>5</v>
      </c>
      <c r="R85" s="124">
        <v>5</v>
      </c>
      <c r="S85" s="97">
        <f>2068.47+2492.49</f>
        <v>4560.9599999999991</v>
      </c>
      <c r="T85" s="131"/>
      <c r="U85" s="97">
        <f t="shared" si="5"/>
        <v>4560.9599999999991</v>
      </c>
    </row>
    <row r="86" spans="1:21" ht="20.100000000000001" customHeight="1" x14ac:dyDescent="0.25">
      <c r="A86" s="155">
        <v>69</v>
      </c>
      <c r="B86" s="99">
        <f t="shared" si="6"/>
        <v>77</v>
      </c>
      <c r="C86" s="14" t="s">
        <v>89</v>
      </c>
      <c r="D86" s="100" t="s">
        <v>124</v>
      </c>
      <c r="E86" s="101"/>
      <c r="F86" s="19" t="s">
        <v>106</v>
      </c>
      <c r="G86" s="72" t="s">
        <v>202</v>
      </c>
      <c r="H86" s="77">
        <v>7</v>
      </c>
      <c r="I86" s="75"/>
      <c r="J86" s="75"/>
      <c r="K86" s="75"/>
      <c r="L86" s="75"/>
      <c r="M86" s="97"/>
      <c r="N86" s="97"/>
      <c r="O86" s="93">
        <f t="shared" si="4"/>
        <v>0</v>
      </c>
      <c r="P86" s="123">
        <v>2</v>
      </c>
      <c r="Q86" s="124">
        <v>2</v>
      </c>
      <c r="R86" s="124">
        <v>2</v>
      </c>
      <c r="S86" s="97">
        <v>839.18</v>
      </c>
      <c r="T86" s="131">
        <v>839.18</v>
      </c>
      <c r="U86" s="97">
        <f t="shared" si="5"/>
        <v>0</v>
      </c>
    </row>
    <row r="87" spans="1:21" ht="20.100000000000001" customHeight="1" x14ac:dyDescent="0.25">
      <c r="A87" s="155">
        <v>71</v>
      </c>
      <c r="B87" s="99">
        <f t="shared" si="6"/>
        <v>78</v>
      </c>
      <c r="C87" s="14" t="s">
        <v>90</v>
      </c>
      <c r="D87" s="100" t="s">
        <v>124</v>
      </c>
      <c r="E87" s="101"/>
      <c r="F87" s="19" t="s">
        <v>106</v>
      </c>
      <c r="G87" s="72" t="s">
        <v>204</v>
      </c>
      <c r="H87" s="77">
        <v>4</v>
      </c>
      <c r="I87" s="75">
        <v>4</v>
      </c>
      <c r="J87" s="75">
        <v>4</v>
      </c>
      <c r="K87" s="75">
        <v>4</v>
      </c>
      <c r="L87" s="75">
        <v>4</v>
      </c>
      <c r="M87" s="97">
        <f>795.8+4099.92</f>
        <v>4895.72</v>
      </c>
      <c r="N87" s="97">
        <v>250.11</v>
      </c>
      <c r="O87" s="93">
        <f t="shared" si="4"/>
        <v>4645.6100000000006</v>
      </c>
      <c r="P87" s="123">
        <v>5</v>
      </c>
      <c r="Q87" s="124">
        <v>4</v>
      </c>
      <c r="R87" s="124">
        <v>4</v>
      </c>
      <c r="S87" s="97">
        <f>2723.78+3718.48</f>
        <v>6442.26</v>
      </c>
      <c r="T87" s="131">
        <v>2723.78</v>
      </c>
      <c r="U87" s="97">
        <f t="shared" si="5"/>
        <v>3718.48</v>
      </c>
    </row>
    <row r="88" spans="1:21" ht="20.100000000000001" customHeight="1" x14ac:dyDescent="0.25">
      <c r="B88" s="99">
        <f t="shared" si="6"/>
        <v>79</v>
      </c>
      <c r="C88" s="10" t="s">
        <v>91</v>
      </c>
      <c r="D88" s="100" t="s">
        <v>124</v>
      </c>
      <c r="E88" s="101"/>
      <c r="F88" s="17" t="s">
        <v>111</v>
      </c>
      <c r="G88" s="72" t="s">
        <v>231</v>
      </c>
      <c r="H88" s="77">
        <v>1</v>
      </c>
      <c r="I88" s="75"/>
      <c r="J88" s="75"/>
      <c r="K88" s="75"/>
      <c r="L88" s="75"/>
      <c r="M88" s="97"/>
      <c r="N88" s="97"/>
      <c r="O88" s="93">
        <f t="shared" si="4"/>
        <v>0</v>
      </c>
      <c r="P88" s="123">
        <v>6</v>
      </c>
      <c r="Q88" s="124">
        <v>6</v>
      </c>
      <c r="R88" s="124">
        <v>6</v>
      </c>
      <c r="S88" s="97">
        <v>7502.29</v>
      </c>
      <c r="T88" s="131">
        <v>7502.29</v>
      </c>
      <c r="U88" s="97">
        <f t="shared" si="5"/>
        <v>0</v>
      </c>
    </row>
    <row r="89" spans="1:21" ht="20.100000000000001" customHeight="1" x14ac:dyDescent="0.25">
      <c r="A89" s="155">
        <v>72</v>
      </c>
      <c r="B89" s="99">
        <f t="shared" si="6"/>
        <v>80</v>
      </c>
      <c r="C89" s="10" t="s">
        <v>92</v>
      </c>
      <c r="D89" s="100" t="s">
        <v>124</v>
      </c>
      <c r="E89" s="101"/>
      <c r="F89" s="19" t="s">
        <v>106</v>
      </c>
      <c r="G89" s="72" t="s">
        <v>205</v>
      </c>
      <c r="H89" s="77">
        <v>5</v>
      </c>
      <c r="I89" s="75">
        <v>2</v>
      </c>
      <c r="J89" s="75">
        <v>3</v>
      </c>
      <c r="K89" s="75">
        <v>3</v>
      </c>
      <c r="L89" s="75">
        <v>2</v>
      </c>
      <c r="M89" s="97">
        <f>725.77+1768.23</f>
        <v>2494</v>
      </c>
      <c r="N89" s="97"/>
      <c r="O89" s="93">
        <f t="shared" si="4"/>
        <v>2494</v>
      </c>
      <c r="P89" s="123">
        <v>4</v>
      </c>
      <c r="Q89" s="124">
        <v>4</v>
      </c>
      <c r="R89" s="124">
        <v>4</v>
      </c>
      <c r="S89" s="97">
        <f>8161.92+1118.75</f>
        <v>9280.67</v>
      </c>
      <c r="T89" s="131">
        <v>5032.46</v>
      </c>
      <c r="U89" s="97">
        <f t="shared" si="5"/>
        <v>4248.21</v>
      </c>
    </row>
    <row r="90" spans="1:21" ht="20.100000000000001" customHeight="1" x14ac:dyDescent="0.25">
      <c r="A90" s="155">
        <v>73</v>
      </c>
      <c r="B90" s="99">
        <f t="shared" si="6"/>
        <v>81</v>
      </c>
      <c r="C90" s="11" t="s">
        <v>93</v>
      </c>
      <c r="D90" s="100" t="s">
        <v>124</v>
      </c>
      <c r="E90" s="101"/>
      <c r="F90" s="17" t="s">
        <v>122</v>
      </c>
      <c r="G90" s="72" t="s">
        <v>206</v>
      </c>
      <c r="H90" s="77">
        <v>20</v>
      </c>
      <c r="I90" s="75">
        <v>12</v>
      </c>
      <c r="J90" s="75">
        <v>22</v>
      </c>
      <c r="K90" s="75">
        <v>22</v>
      </c>
      <c r="L90" s="75">
        <v>20</v>
      </c>
      <c r="M90" s="97">
        <f>2814.78+10694.95</f>
        <v>13509.730000000001</v>
      </c>
      <c r="N90" s="97">
        <f>2814.78</f>
        <v>2814.78</v>
      </c>
      <c r="O90" s="93">
        <f t="shared" si="4"/>
        <v>10694.95</v>
      </c>
      <c r="P90" s="123">
        <v>8</v>
      </c>
      <c r="Q90" s="124">
        <v>7</v>
      </c>
      <c r="R90" s="124">
        <v>7</v>
      </c>
      <c r="S90" s="97">
        <f>2624.93</f>
        <v>2624.93</v>
      </c>
      <c r="T90" s="131"/>
      <c r="U90" s="97">
        <f t="shared" si="5"/>
        <v>2624.93</v>
      </c>
    </row>
    <row r="91" spans="1:21" ht="20.100000000000001" customHeight="1" x14ac:dyDescent="0.25">
      <c r="A91" s="155">
        <v>74</v>
      </c>
      <c r="B91" s="99">
        <f t="shared" si="6"/>
        <v>82</v>
      </c>
      <c r="C91" s="11" t="s">
        <v>94</v>
      </c>
      <c r="D91" s="100" t="s">
        <v>124</v>
      </c>
      <c r="E91" s="101"/>
      <c r="F91" s="19" t="s">
        <v>106</v>
      </c>
      <c r="G91" s="72" t="s">
        <v>218</v>
      </c>
      <c r="H91" s="77">
        <v>10</v>
      </c>
      <c r="I91" s="75">
        <v>5</v>
      </c>
      <c r="J91" s="75">
        <v>10</v>
      </c>
      <c r="K91" s="75">
        <v>10</v>
      </c>
      <c r="L91" s="75">
        <v>5</v>
      </c>
      <c r="M91" s="97">
        <f>1255.05+1986.57</f>
        <v>3241.62</v>
      </c>
      <c r="N91" s="97">
        <v>1255.05</v>
      </c>
      <c r="O91" s="93">
        <f t="shared" si="4"/>
        <v>1986.57</v>
      </c>
      <c r="P91" s="123">
        <v>6</v>
      </c>
      <c r="Q91" s="124">
        <v>6</v>
      </c>
      <c r="R91" s="124">
        <v>6</v>
      </c>
      <c r="S91" s="97">
        <f>6219.66+748.35</f>
        <v>6968.01</v>
      </c>
      <c r="T91" s="131">
        <f>6219.66</f>
        <v>6219.66</v>
      </c>
      <c r="U91" s="97">
        <f t="shared" si="5"/>
        <v>748.35000000000036</v>
      </c>
    </row>
    <row r="92" spans="1:21" ht="20.100000000000001" customHeight="1" x14ac:dyDescent="0.25">
      <c r="A92" s="155">
        <v>75</v>
      </c>
      <c r="B92" s="99">
        <f t="shared" si="6"/>
        <v>83</v>
      </c>
      <c r="C92" s="11" t="s">
        <v>95</v>
      </c>
      <c r="D92" s="100" t="s">
        <v>124</v>
      </c>
      <c r="E92" s="101"/>
      <c r="F92" s="19" t="s">
        <v>123</v>
      </c>
      <c r="G92" s="72" t="s">
        <v>217</v>
      </c>
      <c r="H92" s="77">
        <v>11</v>
      </c>
      <c r="I92" s="75">
        <v>10</v>
      </c>
      <c r="J92" s="75">
        <v>12</v>
      </c>
      <c r="K92" s="75">
        <v>9</v>
      </c>
      <c r="L92" s="75">
        <v>9</v>
      </c>
      <c r="M92" s="97">
        <f>2301.54+4352.56</f>
        <v>6654.1</v>
      </c>
      <c r="N92" s="97"/>
      <c r="O92" s="93">
        <f t="shared" si="4"/>
        <v>6654.1</v>
      </c>
      <c r="P92" s="123">
        <v>1</v>
      </c>
      <c r="Q92" s="124">
        <v>1</v>
      </c>
      <c r="R92" s="124">
        <v>1</v>
      </c>
      <c r="S92" s="97">
        <v>206.7</v>
      </c>
      <c r="T92" s="131">
        <v>206.7</v>
      </c>
      <c r="U92" s="97">
        <f t="shared" si="5"/>
        <v>0</v>
      </c>
    </row>
    <row r="93" spans="1:21" ht="20.100000000000001" customHeight="1" x14ac:dyDescent="0.25">
      <c r="A93" s="155">
        <v>76</v>
      </c>
      <c r="B93" s="99">
        <f t="shared" si="6"/>
        <v>84</v>
      </c>
      <c r="C93" s="11" t="s">
        <v>96</v>
      </c>
      <c r="D93" s="100" t="s">
        <v>124</v>
      </c>
      <c r="E93" s="101"/>
      <c r="F93" s="22" t="s">
        <v>112</v>
      </c>
      <c r="G93" s="72" t="s">
        <v>216</v>
      </c>
      <c r="H93" s="77">
        <v>35</v>
      </c>
      <c r="I93" s="75">
        <v>14</v>
      </c>
      <c r="J93" s="75">
        <v>18</v>
      </c>
      <c r="K93" s="75">
        <v>17</v>
      </c>
      <c r="L93" s="75">
        <v>10</v>
      </c>
      <c r="M93" s="97">
        <v>4236.8100000000004</v>
      </c>
      <c r="N93" s="97"/>
      <c r="O93" s="93">
        <f t="shared" si="4"/>
        <v>4236.8100000000004</v>
      </c>
      <c r="P93" s="123">
        <v>8</v>
      </c>
      <c r="Q93" s="124">
        <v>7</v>
      </c>
      <c r="R93" s="124">
        <v>5</v>
      </c>
      <c r="S93" s="97">
        <f>5838.31+135.69</f>
        <v>5974</v>
      </c>
      <c r="T93" s="131">
        <v>5838.31</v>
      </c>
      <c r="U93" s="97">
        <f t="shared" si="5"/>
        <v>135.6899999999996</v>
      </c>
    </row>
    <row r="94" spans="1:21" ht="20.100000000000001" customHeight="1" x14ac:dyDescent="0.25">
      <c r="A94" s="155">
        <v>77</v>
      </c>
      <c r="B94" s="99">
        <f t="shared" si="6"/>
        <v>85</v>
      </c>
      <c r="C94" s="11" t="s">
        <v>97</v>
      </c>
      <c r="D94" s="100" t="s">
        <v>124</v>
      </c>
      <c r="E94" s="101"/>
      <c r="F94" s="17" t="s">
        <v>111</v>
      </c>
      <c r="G94" s="72" t="s">
        <v>215</v>
      </c>
      <c r="H94" s="77">
        <v>16</v>
      </c>
      <c r="I94" s="75">
        <v>5</v>
      </c>
      <c r="J94" s="75">
        <v>6</v>
      </c>
      <c r="K94" s="75">
        <v>5</v>
      </c>
      <c r="L94" s="75">
        <v>4</v>
      </c>
      <c r="M94" s="97">
        <v>3291.36</v>
      </c>
      <c r="N94" s="97"/>
      <c r="O94" s="93">
        <f t="shared" si="4"/>
        <v>3291.36</v>
      </c>
      <c r="P94" s="123">
        <v>19</v>
      </c>
      <c r="Q94" s="124">
        <v>19</v>
      </c>
      <c r="R94" s="124">
        <v>19</v>
      </c>
      <c r="S94" s="97">
        <f>18253.04+4245.2</f>
        <v>22498.240000000002</v>
      </c>
      <c r="T94" s="131">
        <v>18253.04</v>
      </c>
      <c r="U94" s="97">
        <f t="shared" si="5"/>
        <v>4245.2000000000007</v>
      </c>
    </row>
    <row r="95" spans="1:21" ht="20.100000000000001" customHeight="1" x14ac:dyDescent="0.25">
      <c r="A95" s="155">
        <v>78</v>
      </c>
      <c r="B95" s="99">
        <f t="shared" si="6"/>
        <v>86</v>
      </c>
      <c r="C95" s="10" t="s">
        <v>98</v>
      </c>
      <c r="D95" s="100" t="s">
        <v>124</v>
      </c>
      <c r="E95" s="101"/>
      <c r="F95" s="19" t="s">
        <v>106</v>
      </c>
      <c r="G95" s="72" t="s">
        <v>214</v>
      </c>
      <c r="H95" s="77">
        <v>19</v>
      </c>
      <c r="I95" s="75">
        <v>6</v>
      </c>
      <c r="J95" s="75">
        <v>6</v>
      </c>
      <c r="K95" s="75">
        <v>6</v>
      </c>
      <c r="L95" s="75">
        <v>3</v>
      </c>
      <c r="M95" s="97">
        <f>413.4+1061.4</f>
        <v>1474.8000000000002</v>
      </c>
      <c r="N95" s="97">
        <v>413.4</v>
      </c>
      <c r="O95" s="93">
        <f t="shared" si="4"/>
        <v>1061.4000000000001</v>
      </c>
      <c r="P95" s="123">
        <v>11</v>
      </c>
      <c r="Q95" s="124">
        <v>11</v>
      </c>
      <c r="R95" s="124">
        <v>10</v>
      </c>
      <c r="S95" s="97">
        <f>22276.25+1366.6</f>
        <v>23642.85</v>
      </c>
      <c r="T95" s="131">
        <v>22276.25</v>
      </c>
      <c r="U95" s="97">
        <f t="shared" si="5"/>
        <v>1366.5999999999985</v>
      </c>
    </row>
    <row r="96" spans="1:21" ht="20.100000000000001" customHeight="1" x14ac:dyDescent="0.25">
      <c r="A96" s="155">
        <v>80</v>
      </c>
      <c r="B96" s="99">
        <f t="shared" si="6"/>
        <v>87</v>
      </c>
      <c r="C96" s="10" t="s">
        <v>129</v>
      </c>
      <c r="D96" s="100" t="s">
        <v>124</v>
      </c>
      <c r="E96" s="101"/>
      <c r="F96" s="19" t="s">
        <v>106</v>
      </c>
      <c r="G96" s="72" t="s">
        <v>212</v>
      </c>
      <c r="H96" s="77">
        <v>7</v>
      </c>
      <c r="I96" s="75">
        <v>1</v>
      </c>
      <c r="J96" s="75">
        <v>2</v>
      </c>
      <c r="K96" s="75">
        <v>2</v>
      </c>
      <c r="L96" s="75"/>
      <c r="M96" s="97"/>
      <c r="N96" s="97"/>
      <c r="O96" s="93">
        <f t="shared" si="4"/>
        <v>0</v>
      </c>
      <c r="P96" s="123"/>
      <c r="Q96" s="124"/>
      <c r="R96" s="124"/>
      <c r="S96" s="97"/>
      <c r="T96" s="131"/>
      <c r="U96" s="97">
        <f t="shared" si="5"/>
        <v>0</v>
      </c>
    </row>
    <row r="97" spans="1:33" ht="20.100000000000001" customHeight="1" x14ac:dyDescent="0.25">
      <c r="A97" s="155">
        <v>79</v>
      </c>
      <c r="B97" s="99">
        <f t="shared" si="6"/>
        <v>88</v>
      </c>
      <c r="C97" s="10" t="s">
        <v>99</v>
      </c>
      <c r="D97" s="100" t="s">
        <v>124</v>
      </c>
      <c r="E97" s="101"/>
      <c r="F97" s="19" t="s">
        <v>106</v>
      </c>
      <c r="G97" s="72" t="s">
        <v>213</v>
      </c>
      <c r="H97" s="77">
        <v>7</v>
      </c>
      <c r="I97" s="75">
        <v>5</v>
      </c>
      <c r="J97" s="75">
        <v>5</v>
      </c>
      <c r="K97" s="75">
        <v>4</v>
      </c>
      <c r="L97" s="75">
        <v>4</v>
      </c>
      <c r="M97" s="97">
        <f>1545.67+969.43</f>
        <v>2515.1</v>
      </c>
      <c r="N97" s="97">
        <v>408.82</v>
      </c>
      <c r="O97" s="93">
        <f t="shared" si="4"/>
        <v>2106.2799999999997</v>
      </c>
      <c r="P97" s="123">
        <v>4</v>
      </c>
      <c r="Q97" s="124">
        <v>4</v>
      </c>
      <c r="R97" s="124">
        <v>4</v>
      </c>
      <c r="S97" s="97">
        <v>1744.35</v>
      </c>
      <c r="T97" s="131">
        <v>822.22</v>
      </c>
      <c r="U97" s="97">
        <f t="shared" si="5"/>
        <v>922.12999999999988</v>
      </c>
    </row>
    <row r="98" spans="1:33" ht="20.100000000000001" customHeight="1" x14ac:dyDescent="0.25">
      <c r="A98" s="155">
        <v>81</v>
      </c>
      <c r="B98" s="99">
        <f t="shared" si="6"/>
        <v>89</v>
      </c>
      <c r="C98" s="13" t="s">
        <v>100</v>
      </c>
      <c r="D98" s="100" t="s">
        <v>124</v>
      </c>
      <c r="E98" s="101"/>
      <c r="F98" s="19" t="s">
        <v>106</v>
      </c>
      <c r="G98" s="72" t="s">
        <v>211</v>
      </c>
      <c r="H98" s="77">
        <v>10</v>
      </c>
      <c r="I98" s="75">
        <v>3</v>
      </c>
      <c r="J98" s="75">
        <v>3</v>
      </c>
      <c r="K98" s="75">
        <v>3</v>
      </c>
      <c r="L98" s="75">
        <v>2</v>
      </c>
      <c r="M98" s="97">
        <v>482.3</v>
      </c>
      <c r="N98" s="97"/>
      <c r="O98" s="93">
        <f t="shared" si="4"/>
        <v>482.3</v>
      </c>
      <c r="P98" s="123">
        <v>7</v>
      </c>
      <c r="Q98" s="124">
        <v>7</v>
      </c>
      <c r="R98" s="124">
        <v>6</v>
      </c>
      <c r="S98" s="97">
        <f>6457+964.6</f>
        <v>7421.6</v>
      </c>
      <c r="T98" s="131">
        <v>6457</v>
      </c>
      <c r="U98" s="97">
        <f t="shared" si="5"/>
        <v>964.60000000000036</v>
      </c>
    </row>
    <row r="99" spans="1:33" ht="20.100000000000001" customHeight="1" x14ac:dyDescent="0.25">
      <c r="A99" s="155">
        <v>82</v>
      </c>
      <c r="B99" s="99">
        <f t="shared" si="6"/>
        <v>90</v>
      </c>
      <c r="C99" s="13" t="s">
        <v>101</v>
      </c>
      <c r="D99" s="100" t="s">
        <v>124</v>
      </c>
      <c r="E99" s="101"/>
      <c r="F99" s="17" t="s">
        <v>106</v>
      </c>
      <c r="G99" s="72" t="s">
        <v>210</v>
      </c>
      <c r="H99" s="77">
        <v>12</v>
      </c>
      <c r="I99" s="75">
        <v>4</v>
      </c>
      <c r="J99" s="75">
        <v>5</v>
      </c>
      <c r="K99" s="75">
        <v>5</v>
      </c>
      <c r="L99" s="75">
        <v>1</v>
      </c>
      <c r="M99" s="97">
        <v>545.69000000000005</v>
      </c>
      <c r="N99" s="97"/>
      <c r="O99" s="93">
        <f t="shared" si="4"/>
        <v>545.69000000000005</v>
      </c>
      <c r="P99" s="123">
        <v>8</v>
      </c>
      <c r="Q99" s="124">
        <v>8</v>
      </c>
      <c r="R99" s="124">
        <v>6</v>
      </c>
      <c r="S99" s="97">
        <v>5077.71</v>
      </c>
      <c r="T99" s="131">
        <v>2190.71</v>
      </c>
      <c r="U99" s="97">
        <f t="shared" si="5"/>
        <v>2887</v>
      </c>
    </row>
    <row r="100" spans="1:33" ht="20.100000000000001" customHeight="1" x14ac:dyDescent="0.25">
      <c r="A100" s="155">
        <v>83</v>
      </c>
      <c r="B100" s="99">
        <f t="shared" si="6"/>
        <v>91</v>
      </c>
      <c r="C100" s="13" t="s">
        <v>102</v>
      </c>
      <c r="D100" s="100" t="s">
        <v>124</v>
      </c>
      <c r="E100" s="101"/>
      <c r="F100" s="17" t="s">
        <v>106</v>
      </c>
      <c r="G100" s="72" t="s">
        <v>209</v>
      </c>
      <c r="H100" s="77">
        <v>11</v>
      </c>
      <c r="I100" s="75">
        <v>5</v>
      </c>
      <c r="J100" s="75">
        <v>6</v>
      </c>
      <c r="K100" s="75">
        <v>6</v>
      </c>
      <c r="L100" s="75">
        <v>6</v>
      </c>
      <c r="M100" s="97">
        <f>4459.37+1998.1</f>
        <v>6457.4699999999993</v>
      </c>
      <c r="N100" s="97">
        <v>2669.35</v>
      </c>
      <c r="O100" s="93">
        <f t="shared" si="4"/>
        <v>3788.1199999999994</v>
      </c>
      <c r="P100" s="123">
        <v>7</v>
      </c>
      <c r="Q100" s="124">
        <v>7</v>
      </c>
      <c r="R100" s="124">
        <v>7</v>
      </c>
      <c r="S100" s="97">
        <v>4232.91</v>
      </c>
      <c r="T100" s="131">
        <v>2274.39</v>
      </c>
      <c r="U100" s="97">
        <f t="shared" si="5"/>
        <v>1958.52</v>
      </c>
    </row>
    <row r="101" spans="1:33" ht="20.100000000000001" customHeight="1" x14ac:dyDescent="0.25">
      <c r="A101" s="155">
        <v>84</v>
      </c>
      <c r="B101" s="99">
        <f t="shared" si="6"/>
        <v>92</v>
      </c>
      <c r="C101" s="11" t="s">
        <v>103</v>
      </c>
      <c r="D101" s="100" t="s">
        <v>124</v>
      </c>
      <c r="E101" s="101"/>
      <c r="F101" s="22" t="s">
        <v>112</v>
      </c>
      <c r="G101" s="72" t="s">
        <v>208</v>
      </c>
      <c r="H101" s="77">
        <v>33</v>
      </c>
      <c r="I101" s="75">
        <v>12</v>
      </c>
      <c r="J101" s="75">
        <v>13</v>
      </c>
      <c r="K101" s="75">
        <v>7</v>
      </c>
      <c r="L101" s="75">
        <v>6</v>
      </c>
      <c r="M101" s="97">
        <f>234.26+3190.4</f>
        <v>3424.66</v>
      </c>
      <c r="N101" s="97">
        <f>234.26</f>
        <v>234.26</v>
      </c>
      <c r="O101" s="93">
        <f t="shared" si="4"/>
        <v>3190.3999999999996</v>
      </c>
      <c r="P101" s="123">
        <v>22</v>
      </c>
      <c r="Q101" s="124">
        <v>17</v>
      </c>
      <c r="R101" s="124">
        <v>14</v>
      </c>
      <c r="S101" s="97">
        <f>16946.83+3092.58</f>
        <v>20039.410000000003</v>
      </c>
      <c r="T101" s="131">
        <f>6585.82+10361.01</f>
        <v>16946.830000000002</v>
      </c>
      <c r="U101" s="97">
        <f t="shared" si="5"/>
        <v>3092.5800000000017</v>
      </c>
    </row>
    <row r="102" spans="1:33" ht="20.100000000000001" customHeight="1" x14ac:dyDescent="0.25">
      <c r="A102" s="155">
        <v>85</v>
      </c>
      <c r="B102" s="115">
        <f>B101+1</f>
        <v>93</v>
      </c>
      <c r="C102" s="116" t="s">
        <v>104</v>
      </c>
      <c r="D102" s="111" t="s">
        <v>124</v>
      </c>
      <c r="E102" s="112"/>
      <c r="F102" s="117" t="s">
        <v>106</v>
      </c>
      <c r="G102" s="118" t="s">
        <v>207</v>
      </c>
      <c r="H102" s="113">
        <v>5</v>
      </c>
      <c r="I102" s="114">
        <v>2</v>
      </c>
      <c r="J102" s="114">
        <v>2</v>
      </c>
      <c r="K102" s="114">
        <v>2</v>
      </c>
      <c r="L102" s="114">
        <v>1</v>
      </c>
      <c r="M102" s="147">
        <v>137.80000000000001</v>
      </c>
      <c r="N102" s="147">
        <v>137.80000000000001</v>
      </c>
      <c r="O102" s="148">
        <f t="shared" si="4"/>
        <v>0</v>
      </c>
      <c r="P102" s="149">
        <v>3</v>
      </c>
      <c r="Q102" s="150">
        <v>3</v>
      </c>
      <c r="R102" s="150">
        <v>3</v>
      </c>
      <c r="S102" s="147">
        <v>1193.3</v>
      </c>
      <c r="T102" s="132">
        <v>1193.3</v>
      </c>
      <c r="U102" s="97">
        <f t="shared" si="5"/>
        <v>0</v>
      </c>
      <c r="V102" s="145"/>
    </row>
    <row r="103" spans="1:33" ht="20.100000000000001" customHeight="1" x14ac:dyDescent="0.25">
      <c r="A103" s="155">
        <v>88</v>
      </c>
      <c r="B103" s="106">
        <v>94</v>
      </c>
      <c r="C103" s="10" t="s">
        <v>258</v>
      </c>
      <c r="D103" s="111" t="s">
        <v>124</v>
      </c>
      <c r="E103" s="101"/>
      <c r="F103" s="12" t="s">
        <v>106</v>
      </c>
      <c r="G103" s="118" t="s">
        <v>261</v>
      </c>
      <c r="H103" s="75">
        <v>2</v>
      </c>
      <c r="I103" s="75"/>
      <c r="J103" s="75"/>
      <c r="K103" s="75"/>
      <c r="L103" s="75"/>
      <c r="M103" s="97"/>
      <c r="N103" s="97"/>
      <c r="O103" s="97"/>
      <c r="P103" s="124"/>
      <c r="Q103" s="124"/>
      <c r="R103" s="124"/>
      <c r="S103" s="97"/>
      <c r="T103" s="131"/>
      <c r="U103" s="97"/>
      <c r="V103" s="145"/>
    </row>
    <row r="104" spans="1:33" ht="20.100000000000001" customHeight="1" x14ac:dyDescent="0.25">
      <c r="B104" s="106">
        <v>95</v>
      </c>
      <c r="C104" s="10" t="s">
        <v>242</v>
      </c>
      <c r="D104" s="100" t="s">
        <v>124</v>
      </c>
      <c r="E104" s="101"/>
      <c r="F104" s="17" t="s">
        <v>117</v>
      </c>
      <c r="G104" s="72" t="s">
        <v>259</v>
      </c>
      <c r="H104" s="77">
        <v>3</v>
      </c>
      <c r="I104" s="75">
        <v>2</v>
      </c>
      <c r="J104" s="75">
        <v>2</v>
      </c>
      <c r="K104" s="75">
        <v>2</v>
      </c>
      <c r="L104" s="75"/>
      <c r="M104" s="97"/>
      <c r="N104" s="97"/>
      <c r="O104" s="97"/>
      <c r="P104" s="124"/>
      <c r="Q104" s="124"/>
      <c r="R104" s="124"/>
      <c r="S104" s="97"/>
      <c r="T104" s="131"/>
      <c r="U104" s="97"/>
      <c r="V104" s="145"/>
    </row>
    <row r="105" spans="1:33" ht="20.100000000000001" customHeight="1" x14ac:dyDescent="0.25">
      <c r="B105" s="362"/>
      <c r="C105" s="362"/>
      <c r="D105" s="362"/>
      <c r="E105" s="362"/>
      <c r="F105" s="362"/>
      <c r="G105" s="362"/>
      <c r="H105" s="119">
        <f>SUM(H10:H104)</f>
        <v>1005</v>
      </c>
      <c r="I105" s="119">
        <f>SUM(I10:I104)</f>
        <v>481</v>
      </c>
      <c r="J105" s="119">
        <f>SUM(J10:J104)</f>
        <v>619</v>
      </c>
      <c r="K105" s="119">
        <f>SUM(K10:K104)</f>
        <v>532</v>
      </c>
      <c r="L105" s="119">
        <f>SUM(L10:L104)</f>
        <v>379</v>
      </c>
      <c r="M105" s="151">
        <f>SUM(M10:M102)</f>
        <v>266776.8</v>
      </c>
      <c r="N105" s="151">
        <f>SUM(N10:N104)</f>
        <v>56789.53</v>
      </c>
      <c r="O105" s="151">
        <f>SUM(O10:O104)</f>
        <v>209987.27000000002</v>
      </c>
      <c r="P105" s="152">
        <f>SUM(P10:P104)</f>
        <v>591</v>
      </c>
      <c r="Q105" s="152">
        <f>SUM(Q10:Q104)</f>
        <v>540</v>
      </c>
      <c r="R105" s="152">
        <f>SUM(R11:R104)</f>
        <v>487</v>
      </c>
      <c r="S105" s="151">
        <f>SUM(S10:S104)</f>
        <v>652971.25000000012</v>
      </c>
      <c r="T105" s="146">
        <f>SUM(T10:T104)</f>
        <v>403280.81</v>
      </c>
      <c r="U105" s="120">
        <f>SUM(U10:U104)</f>
        <v>249690.44</v>
      </c>
      <c r="V105" s="156"/>
      <c r="W105" s="156"/>
      <c r="X105" s="157"/>
      <c r="Y105" s="156"/>
      <c r="Z105" s="157"/>
      <c r="AA105" s="156"/>
      <c r="AB105" s="157"/>
      <c r="AC105" s="157"/>
      <c r="AD105" s="157"/>
      <c r="AE105" s="157"/>
      <c r="AF105" s="156"/>
      <c r="AG105" s="156"/>
    </row>
    <row r="107" spans="1:33" x14ac:dyDescent="0.25">
      <c r="V107" s="145"/>
      <c r="W107" s="14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428" priority="2" stopIfTrue="1" operator="equal">
      <formula>0</formula>
    </cfRule>
  </conditionalFormatting>
  <conditionalFormatting sqref="AL45">
    <cfRule type="cellIs" dxfId="427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7"/>
  <sheetViews>
    <sheetView topLeftCell="F55" zoomScale="60" zoomScaleNormal="60" workbookViewId="0">
      <selection activeCell="AG117" sqref="AG117"/>
    </sheetView>
  </sheetViews>
  <sheetFormatPr defaultRowHeight="15.75" x14ac:dyDescent="0.25"/>
  <cols>
    <col min="1" max="1" width="9.140625" style="155" hidden="1" customWidth="1"/>
    <col min="2" max="2" width="9.140625" style="55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12.42578125" style="109" customWidth="1"/>
    <col min="15" max="15" width="12.28515625" style="109" customWidth="1"/>
    <col min="16" max="18" width="9.140625" style="109" customWidth="1"/>
    <col min="19" max="19" width="16.85546875" style="109" customWidth="1"/>
    <col min="20" max="20" width="12.85546875" style="109" customWidth="1"/>
    <col min="21" max="21" width="10.7109375" style="133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3" width="10.28515625" style="134" bestFit="1" customWidth="1"/>
    <col min="34" max="34" width="9.140625" style="134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269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268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17</v>
      </c>
      <c r="I10" s="75">
        <v>9</v>
      </c>
      <c r="J10" s="75">
        <v>11</v>
      </c>
      <c r="K10" s="75">
        <v>11</v>
      </c>
      <c r="L10" s="75">
        <v>3</v>
      </c>
      <c r="M10" s="97">
        <f>1033.5+1418.08</f>
        <v>2451.58</v>
      </c>
      <c r="N10" s="97">
        <f>1033.5+1418.08</f>
        <v>2451.58</v>
      </c>
      <c r="O10" s="93">
        <f xml:space="preserve"> (M10-N10)</f>
        <v>0</v>
      </c>
      <c r="P10" s="123">
        <v>6</v>
      </c>
      <c r="Q10" s="124">
        <v>6</v>
      </c>
      <c r="R10" s="124">
        <v>6</v>
      </c>
      <c r="S10" s="97">
        <v>4246.75</v>
      </c>
      <c r="T10" s="97">
        <v>4246.75</v>
      </c>
      <c r="U10" s="97">
        <f xml:space="preserve"> (S10-T10)</f>
        <v>0</v>
      </c>
      <c r="V10" s="135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4</v>
      </c>
      <c r="I11" s="75">
        <v>3</v>
      </c>
      <c r="J11" s="75">
        <v>3</v>
      </c>
      <c r="K11" s="75">
        <v>3</v>
      </c>
      <c r="L11" s="75">
        <v>1</v>
      </c>
      <c r="M11" s="97">
        <v>275.60000000000002</v>
      </c>
      <c r="N11" s="97">
        <v>275.60000000000002</v>
      </c>
      <c r="O11" s="93">
        <f t="shared" ref="O11:O74" si="1" xml:space="preserve"> (M11-N11)</f>
        <v>0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35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f t="shared" ref="B12:B75" si="3">B11+1</f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2</v>
      </c>
      <c r="S12" s="97">
        <v>1548.67</v>
      </c>
      <c r="T12" s="97">
        <v>1548.67</v>
      </c>
      <c r="U12" s="97">
        <f t="shared" si="2"/>
        <v>0</v>
      </c>
      <c r="V12" s="14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si="3"/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11</v>
      </c>
      <c r="I13" s="75">
        <v>4</v>
      </c>
      <c r="J13" s="75">
        <v>5</v>
      </c>
      <c r="K13" s="75">
        <v>5</v>
      </c>
      <c r="L13" s="75">
        <v>5</v>
      </c>
      <c r="M13" s="97">
        <f>272.84+2699.54</f>
        <v>2972.38</v>
      </c>
      <c r="N13" s="97">
        <f>272.84+2699.54</f>
        <v>2972.38</v>
      </c>
      <c r="O13" s="93">
        <f t="shared" si="1"/>
        <v>0</v>
      </c>
      <c r="P13" s="123">
        <v>4</v>
      </c>
      <c r="Q13" s="124">
        <v>4</v>
      </c>
      <c r="R13" s="124">
        <v>4</v>
      </c>
      <c r="S13" s="97">
        <f>7385.53+1228.66</f>
        <v>8614.19</v>
      </c>
      <c r="T13" s="97">
        <f>7385.53+1228.66</f>
        <v>8614.19</v>
      </c>
      <c r="U13" s="97">
        <f t="shared" si="2"/>
        <v>0</v>
      </c>
      <c r="V13" s="14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16</v>
      </c>
      <c r="I14" s="75">
        <v>7</v>
      </c>
      <c r="J14" s="75">
        <v>8</v>
      </c>
      <c r="K14" s="75">
        <v>7</v>
      </c>
      <c r="L14" s="75">
        <v>7</v>
      </c>
      <c r="M14" s="97">
        <f>2277.13+1033.5</f>
        <v>3310.63</v>
      </c>
      <c r="N14" s="97">
        <f>2277.13+1033.5</f>
        <v>3310.63</v>
      </c>
      <c r="O14" s="93">
        <f t="shared" si="1"/>
        <v>0</v>
      </c>
      <c r="P14" s="123">
        <v>5</v>
      </c>
      <c r="Q14" s="124">
        <v>4</v>
      </c>
      <c r="R14" s="124">
        <v>4</v>
      </c>
      <c r="S14" s="97">
        <f>1800.7+633</f>
        <v>2433.6999999999998</v>
      </c>
      <c r="T14" s="97">
        <f>1800.7+633</f>
        <v>2433.6999999999998</v>
      </c>
      <c r="U14" s="97">
        <f t="shared" si="2"/>
        <v>0</v>
      </c>
      <c r="V14" s="135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17</v>
      </c>
      <c r="I15" s="75">
        <v>9</v>
      </c>
      <c r="J15" s="75">
        <v>14</v>
      </c>
      <c r="K15" s="75">
        <v>14</v>
      </c>
      <c r="L15" s="75">
        <v>9</v>
      </c>
      <c r="M15" s="97">
        <f>3475.33+5779.42</f>
        <v>9254.75</v>
      </c>
      <c r="N15" s="97">
        <f>3475.33+5779.42</f>
        <v>9254.75</v>
      </c>
      <c r="O15" s="93">
        <f t="shared" si="1"/>
        <v>0</v>
      </c>
      <c r="P15" s="123">
        <v>12</v>
      </c>
      <c r="Q15" s="124">
        <v>12</v>
      </c>
      <c r="R15" s="124">
        <v>11</v>
      </c>
      <c r="S15" s="97">
        <f>9375.69+2892.09</f>
        <v>12267.78</v>
      </c>
      <c r="T15" s="97">
        <f>9375.69+2892.09</f>
        <v>12267.78</v>
      </c>
      <c r="U15" s="97">
        <f t="shared" si="2"/>
        <v>0</v>
      </c>
      <c r="V15" s="135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97"/>
      <c r="U16" s="97">
        <f t="shared" si="2"/>
        <v>0</v>
      </c>
      <c r="V16" s="135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9</v>
      </c>
      <c r="I17" s="75">
        <v>6</v>
      </c>
      <c r="J17" s="75">
        <v>9</v>
      </c>
      <c r="K17" s="75">
        <v>8</v>
      </c>
      <c r="L17" s="75"/>
      <c r="M17" s="97"/>
      <c r="N17" s="97"/>
      <c r="O17" s="93">
        <f t="shared" si="1"/>
        <v>0</v>
      </c>
      <c r="P17" s="123">
        <v>1</v>
      </c>
      <c r="Q17" s="124">
        <v>1</v>
      </c>
      <c r="R17" s="124"/>
      <c r="S17" s="97"/>
      <c r="T17" s="97"/>
      <c r="U17" s="97">
        <f t="shared" si="2"/>
        <v>0</v>
      </c>
      <c r="V17" s="135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3</v>
      </c>
      <c r="I18" s="75"/>
      <c r="J18" s="75"/>
      <c r="K18" s="75"/>
      <c r="L18" s="75"/>
      <c r="M18" s="97"/>
      <c r="N18" s="97"/>
      <c r="O18" s="93">
        <f t="shared" si="1"/>
        <v>0</v>
      </c>
      <c r="P18" s="123">
        <v>5</v>
      </c>
      <c r="Q18" s="124">
        <v>5</v>
      </c>
      <c r="R18" s="124">
        <v>3</v>
      </c>
      <c r="S18" s="97">
        <v>14748.55</v>
      </c>
      <c r="T18" s="97">
        <v>14748.55</v>
      </c>
      <c r="U18" s="97">
        <f t="shared" si="2"/>
        <v>0</v>
      </c>
      <c r="V18" s="135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16</v>
      </c>
      <c r="I19" s="75">
        <v>8</v>
      </c>
      <c r="J19" s="75">
        <v>11</v>
      </c>
      <c r="K19" s="75">
        <v>11</v>
      </c>
      <c r="L19" s="75">
        <v>9</v>
      </c>
      <c r="M19" s="97">
        <f>1744.9+542.59+1862.35</f>
        <v>4149.84</v>
      </c>
      <c r="N19" s="97">
        <f>1744.9+542.59+1862.35</f>
        <v>4149.84</v>
      </c>
      <c r="O19" s="93">
        <f t="shared" si="1"/>
        <v>0</v>
      </c>
      <c r="P19" s="123">
        <v>12</v>
      </c>
      <c r="Q19" s="124">
        <v>12</v>
      </c>
      <c r="R19" s="124">
        <v>12</v>
      </c>
      <c r="S19" s="97">
        <f>12589.36+4299.58+3922.41</f>
        <v>20811.350000000002</v>
      </c>
      <c r="T19" s="97">
        <f>12589.36+4299.58+3922.41</f>
        <v>20811.350000000002</v>
      </c>
      <c r="U19" s="97">
        <f t="shared" si="2"/>
        <v>0</v>
      </c>
      <c r="V19" s="143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16</v>
      </c>
      <c r="I20" s="75">
        <v>7</v>
      </c>
      <c r="J20" s="75">
        <v>9</v>
      </c>
      <c r="K20" s="75">
        <v>4</v>
      </c>
      <c r="L20" s="75">
        <v>3</v>
      </c>
      <c r="M20" s="97">
        <v>1581.26</v>
      </c>
      <c r="N20" s="97">
        <v>1581.26</v>
      </c>
      <c r="O20" s="93">
        <f t="shared" si="1"/>
        <v>0</v>
      </c>
      <c r="P20" s="123">
        <v>23</v>
      </c>
      <c r="Q20" s="124">
        <v>22</v>
      </c>
      <c r="R20" s="124">
        <v>19</v>
      </c>
      <c r="S20" s="97">
        <f>14391.07+12609.01</f>
        <v>27000.080000000002</v>
      </c>
      <c r="T20" s="97">
        <f>14391.07+12609.01</f>
        <v>27000.080000000002</v>
      </c>
      <c r="U20" s="97">
        <f t="shared" si="2"/>
        <v>0</v>
      </c>
      <c r="V20" s="14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8</v>
      </c>
      <c r="I21" s="75">
        <v>3</v>
      </c>
      <c r="J21" s="75">
        <v>3</v>
      </c>
      <c r="K21" s="75">
        <v>3</v>
      </c>
      <c r="L21" s="75">
        <v>2</v>
      </c>
      <c r="M21" s="97">
        <f>427.18+831.61</f>
        <v>1258.79</v>
      </c>
      <c r="N21" s="97">
        <f>427.18+831.61</f>
        <v>1258.79</v>
      </c>
      <c r="O21" s="93">
        <f t="shared" si="1"/>
        <v>0</v>
      </c>
      <c r="P21" s="123">
        <v>5</v>
      </c>
      <c r="Q21" s="124">
        <v>5</v>
      </c>
      <c r="R21" s="124">
        <v>4</v>
      </c>
      <c r="S21" s="97">
        <f>5005.45+1729.9</f>
        <v>6735.35</v>
      </c>
      <c r="T21" s="97">
        <f>5005.45+1729.9</f>
        <v>6735.35</v>
      </c>
      <c r="U21" s="97">
        <f t="shared" si="2"/>
        <v>0</v>
      </c>
      <c r="V21" s="135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38</v>
      </c>
      <c r="I22" s="75">
        <v>17</v>
      </c>
      <c r="J22" s="75">
        <v>26</v>
      </c>
      <c r="K22" s="75">
        <v>25</v>
      </c>
      <c r="L22" s="75">
        <v>9</v>
      </c>
      <c r="M22" s="97">
        <f>910.39+3506.19</f>
        <v>4416.58</v>
      </c>
      <c r="N22" s="97">
        <f>910.39+3506.19</f>
        <v>4416.58</v>
      </c>
      <c r="O22" s="93">
        <f t="shared" si="1"/>
        <v>0</v>
      </c>
      <c r="P22" s="123">
        <v>19</v>
      </c>
      <c r="Q22" s="124">
        <v>18</v>
      </c>
      <c r="R22" s="124">
        <v>15</v>
      </c>
      <c r="S22" s="97">
        <f>16007.48+3068.6</f>
        <v>19076.079999999998</v>
      </c>
      <c r="T22" s="97">
        <f>16007.48+3068.6</f>
        <v>19076.079999999998</v>
      </c>
      <c r="U22" s="97">
        <f t="shared" si="2"/>
        <v>0</v>
      </c>
      <c r="V22" s="135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8</v>
      </c>
      <c r="I23" s="75">
        <v>5</v>
      </c>
      <c r="J23" s="75">
        <v>5</v>
      </c>
      <c r="K23" s="75">
        <v>5</v>
      </c>
      <c r="L23" s="75">
        <v>3</v>
      </c>
      <c r="M23" s="97">
        <f>1852.03+375.16</f>
        <v>2227.19</v>
      </c>
      <c r="N23" s="97">
        <f>1852.03+375.16</f>
        <v>2227.19</v>
      </c>
      <c r="O23" s="93">
        <f t="shared" si="1"/>
        <v>0</v>
      </c>
      <c r="P23" s="123">
        <v>11</v>
      </c>
      <c r="Q23" s="124">
        <v>11</v>
      </c>
      <c r="R23" s="124">
        <v>10</v>
      </c>
      <c r="S23" s="97">
        <f>23953.14+1377.56</f>
        <v>25330.7</v>
      </c>
      <c r="T23" s="97">
        <f>23953.14+1377.56</f>
        <v>25330.7</v>
      </c>
      <c r="U23" s="97">
        <f t="shared" si="2"/>
        <v>0</v>
      </c>
      <c r="V23" s="143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12</v>
      </c>
      <c r="I24" s="75">
        <v>8</v>
      </c>
      <c r="J24" s="75">
        <v>10</v>
      </c>
      <c r="K24" s="75">
        <v>10</v>
      </c>
      <c r="L24" s="75">
        <v>5</v>
      </c>
      <c r="M24" s="97">
        <v>1515.11</v>
      </c>
      <c r="N24" s="97">
        <v>1515.11</v>
      </c>
      <c r="O24" s="93">
        <f t="shared" si="1"/>
        <v>0</v>
      </c>
      <c r="P24" s="123">
        <v>8</v>
      </c>
      <c r="Q24" s="124">
        <v>7</v>
      </c>
      <c r="R24" s="124">
        <v>6</v>
      </c>
      <c r="S24" s="97">
        <v>4998.37</v>
      </c>
      <c r="T24" s="97">
        <v>4998.37</v>
      </c>
      <c r="U24" s="97">
        <f t="shared" si="2"/>
        <v>0</v>
      </c>
      <c r="V24" s="135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14</v>
      </c>
      <c r="I25" s="75">
        <v>9</v>
      </c>
      <c r="J25" s="75">
        <v>14</v>
      </c>
      <c r="K25" s="75">
        <v>12</v>
      </c>
      <c r="L25" s="75">
        <v>8</v>
      </c>
      <c r="M25" s="97">
        <f>2255.39+2419.13</f>
        <v>4674.5200000000004</v>
      </c>
      <c r="N25" s="97">
        <f>2255.39+2419.13</f>
        <v>4674.5200000000004</v>
      </c>
      <c r="O25" s="93">
        <f t="shared" si="1"/>
        <v>0</v>
      </c>
      <c r="P25" s="123">
        <v>21</v>
      </c>
      <c r="Q25" s="124">
        <v>20</v>
      </c>
      <c r="R25" s="124">
        <v>18</v>
      </c>
      <c r="S25" s="97">
        <f>17792.25+4619.68</f>
        <v>22411.93</v>
      </c>
      <c r="T25" s="97">
        <f>17792.25+4619.68</f>
        <v>22411.93</v>
      </c>
      <c r="U25" s="97">
        <f t="shared" si="2"/>
        <v>0</v>
      </c>
      <c r="V25" s="142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15</v>
      </c>
      <c r="I26" s="75"/>
      <c r="J26" s="75"/>
      <c r="K26" s="75"/>
      <c r="L26" s="75"/>
      <c r="M26" s="97"/>
      <c r="N26" s="97"/>
      <c r="O26" s="93">
        <f t="shared" si="1"/>
        <v>0</v>
      </c>
      <c r="P26" s="123"/>
      <c r="Q26" s="124"/>
      <c r="R26" s="124"/>
      <c r="S26" s="97"/>
      <c r="T26" s="97"/>
      <c r="U26" s="97">
        <f t="shared" si="2"/>
        <v>0</v>
      </c>
      <c r="V26" s="135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17</v>
      </c>
      <c r="I27" s="75">
        <v>7</v>
      </c>
      <c r="J27" s="75">
        <v>12</v>
      </c>
      <c r="K27" s="75">
        <v>12</v>
      </c>
      <c r="L27" s="75">
        <v>9</v>
      </c>
      <c r="M27" s="97">
        <f>2738.38+1698.1</f>
        <v>4436.4799999999996</v>
      </c>
      <c r="N27" s="97">
        <f>2738.38+1698.1</f>
        <v>4436.4799999999996</v>
      </c>
      <c r="O27" s="93">
        <f t="shared" si="1"/>
        <v>0</v>
      </c>
      <c r="P27" s="123">
        <v>13</v>
      </c>
      <c r="Q27" s="124">
        <v>13</v>
      </c>
      <c r="R27" s="124">
        <v>12</v>
      </c>
      <c r="S27" s="97">
        <f>11399.36+591.16</f>
        <v>11990.52</v>
      </c>
      <c r="T27" s="97">
        <f>11399.36+591.16</f>
        <v>11990.52</v>
      </c>
      <c r="U27" s="97">
        <f t="shared" si="2"/>
        <v>0</v>
      </c>
      <c r="V27" s="135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97"/>
      <c r="U28" s="97">
        <f t="shared" si="2"/>
        <v>0</v>
      </c>
      <c r="V28" s="135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14</v>
      </c>
      <c r="I29" s="75">
        <v>11</v>
      </c>
      <c r="J29" s="75">
        <v>13</v>
      </c>
      <c r="K29" s="75">
        <v>11</v>
      </c>
      <c r="L29" s="75">
        <v>11</v>
      </c>
      <c r="M29" s="97">
        <f>2023.14+2605.8+1307.38</f>
        <v>5936.3200000000006</v>
      </c>
      <c r="N29" s="97">
        <f>2023.14+2605.8+1307.38</f>
        <v>5936.3200000000006</v>
      </c>
      <c r="O29" s="93">
        <f t="shared" si="1"/>
        <v>0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43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18</v>
      </c>
      <c r="I30" s="75">
        <v>9</v>
      </c>
      <c r="J30" s="75">
        <v>10</v>
      </c>
      <c r="K30" s="75">
        <v>10</v>
      </c>
      <c r="L30" s="75">
        <v>8</v>
      </c>
      <c r="M30" s="97">
        <f>2487.52+2349.38</f>
        <v>4836.8999999999996</v>
      </c>
      <c r="N30" s="97">
        <f>2487.52+2349.38</f>
        <v>4836.8999999999996</v>
      </c>
      <c r="O30" s="93">
        <f t="shared" si="1"/>
        <v>0</v>
      </c>
      <c r="P30" s="123">
        <v>16</v>
      </c>
      <c r="Q30" s="124">
        <v>16</v>
      </c>
      <c r="R30" s="124">
        <v>14</v>
      </c>
      <c r="S30" s="97">
        <f>7176.8+21702.37</f>
        <v>28879.17</v>
      </c>
      <c r="T30" s="97">
        <f>7176.8+21702.37</f>
        <v>28879.17</v>
      </c>
      <c r="U30" s="97">
        <f t="shared" si="2"/>
        <v>0</v>
      </c>
      <c r="V30" s="14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1" t="s">
        <v>38</v>
      </c>
      <c r="D31" s="100" t="s">
        <v>124</v>
      </c>
      <c r="E31" s="101"/>
      <c r="F31" s="17" t="s">
        <v>106</v>
      </c>
      <c r="G31" s="72" t="s">
        <v>157</v>
      </c>
      <c r="H31" s="77">
        <v>4</v>
      </c>
      <c r="I31" s="75">
        <v>1</v>
      </c>
      <c r="J31" s="75">
        <v>2</v>
      </c>
      <c r="K31" s="75">
        <v>2</v>
      </c>
      <c r="L31" s="75">
        <v>2</v>
      </c>
      <c r="M31" s="97">
        <v>859.25</v>
      </c>
      <c r="N31" s="97">
        <v>859.25</v>
      </c>
      <c r="O31" s="93">
        <f t="shared" si="1"/>
        <v>0</v>
      </c>
      <c r="P31" s="123">
        <v>2</v>
      </c>
      <c r="Q31" s="12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4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0" t="s">
        <v>39</v>
      </c>
      <c r="D32" s="100" t="s">
        <v>124</v>
      </c>
      <c r="E32" s="101"/>
      <c r="F32" s="10" t="s">
        <v>105</v>
      </c>
      <c r="G32" s="72" t="s">
        <v>220</v>
      </c>
      <c r="H32" s="77"/>
      <c r="I32" s="75"/>
      <c r="J32" s="75"/>
      <c r="K32" s="75"/>
      <c r="L32" s="75"/>
      <c r="M32" s="97"/>
      <c r="N32" s="97"/>
      <c r="O32" s="93">
        <f t="shared" si="1"/>
        <v>0</v>
      </c>
      <c r="P32" s="123"/>
      <c r="Q32" s="124"/>
      <c r="R32" s="124"/>
      <c r="S32" s="97"/>
      <c r="T32" s="97"/>
      <c r="U32" s="97">
        <f t="shared" si="2"/>
        <v>0</v>
      </c>
      <c r="V32" s="135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0" t="s">
        <v>137</v>
      </c>
      <c r="D33" s="100" t="s">
        <v>124</v>
      </c>
      <c r="E33" s="101"/>
      <c r="F33" s="17" t="s">
        <v>106</v>
      </c>
      <c r="G33" s="72" t="s">
        <v>158</v>
      </c>
      <c r="H33" s="77">
        <v>9</v>
      </c>
      <c r="I33" s="75">
        <v>4</v>
      </c>
      <c r="J33" s="75">
        <v>4</v>
      </c>
      <c r="K33" s="75">
        <v>4</v>
      </c>
      <c r="L33" s="75">
        <v>3</v>
      </c>
      <c r="M33" s="97">
        <f>1929.2</f>
        <v>1929.2</v>
      </c>
      <c r="N33" s="97">
        <f>1929.2</f>
        <v>1929.2</v>
      </c>
      <c r="O33" s="93">
        <f t="shared" si="1"/>
        <v>0</v>
      </c>
      <c r="P33" s="123"/>
      <c r="Q33" s="124"/>
      <c r="R33" s="124"/>
      <c r="S33" s="97"/>
      <c r="T33" s="97"/>
      <c r="U33" s="97">
        <f t="shared" si="2"/>
        <v>0</v>
      </c>
      <c r="V33" s="135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2" t="s">
        <v>40</v>
      </c>
      <c r="D34" s="100" t="s">
        <v>124</v>
      </c>
      <c r="E34" s="101"/>
      <c r="F34" s="19" t="s">
        <v>115</v>
      </c>
      <c r="G34" s="72" t="s">
        <v>159</v>
      </c>
      <c r="H34" s="77">
        <v>11</v>
      </c>
      <c r="I34" s="75">
        <v>6</v>
      </c>
      <c r="J34" s="75">
        <v>11</v>
      </c>
      <c r="K34" s="75">
        <v>11</v>
      </c>
      <c r="L34" s="75">
        <v>11</v>
      </c>
      <c r="M34" s="97">
        <f>1580.26+3633.22+2321.45</f>
        <v>7534.9299999999994</v>
      </c>
      <c r="N34" s="97">
        <f>1580.26+3633.22+2321.45</f>
        <v>7534.9299999999994</v>
      </c>
      <c r="O34" s="93">
        <f t="shared" si="1"/>
        <v>0</v>
      </c>
      <c r="P34" s="123">
        <v>2</v>
      </c>
      <c r="Q34" s="12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43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1" t="s">
        <v>41</v>
      </c>
      <c r="D35" s="100" t="s">
        <v>124</v>
      </c>
      <c r="E35" s="101"/>
      <c r="F35" s="17" t="s">
        <v>106</v>
      </c>
      <c r="G35" s="72" t="s">
        <v>160</v>
      </c>
      <c r="H35" s="77">
        <v>9</v>
      </c>
      <c r="I35" s="75">
        <v>5</v>
      </c>
      <c r="J35" s="75">
        <v>8</v>
      </c>
      <c r="K35" s="75">
        <v>8</v>
      </c>
      <c r="L35" s="75">
        <v>3</v>
      </c>
      <c r="M35" s="97">
        <f>738.32+1081.83</f>
        <v>1820.15</v>
      </c>
      <c r="N35" s="97">
        <f>738.32+1081.83</f>
        <v>1820.15</v>
      </c>
      <c r="O35" s="93">
        <f t="shared" si="1"/>
        <v>0</v>
      </c>
      <c r="P35" s="123">
        <v>8</v>
      </c>
      <c r="Q35" s="124">
        <v>8</v>
      </c>
      <c r="R35" s="124">
        <v>7</v>
      </c>
      <c r="S35" s="97">
        <f>7876.12+900.18</f>
        <v>8776.2999999999993</v>
      </c>
      <c r="T35" s="97">
        <f>7876.12+900.18</f>
        <v>8776.2999999999993</v>
      </c>
      <c r="U35" s="97">
        <f t="shared" si="2"/>
        <v>0</v>
      </c>
      <c r="V35" s="141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3" t="s">
        <v>42</v>
      </c>
      <c r="D36" s="100" t="s">
        <v>124</v>
      </c>
      <c r="E36" s="101"/>
      <c r="F36" s="17" t="s">
        <v>106</v>
      </c>
      <c r="G36" s="72" t="s">
        <v>221</v>
      </c>
      <c r="H36" s="77">
        <v>9</v>
      </c>
      <c r="I36" s="75">
        <v>2</v>
      </c>
      <c r="J36" s="75">
        <v>2</v>
      </c>
      <c r="K36" s="75">
        <v>2</v>
      </c>
      <c r="L36" s="75"/>
      <c r="M36" s="97"/>
      <c r="N36" s="97"/>
      <c r="O36" s="93">
        <f t="shared" si="1"/>
        <v>0</v>
      </c>
      <c r="P36" s="123">
        <v>4</v>
      </c>
      <c r="Q36" s="124">
        <v>4</v>
      </c>
      <c r="R36" s="124">
        <v>4</v>
      </c>
      <c r="S36" s="97">
        <f>1436.08+3433.93</f>
        <v>4870.01</v>
      </c>
      <c r="T36" s="97">
        <f>1436.08+3433.93</f>
        <v>4870.01</v>
      </c>
      <c r="U36" s="97">
        <f t="shared" si="2"/>
        <v>0</v>
      </c>
      <c r="V36" s="142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3" t="s">
        <v>43</v>
      </c>
      <c r="D37" s="100" t="s">
        <v>124</v>
      </c>
      <c r="E37" s="101"/>
      <c r="F37" s="17" t="s">
        <v>106</v>
      </c>
      <c r="G37" s="72" t="s">
        <v>161</v>
      </c>
      <c r="H37" s="77">
        <v>8</v>
      </c>
      <c r="I37" s="75">
        <v>6</v>
      </c>
      <c r="J37" s="75">
        <v>6</v>
      </c>
      <c r="K37" s="75">
        <v>5</v>
      </c>
      <c r="L37" s="75">
        <v>5</v>
      </c>
      <c r="M37" s="97">
        <f>568.43+3282.53</f>
        <v>3850.96</v>
      </c>
      <c r="N37" s="97">
        <f>568.43+3282.53</f>
        <v>3850.96</v>
      </c>
      <c r="O37" s="93">
        <f t="shared" si="1"/>
        <v>0</v>
      </c>
      <c r="P37" s="123">
        <v>2</v>
      </c>
      <c r="Q37" s="124">
        <v>1</v>
      </c>
      <c r="R37" s="124">
        <v>1</v>
      </c>
      <c r="S37" s="97">
        <v>552.96</v>
      </c>
      <c r="T37" s="97">
        <v>552.96</v>
      </c>
      <c r="U37" s="97">
        <f t="shared" si="2"/>
        <v>0</v>
      </c>
      <c r="V37" s="142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1" t="s">
        <v>44</v>
      </c>
      <c r="D38" s="100" t="s">
        <v>124</v>
      </c>
      <c r="E38" s="101"/>
      <c r="F38" s="17" t="s">
        <v>105</v>
      </c>
      <c r="G38" s="72" t="s">
        <v>162</v>
      </c>
      <c r="H38" s="77">
        <v>29</v>
      </c>
      <c r="I38" s="75">
        <v>16</v>
      </c>
      <c r="J38" s="75">
        <v>21</v>
      </c>
      <c r="K38" s="75">
        <v>21</v>
      </c>
      <c r="L38" s="75">
        <v>8</v>
      </c>
      <c r="M38" s="97">
        <f>1783.68+344.5+1626.04</f>
        <v>3754.2200000000003</v>
      </c>
      <c r="N38" s="97">
        <f>1783.68+344.5+1626.04</f>
        <v>3754.2200000000003</v>
      </c>
      <c r="O38" s="93">
        <f t="shared" si="1"/>
        <v>0</v>
      </c>
      <c r="P38" s="123">
        <v>18</v>
      </c>
      <c r="Q38" s="124">
        <v>18</v>
      </c>
      <c r="R38" s="124">
        <v>16</v>
      </c>
      <c r="S38" s="97">
        <f>13233.81+6471.95</f>
        <v>19705.759999999998</v>
      </c>
      <c r="T38" s="97">
        <f>13233.81+6471.95</f>
        <v>19705.759999999998</v>
      </c>
      <c r="U38" s="97">
        <f t="shared" si="2"/>
        <v>0</v>
      </c>
      <c r="V38" s="14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1" t="s">
        <v>45</v>
      </c>
      <c r="D39" s="100" t="s">
        <v>124</v>
      </c>
      <c r="E39" s="101"/>
      <c r="F39" s="17" t="s">
        <v>111</v>
      </c>
      <c r="G39" s="72" t="s">
        <v>163</v>
      </c>
      <c r="H39" s="77">
        <v>12</v>
      </c>
      <c r="I39" s="75">
        <v>7</v>
      </c>
      <c r="J39" s="75">
        <v>10</v>
      </c>
      <c r="K39" s="75">
        <v>7</v>
      </c>
      <c r="L39" s="75">
        <v>4</v>
      </c>
      <c r="M39" s="97">
        <f>821.67+1850.17</f>
        <v>2671.84</v>
      </c>
      <c r="N39" s="97">
        <f>821.67+1850.17</f>
        <v>2671.84</v>
      </c>
      <c r="O39" s="93">
        <f t="shared" si="1"/>
        <v>0</v>
      </c>
      <c r="P39" s="123">
        <v>3</v>
      </c>
      <c r="Q39" s="124">
        <v>3</v>
      </c>
      <c r="R39" s="124"/>
      <c r="S39" s="97"/>
      <c r="T39" s="97"/>
      <c r="U39" s="97">
        <f t="shared" si="2"/>
        <v>0</v>
      </c>
      <c r="V39" s="14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0" t="s">
        <v>46</v>
      </c>
      <c r="D40" s="100" t="s">
        <v>124</v>
      </c>
      <c r="E40" s="101"/>
      <c r="F40" s="17" t="s">
        <v>106</v>
      </c>
      <c r="G40" s="72" t="s">
        <v>164</v>
      </c>
      <c r="H40" s="77">
        <v>6</v>
      </c>
      <c r="I40" s="75">
        <v>5</v>
      </c>
      <c r="J40" s="75">
        <v>5</v>
      </c>
      <c r="K40" s="75">
        <v>3</v>
      </c>
      <c r="L40" s="75">
        <v>3</v>
      </c>
      <c r="M40" s="97">
        <f>2273.7+1002.51</f>
        <v>3276.21</v>
      </c>
      <c r="N40" s="97">
        <f>2273.7+1002.51</f>
        <v>3276.21</v>
      </c>
      <c r="O40" s="93">
        <f t="shared" si="1"/>
        <v>0</v>
      </c>
      <c r="P40" s="123">
        <v>4</v>
      </c>
      <c r="Q40" s="12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35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0" t="s">
        <v>47</v>
      </c>
      <c r="D41" s="100" t="s">
        <v>124</v>
      </c>
      <c r="E41" s="101"/>
      <c r="F41" s="17" t="s">
        <v>116</v>
      </c>
      <c r="G41" s="72" t="s">
        <v>165</v>
      </c>
      <c r="H41" s="77">
        <v>9</v>
      </c>
      <c r="I41" s="75">
        <v>7</v>
      </c>
      <c r="J41" s="75">
        <v>8</v>
      </c>
      <c r="K41" s="75">
        <v>7</v>
      </c>
      <c r="L41" s="75">
        <v>3</v>
      </c>
      <c r="M41" s="97">
        <f>1322.88+206.7</f>
        <v>1529.5800000000002</v>
      </c>
      <c r="N41" s="97">
        <f>1322.88+206.7</f>
        <v>1529.5800000000002</v>
      </c>
      <c r="O41" s="93">
        <f t="shared" si="1"/>
        <v>0</v>
      </c>
      <c r="P41" s="123">
        <v>3</v>
      </c>
      <c r="Q41" s="124">
        <v>3</v>
      </c>
      <c r="R41" s="124">
        <v>2</v>
      </c>
      <c r="S41" s="97">
        <v>1016.08</v>
      </c>
      <c r="T41" s="97">
        <v>1016.08</v>
      </c>
      <c r="U41" s="97">
        <f t="shared" si="2"/>
        <v>0</v>
      </c>
      <c r="V41" s="135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3" t="s">
        <v>48</v>
      </c>
      <c r="D42" s="100" t="s">
        <v>124</v>
      </c>
      <c r="E42" s="101"/>
      <c r="F42" s="17" t="s">
        <v>106</v>
      </c>
      <c r="G42" s="72" t="s">
        <v>166</v>
      </c>
      <c r="H42" s="77">
        <v>6</v>
      </c>
      <c r="I42" s="75">
        <v>2</v>
      </c>
      <c r="J42" s="75">
        <v>2</v>
      </c>
      <c r="K42" s="75">
        <v>2</v>
      </c>
      <c r="L42" s="75">
        <v>2</v>
      </c>
      <c r="M42" s="97">
        <v>4681.8900000000003</v>
      </c>
      <c r="N42" s="97">
        <v>4681.8900000000003</v>
      </c>
      <c r="O42" s="93">
        <f t="shared" si="1"/>
        <v>0</v>
      </c>
      <c r="P42" s="123">
        <v>5</v>
      </c>
      <c r="Q42" s="124">
        <v>5</v>
      </c>
      <c r="R42" s="124">
        <v>3</v>
      </c>
      <c r="S42" s="97">
        <f>3907.41+583.58</f>
        <v>4490.99</v>
      </c>
      <c r="T42" s="97">
        <f>3907.41+583.58</f>
        <v>4490.99</v>
      </c>
      <c r="U42" s="97">
        <f t="shared" si="2"/>
        <v>0</v>
      </c>
      <c r="V42" s="142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0" t="s">
        <v>49</v>
      </c>
      <c r="D43" s="100" t="s">
        <v>124</v>
      </c>
      <c r="E43" s="101"/>
      <c r="F43" s="17" t="s">
        <v>106</v>
      </c>
      <c r="G43" s="72" t="s">
        <v>167</v>
      </c>
      <c r="H43" s="77">
        <v>11</v>
      </c>
      <c r="I43" s="75">
        <v>2</v>
      </c>
      <c r="J43" s="75">
        <v>2</v>
      </c>
      <c r="K43" s="75">
        <v>2</v>
      </c>
      <c r="L43" s="75">
        <v>1</v>
      </c>
      <c r="M43" s="97">
        <v>1157.56</v>
      </c>
      <c r="N43" s="97">
        <v>1157.56</v>
      </c>
      <c r="O43" s="93">
        <f t="shared" si="1"/>
        <v>0</v>
      </c>
      <c r="P43" s="123">
        <v>7</v>
      </c>
      <c r="Q43" s="124">
        <v>6</v>
      </c>
      <c r="R43" s="124">
        <v>5</v>
      </c>
      <c r="S43" s="97">
        <v>6437</v>
      </c>
      <c r="T43" s="97">
        <v>6437</v>
      </c>
      <c r="U43" s="97">
        <f t="shared" si="2"/>
        <v>0</v>
      </c>
      <c r="V43" s="135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3" t="s">
        <v>50</v>
      </c>
      <c r="D44" s="100" t="s">
        <v>124</v>
      </c>
      <c r="E44" s="101"/>
      <c r="F44" s="17" t="s">
        <v>106</v>
      </c>
      <c r="G44" s="72" t="s">
        <v>168</v>
      </c>
      <c r="H44" s="77">
        <v>5</v>
      </c>
      <c r="I44" s="75">
        <v>5</v>
      </c>
      <c r="J44" s="75">
        <v>6</v>
      </c>
      <c r="K44" s="75">
        <v>6</v>
      </c>
      <c r="L44" s="75">
        <v>4</v>
      </c>
      <c r="M44" s="97">
        <f>1345.04+387.91</f>
        <v>1732.95</v>
      </c>
      <c r="N44" s="97">
        <f>1345.04+387.91</f>
        <v>1732.95</v>
      </c>
      <c r="O44" s="93">
        <f t="shared" si="1"/>
        <v>0</v>
      </c>
      <c r="P44" s="123">
        <v>4</v>
      </c>
      <c r="Q44" s="124">
        <v>4</v>
      </c>
      <c r="R44" s="124">
        <v>4</v>
      </c>
      <c r="S44" s="97">
        <f>3997.92+850.65</f>
        <v>4848.57</v>
      </c>
      <c r="T44" s="97">
        <f>3997.92+850.65</f>
        <v>4848.57</v>
      </c>
      <c r="U44" s="97">
        <f t="shared" si="2"/>
        <v>0</v>
      </c>
      <c r="V44" s="142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1" t="s">
        <v>51</v>
      </c>
      <c r="D45" s="100" t="s">
        <v>124</v>
      </c>
      <c r="E45" s="101"/>
      <c r="F45" s="22" t="s">
        <v>112</v>
      </c>
      <c r="G45" s="72"/>
      <c r="H45" s="77"/>
      <c r="I45" s="75"/>
      <c r="J45" s="75"/>
      <c r="K45" s="75"/>
      <c r="L45" s="75"/>
      <c r="M45" s="97"/>
      <c r="N45" s="97"/>
      <c r="O45" s="93">
        <f t="shared" si="1"/>
        <v>0</v>
      </c>
      <c r="P45" s="123"/>
      <c r="Q45" s="124"/>
      <c r="R45" s="124"/>
      <c r="S45" s="97"/>
      <c r="T45" s="97"/>
      <c r="U45" s="97">
        <f t="shared" si="2"/>
        <v>0</v>
      </c>
      <c r="V45" s="14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1" t="s">
        <v>131</v>
      </c>
      <c r="D46" s="100" t="s">
        <v>124</v>
      </c>
      <c r="E46" s="101"/>
      <c r="F46" s="22" t="s">
        <v>106</v>
      </c>
      <c r="G46" s="72" t="s">
        <v>171</v>
      </c>
      <c r="H46" s="77">
        <v>6</v>
      </c>
      <c r="I46" s="75"/>
      <c r="J46" s="75"/>
      <c r="K46" s="75"/>
      <c r="L46" s="75"/>
      <c r="M46" s="97"/>
      <c r="N46" s="97"/>
      <c r="O46" s="93">
        <f t="shared" si="1"/>
        <v>0</v>
      </c>
      <c r="P46" s="123">
        <v>2</v>
      </c>
      <c r="Q46" s="124">
        <v>2</v>
      </c>
      <c r="R46" s="124">
        <v>1</v>
      </c>
      <c r="S46" s="97">
        <v>11787.49</v>
      </c>
      <c r="T46" s="97">
        <v>11787.49</v>
      </c>
      <c r="U46" s="97">
        <f t="shared" si="2"/>
        <v>0</v>
      </c>
      <c r="V46" s="14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3" t="s">
        <v>52</v>
      </c>
      <c r="D47" s="100" t="s">
        <v>124</v>
      </c>
      <c r="E47" s="101"/>
      <c r="F47" s="17" t="s">
        <v>106</v>
      </c>
      <c r="G47" s="72" t="s">
        <v>169</v>
      </c>
      <c r="H47" s="77">
        <v>21</v>
      </c>
      <c r="I47" s="75">
        <v>8</v>
      </c>
      <c r="J47" s="75">
        <v>11</v>
      </c>
      <c r="K47" s="75">
        <v>11</v>
      </c>
      <c r="L47" s="75">
        <v>4</v>
      </c>
      <c r="M47" s="97">
        <f>2714.54+272.6</f>
        <v>2987.14</v>
      </c>
      <c r="N47" s="97">
        <f>2714.54+272.6</f>
        <v>2987.14</v>
      </c>
      <c r="O47" s="93">
        <f t="shared" si="1"/>
        <v>0</v>
      </c>
      <c r="P47" s="123">
        <v>2</v>
      </c>
      <c r="Q47" s="124">
        <v>2</v>
      </c>
      <c r="R47" s="124">
        <v>1</v>
      </c>
      <c r="S47" s="97">
        <v>689</v>
      </c>
      <c r="T47" s="97">
        <v>689</v>
      </c>
      <c r="U47" s="97">
        <f t="shared" si="2"/>
        <v>0</v>
      </c>
      <c r="V47" s="142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0" t="s">
        <v>53</v>
      </c>
      <c r="D48" s="100" t="s">
        <v>124</v>
      </c>
      <c r="E48" s="101"/>
      <c r="F48" s="17" t="s">
        <v>105</v>
      </c>
      <c r="G48" s="72" t="s">
        <v>171</v>
      </c>
      <c r="H48" s="77">
        <v>8</v>
      </c>
      <c r="I48" s="75">
        <v>5</v>
      </c>
      <c r="J48" s="75">
        <v>7</v>
      </c>
      <c r="K48" s="75">
        <v>7</v>
      </c>
      <c r="L48" s="75">
        <v>1</v>
      </c>
      <c r="M48" s="97">
        <v>3786.47</v>
      </c>
      <c r="N48" s="97">
        <v>3786.47</v>
      </c>
      <c r="O48" s="93">
        <f t="shared" si="1"/>
        <v>0</v>
      </c>
      <c r="P48" s="123">
        <v>3</v>
      </c>
      <c r="Q48" s="12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35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0" t="s">
        <v>54</v>
      </c>
      <c r="D49" s="100" t="s">
        <v>124</v>
      </c>
      <c r="E49" s="101"/>
      <c r="F49" s="17" t="s">
        <v>106</v>
      </c>
      <c r="G49" s="72" t="s">
        <v>172</v>
      </c>
      <c r="H49" s="77">
        <v>9</v>
      </c>
      <c r="I49" s="75">
        <v>1</v>
      </c>
      <c r="J49" s="75">
        <v>1</v>
      </c>
      <c r="K49" s="75">
        <v>1</v>
      </c>
      <c r="L49" s="75">
        <v>1</v>
      </c>
      <c r="M49" s="97">
        <v>397.9</v>
      </c>
      <c r="N49" s="97">
        <v>397.9</v>
      </c>
      <c r="O49" s="93">
        <f t="shared" si="1"/>
        <v>0</v>
      </c>
      <c r="P49" s="123">
        <v>6</v>
      </c>
      <c r="Q49" s="124">
        <v>5</v>
      </c>
      <c r="R49" s="124">
        <v>5</v>
      </c>
      <c r="S49" s="97">
        <f>4105.06+1454.92</f>
        <v>5559.9800000000005</v>
      </c>
      <c r="T49" s="97">
        <f>4105.06+1454.92</f>
        <v>5559.9800000000005</v>
      </c>
      <c r="U49" s="97">
        <f t="shared" si="2"/>
        <v>0</v>
      </c>
      <c r="V49" s="135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0" t="s">
        <v>55</v>
      </c>
      <c r="D50" s="100" t="s">
        <v>124</v>
      </c>
      <c r="E50" s="101"/>
      <c r="F50" s="17" t="s">
        <v>106</v>
      </c>
      <c r="G50" s="72" t="s">
        <v>173</v>
      </c>
      <c r="H50" s="77">
        <v>11</v>
      </c>
      <c r="I50" s="75">
        <v>7</v>
      </c>
      <c r="J50" s="75">
        <v>7</v>
      </c>
      <c r="K50" s="75">
        <v>7</v>
      </c>
      <c r="L50" s="75">
        <v>5</v>
      </c>
      <c r="M50" s="97">
        <f>2478.12+2441.5</f>
        <v>4919.62</v>
      </c>
      <c r="N50" s="97">
        <f>2478.12+2441.5</f>
        <v>4919.62</v>
      </c>
      <c r="O50" s="93">
        <f t="shared" si="1"/>
        <v>0</v>
      </c>
      <c r="P50" s="123">
        <v>6</v>
      </c>
      <c r="Q50" s="124">
        <v>5</v>
      </c>
      <c r="R50" s="124">
        <v>5</v>
      </c>
      <c r="S50" s="97">
        <f>2457.28+1725.6</f>
        <v>4182.88</v>
      </c>
      <c r="T50" s="97">
        <f>2457.28+1725.6</f>
        <v>4182.88</v>
      </c>
      <c r="U50" s="97">
        <f t="shared" si="2"/>
        <v>0</v>
      </c>
      <c r="V50" s="135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0" t="s">
        <v>56</v>
      </c>
      <c r="D51" s="100" t="s">
        <v>124</v>
      </c>
      <c r="E51" s="101"/>
      <c r="F51" s="17" t="s">
        <v>106</v>
      </c>
      <c r="G51" s="72" t="s">
        <v>174</v>
      </c>
      <c r="H51" s="77">
        <v>11</v>
      </c>
      <c r="I51" s="75">
        <v>5</v>
      </c>
      <c r="J51" s="75">
        <v>6</v>
      </c>
      <c r="K51" s="75">
        <v>6</v>
      </c>
      <c r="L51" s="75">
        <v>3</v>
      </c>
      <c r="M51" s="97">
        <v>1308.27</v>
      </c>
      <c r="N51" s="97">
        <v>1308.27</v>
      </c>
      <c r="O51" s="93">
        <f t="shared" si="1"/>
        <v>0</v>
      </c>
      <c r="P51" s="123">
        <v>1</v>
      </c>
      <c r="Q51" s="124">
        <v>1</v>
      </c>
      <c r="R51" s="124">
        <v>1</v>
      </c>
      <c r="S51" s="97">
        <v>728.15</v>
      </c>
      <c r="T51" s="97">
        <v>728.15</v>
      </c>
      <c r="U51" s="97">
        <f t="shared" si="2"/>
        <v>0</v>
      </c>
      <c r="V51" s="135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3" t="s">
        <v>57</v>
      </c>
      <c r="D52" s="100" t="s">
        <v>124</v>
      </c>
      <c r="E52" s="101"/>
      <c r="F52" s="17" t="s">
        <v>106</v>
      </c>
      <c r="G52" s="72" t="s">
        <v>175</v>
      </c>
      <c r="H52" s="77">
        <v>10</v>
      </c>
      <c r="I52" s="75">
        <v>5</v>
      </c>
      <c r="J52" s="75">
        <v>6</v>
      </c>
      <c r="K52" s="75">
        <v>6</v>
      </c>
      <c r="L52" s="75">
        <v>4</v>
      </c>
      <c r="M52" s="97">
        <f>613.9+1710.26</f>
        <v>2324.16</v>
      </c>
      <c r="N52" s="97">
        <f>613.9+1710.26</f>
        <v>2324.16</v>
      </c>
      <c r="O52" s="93">
        <f t="shared" si="1"/>
        <v>0</v>
      </c>
      <c r="P52" s="123">
        <v>5</v>
      </c>
      <c r="Q52" s="124">
        <v>4</v>
      </c>
      <c r="R52" s="124">
        <v>4</v>
      </c>
      <c r="S52" s="97">
        <f>1535.39+1035.3</f>
        <v>2570.69</v>
      </c>
      <c r="T52" s="97">
        <f>1535.39+1035.3</f>
        <v>2570.69</v>
      </c>
      <c r="U52" s="97">
        <f t="shared" si="2"/>
        <v>0</v>
      </c>
      <c r="V52" s="142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3" t="s">
        <v>58</v>
      </c>
      <c r="D53" s="100" t="s">
        <v>124</v>
      </c>
      <c r="E53" s="101"/>
      <c r="F53" s="17" t="s">
        <v>106</v>
      </c>
      <c r="G53" s="72" t="s">
        <v>260</v>
      </c>
      <c r="H53" s="77">
        <v>4</v>
      </c>
      <c r="I53" s="75"/>
      <c r="J53" s="75"/>
      <c r="K53" s="75"/>
      <c r="L53" s="75"/>
      <c r="M53" s="97"/>
      <c r="N53" s="97"/>
      <c r="O53" s="93">
        <f t="shared" si="1"/>
        <v>0</v>
      </c>
      <c r="P53" s="123">
        <v>2</v>
      </c>
      <c r="Q53" s="12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42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3" t="s">
        <v>59</v>
      </c>
      <c r="D54" s="100" t="s">
        <v>124</v>
      </c>
      <c r="E54" s="101"/>
      <c r="F54" s="17" t="s">
        <v>112</v>
      </c>
      <c r="G54" s="72" t="s">
        <v>176</v>
      </c>
      <c r="H54" s="77">
        <v>34</v>
      </c>
      <c r="I54" s="75">
        <v>19</v>
      </c>
      <c r="J54" s="75">
        <v>25</v>
      </c>
      <c r="K54" s="75">
        <v>17</v>
      </c>
      <c r="L54" s="75">
        <v>17</v>
      </c>
      <c r="M54" s="97">
        <f>575.32+6377.18</f>
        <v>6952.5</v>
      </c>
      <c r="N54" s="97">
        <f>575.32+6377.18</f>
        <v>6952.5</v>
      </c>
      <c r="O54" s="93">
        <f t="shared" si="1"/>
        <v>0</v>
      </c>
      <c r="P54" s="123">
        <v>17</v>
      </c>
      <c r="Q54" s="12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42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3" t="s">
        <v>60</v>
      </c>
      <c r="D55" s="100" t="s">
        <v>125</v>
      </c>
      <c r="E55" s="106" t="s">
        <v>126</v>
      </c>
      <c r="F55" s="17" t="s">
        <v>106</v>
      </c>
      <c r="G55" s="72" t="s">
        <v>177</v>
      </c>
      <c r="H55" s="77">
        <v>4</v>
      </c>
      <c r="I55" s="75">
        <v>1</v>
      </c>
      <c r="J55" s="75">
        <v>1</v>
      </c>
      <c r="K55" s="75">
        <v>1</v>
      </c>
      <c r="L55" s="75"/>
      <c r="M55" s="97">
        <v>1887.9</v>
      </c>
      <c r="N55" s="97">
        <v>1887.9</v>
      </c>
      <c r="O55" s="93">
        <f t="shared" si="1"/>
        <v>0</v>
      </c>
      <c r="P55" s="123">
        <v>3</v>
      </c>
      <c r="Q55" s="12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42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1" t="s">
        <v>61</v>
      </c>
      <c r="D56" s="100" t="s">
        <v>124</v>
      </c>
      <c r="E56" s="101"/>
      <c r="F56" s="17" t="s">
        <v>107</v>
      </c>
      <c r="G56" s="72" t="s">
        <v>178</v>
      </c>
      <c r="H56" s="77">
        <v>27</v>
      </c>
      <c r="I56" s="75">
        <v>16</v>
      </c>
      <c r="J56" s="75">
        <v>18</v>
      </c>
      <c r="K56" s="75">
        <v>18</v>
      </c>
      <c r="L56" s="75">
        <v>13</v>
      </c>
      <c r="M56" s="97">
        <f>2880.54+7232.73</f>
        <v>10113.27</v>
      </c>
      <c r="N56" s="97">
        <f>2880.54+7232.73</f>
        <v>10113.27</v>
      </c>
      <c r="O56" s="93">
        <f t="shared" si="1"/>
        <v>0</v>
      </c>
      <c r="P56" s="123">
        <v>29</v>
      </c>
      <c r="Q56" s="124">
        <v>29</v>
      </c>
      <c r="R56" s="124">
        <v>24</v>
      </c>
      <c r="S56" s="97">
        <f>35028.07+10662.98</f>
        <v>45691.05</v>
      </c>
      <c r="T56" s="97">
        <f>35028.07+10662.98</f>
        <v>45691.05</v>
      </c>
      <c r="U56" s="97">
        <f t="shared" si="2"/>
        <v>0</v>
      </c>
      <c r="V56" s="14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1" t="s">
        <v>134</v>
      </c>
      <c r="D57" s="100" t="s">
        <v>124</v>
      </c>
      <c r="E57" s="101"/>
      <c r="F57" s="17" t="s">
        <v>112</v>
      </c>
      <c r="G57" s="72" t="s">
        <v>179</v>
      </c>
      <c r="H57" s="77">
        <v>14</v>
      </c>
      <c r="I57" s="75">
        <v>4</v>
      </c>
      <c r="J57" s="75">
        <v>4</v>
      </c>
      <c r="K57" s="75">
        <v>3</v>
      </c>
      <c r="L57" s="75"/>
      <c r="M57" s="97"/>
      <c r="N57" s="97"/>
      <c r="O57" s="93">
        <f t="shared" si="1"/>
        <v>0</v>
      </c>
      <c r="P57" s="123"/>
      <c r="Q57" s="124"/>
      <c r="R57" s="124"/>
      <c r="S57" s="97"/>
      <c r="T57" s="97"/>
      <c r="U57" s="97">
        <f t="shared" si="2"/>
        <v>0</v>
      </c>
      <c r="V57" s="14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1" t="s">
        <v>62</v>
      </c>
      <c r="D58" s="100" t="s">
        <v>124</v>
      </c>
      <c r="E58" s="101"/>
      <c r="F58" s="17" t="s">
        <v>106</v>
      </c>
      <c r="G58" s="72" t="s">
        <v>230</v>
      </c>
      <c r="H58" s="77"/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97"/>
      <c r="U58" s="97">
        <f t="shared" si="2"/>
        <v>0</v>
      </c>
      <c r="V58" s="14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1" t="s">
        <v>63</v>
      </c>
      <c r="D59" s="100" t="s">
        <v>124</v>
      </c>
      <c r="E59" s="101"/>
      <c r="F59" s="22" t="s">
        <v>112</v>
      </c>
      <c r="G59" s="72" t="s">
        <v>224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97"/>
      <c r="U59" s="97">
        <f t="shared" si="2"/>
        <v>0</v>
      </c>
      <c r="V59" s="14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1" t="s">
        <v>64</v>
      </c>
      <c r="D60" s="100" t="s">
        <v>124</v>
      </c>
      <c r="E60" s="101"/>
      <c r="F60" s="22" t="s">
        <v>107</v>
      </c>
      <c r="G60" s="72" t="s">
        <v>180</v>
      </c>
      <c r="H60" s="77">
        <v>28</v>
      </c>
      <c r="I60" s="75">
        <v>13</v>
      </c>
      <c r="J60" s="75">
        <v>21</v>
      </c>
      <c r="K60" s="75">
        <v>21</v>
      </c>
      <c r="L60" s="75">
        <v>12</v>
      </c>
      <c r="M60" s="97">
        <f>4967.08+2976.17+4153.2</f>
        <v>12096.45</v>
      </c>
      <c r="N60" s="97">
        <f>4967.08+2976.17+4153.2</f>
        <v>12096.45</v>
      </c>
      <c r="O60" s="93">
        <f t="shared" si="1"/>
        <v>0</v>
      </c>
      <c r="P60" s="123">
        <v>6</v>
      </c>
      <c r="Q60" s="124">
        <v>6</v>
      </c>
      <c r="R60" s="124">
        <v>5</v>
      </c>
      <c r="S60" s="97">
        <v>6524.72</v>
      </c>
      <c r="T60" s="97">
        <v>6524.72</v>
      </c>
      <c r="U60" s="97">
        <f t="shared" si="2"/>
        <v>0</v>
      </c>
      <c r="V60" s="14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1" t="s">
        <v>135</v>
      </c>
      <c r="D61" s="100" t="s">
        <v>124</v>
      </c>
      <c r="E61" s="101"/>
      <c r="F61" s="22" t="s">
        <v>111</v>
      </c>
      <c r="G61" s="72" t="s">
        <v>181</v>
      </c>
      <c r="H61" s="77">
        <v>8</v>
      </c>
      <c r="I61" s="75">
        <v>5</v>
      </c>
      <c r="J61" s="75">
        <v>6</v>
      </c>
      <c r="K61" s="75">
        <v>4</v>
      </c>
      <c r="L61" s="75">
        <v>2</v>
      </c>
      <c r="M61" s="97">
        <v>1098.6400000000001</v>
      </c>
      <c r="N61" s="97">
        <v>1098.6400000000001</v>
      </c>
      <c r="O61" s="93">
        <f t="shared" si="1"/>
        <v>0</v>
      </c>
      <c r="P61" s="123"/>
      <c r="Q61" s="124"/>
      <c r="R61" s="124"/>
      <c r="S61" s="97"/>
      <c r="T61" s="97"/>
      <c r="U61" s="97">
        <f t="shared" si="2"/>
        <v>0</v>
      </c>
      <c r="V61" s="14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3" t="s">
        <v>65</v>
      </c>
      <c r="D62" s="100" t="s">
        <v>124</v>
      </c>
      <c r="E62" s="101"/>
      <c r="F62" s="17" t="s">
        <v>106</v>
      </c>
      <c r="G62" s="72" t="s">
        <v>182</v>
      </c>
      <c r="H62" s="77">
        <v>12</v>
      </c>
      <c r="I62" s="75">
        <v>2</v>
      </c>
      <c r="J62" s="75">
        <v>2</v>
      </c>
      <c r="K62" s="75">
        <v>2</v>
      </c>
      <c r="L62" s="75">
        <v>2</v>
      </c>
      <c r="M62" s="97">
        <f>1263.45+2111.32</f>
        <v>3374.7700000000004</v>
      </c>
      <c r="N62" s="97">
        <f>1263.45+2111.32</f>
        <v>3374.7700000000004</v>
      </c>
      <c r="O62" s="93">
        <f t="shared" si="1"/>
        <v>0</v>
      </c>
      <c r="P62" s="123">
        <v>6</v>
      </c>
      <c r="Q62" s="124">
        <v>6</v>
      </c>
      <c r="R62" s="124">
        <v>6</v>
      </c>
      <c r="S62" s="97">
        <f>740.14+4736.32</f>
        <v>5476.46</v>
      </c>
      <c r="T62" s="97">
        <f>740.14+4736.32</f>
        <v>5476.46</v>
      </c>
      <c r="U62" s="97">
        <f t="shared" si="2"/>
        <v>0</v>
      </c>
    </row>
    <row r="63" spans="1:40" ht="20.100000000000001" customHeight="1" x14ac:dyDescent="0.25">
      <c r="B63" s="99">
        <f t="shared" si="3"/>
        <v>54</v>
      </c>
      <c r="C63" s="13" t="s">
        <v>66</v>
      </c>
      <c r="D63" s="100" t="s">
        <v>124</v>
      </c>
      <c r="E63" s="101"/>
      <c r="F63" s="17" t="s">
        <v>112</v>
      </c>
      <c r="G63" s="72" t="s">
        <v>227</v>
      </c>
      <c r="H63" s="77"/>
      <c r="I63" s="75"/>
      <c r="J63" s="75"/>
      <c r="K63" s="75"/>
      <c r="L63" s="75"/>
      <c r="M63" s="97"/>
      <c r="N63" s="97"/>
      <c r="O63" s="93">
        <f t="shared" si="1"/>
        <v>0</v>
      </c>
      <c r="P63" s="123">
        <v>28</v>
      </c>
      <c r="Q63" s="124">
        <v>28</v>
      </c>
      <c r="R63" s="124">
        <v>8</v>
      </c>
      <c r="S63" s="97">
        <v>3232.69</v>
      </c>
      <c r="T63" s="97">
        <v>3232.69</v>
      </c>
      <c r="U63" s="97">
        <f t="shared" si="2"/>
        <v>0</v>
      </c>
    </row>
    <row r="64" spans="1:40" ht="20.100000000000001" customHeight="1" x14ac:dyDescent="0.25">
      <c r="A64" s="155">
        <v>50</v>
      </c>
      <c r="B64" s="99">
        <f t="shared" si="3"/>
        <v>55</v>
      </c>
      <c r="C64" s="10" t="s">
        <v>67</v>
      </c>
      <c r="D64" s="100" t="s">
        <v>124</v>
      </c>
      <c r="E64" s="101"/>
      <c r="F64" s="17" t="s">
        <v>106</v>
      </c>
      <c r="G64" s="72" t="s">
        <v>183</v>
      </c>
      <c r="H64" s="77">
        <v>16</v>
      </c>
      <c r="I64" s="75">
        <v>6</v>
      </c>
      <c r="J64" s="75">
        <v>7</v>
      </c>
      <c r="K64" s="75">
        <v>7</v>
      </c>
      <c r="L64" s="75">
        <v>4</v>
      </c>
      <c r="M64" s="97">
        <v>2495.13</v>
      </c>
      <c r="N64" s="97">
        <v>2495.13</v>
      </c>
      <c r="O64" s="93">
        <f t="shared" si="1"/>
        <v>0</v>
      </c>
      <c r="P64" s="123">
        <v>8</v>
      </c>
      <c r="Q64" s="124">
        <v>8</v>
      </c>
      <c r="R64" s="124">
        <v>6</v>
      </c>
      <c r="S64" s="97">
        <v>3377.96</v>
      </c>
      <c r="T64" s="97">
        <v>3377.96</v>
      </c>
      <c r="U64" s="97">
        <f t="shared" si="2"/>
        <v>0</v>
      </c>
    </row>
    <row r="65" spans="1:21" ht="20.100000000000001" customHeight="1" x14ac:dyDescent="0.25">
      <c r="A65" s="155">
        <v>51</v>
      </c>
      <c r="B65" s="99">
        <f t="shared" si="3"/>
        <v>56</v>
      </c>
      <c r="C65" s="10" t="s">
        <v>68</v>
      </c>
      <c r="D65" s="100" t="s">
        <v>124</v>
      </c>
      <c r="E65" s="101"/>
      <c r="F65" s="17" t="s">
        <v>111</v>
      </c>
      <c r="G65" s="72" t="s">
        <v>184</v>
      </c>
      <c r="H65" s="77">
        <v>20</v>
      </c>
      <c r="I65" s="75">
        <v>16</v>
      </c>
      <c r="J65" s="75">
        <v>20</v>
      </c>
      <c r="K65" s="75">
        <v>17</v>
      </c>
      <c r="L65" s="75">
        <v>9</v>
      </c>
      <c r="M65" s="97">
        <f>620.1+6964.42</f>
        <v>7584.52</v>
      </c>
      <c r="N65" s="97">
        <f>620.1+6964.42</f>
        <v>7584.52</v>
      </c>
      <c r="O65" s="93">
        <f t="shared" si="1"/>
        <v>0</v>
      </c>
      <c r="P65" s="123">
        <v>10</v>
      </c>
      <c r="Q65" s="124">
        <v>10</v>
      </c>
      <c r="R65" s="124">
        <v>8</v>
      </c>
      <c r="S65" s="97">
        <v>5363.21</v>
      </c>
      <c r="T65" s="97">
        <v>5363.21</v>
      </c>
      <c r="U65" s="97">
        <f t="shared" si="2"/>
        <v>0</v>
      </c>
    </row>
    <row r="66" spans="1:21" ht="20.100000000000001" customHeight="1" x14ac:dyDescent="0.25">
      <c r="A66" s="155">
        <v>52</v>
      </c>
      <c r="B66" s="99">
        <f t="shared" si="3"/>
        <v>57</v>
      </c>
      <c r="C66" s="13" t="s">
        <v>69</v>
      </c>
      <c r="D66" s="100" t="s">
        <v>124</v>
      </c>
      <c r="E66" s="101"/>
      <c r="F66" s="17" t="s">
        <v>106</v>
      </c>
      <c r="G66" s="72" t="s">
        <v>185</v>
      </c>
      <c r="H66" s="77">
        <v>3</v>
      </c>
      <c r="I66" s="75">
        <v>2</v>
      </c>
      <c r="J66" s="75">
        <v>3</v>
      </c>
      <c r="K66" s="75">
        <v>3</v>
      </c>
      <c r="L66" s="75">
        <v>3</v>
      </c>
      <c r="M66" s="97">
        <f>463.83+1653.6</f>
        <v>2117.4299999999998</v>
      </c>
      <c r="N66" s="97">
        <f>463.83+1653.6</f>
        <v>2117.4299999999998</v>
      </c>
      <c r="O66" s="93">
        <f t="shared" si="1"/>
        <v>0</v>
      </c>
      <c r="P66" s="123">
        <v>4</v>
      </c>
      <c r="Q66" s="12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</row>
    <row r="67" spans="1:21" ht="20.100000000000001" customHeight="1" x14ac:dyDescent="0.25">
      <c r="A67" s="155">
        <v>53</v>
      </c>
      <c r="B67" s="99">
        <f t="shared" si="3"/>
        <v>58</v>
      </c>
      <c r="C67" s="11" t="s">
        <v>70</v>
      </c>
      <c r="D67" s="100" t="s">
        <v>124</v>
      </c>
      <c r="E67" s="101"/>
      <c r="F67" s="17" t="s">
        <v>107</v>
      </c>
      <c r="G67" s="72" t="s">
        <v>186</v>
      </c>
      <c r="H67" s="77">
        <v>25</v>
      </c>
      <c r="I67" s="75">
        <v>20</v>
      </c>
      <c r="J67" s="75">
        <v>25</v>
      </c>
      <c r="K67" s="75">
        <v>25</v>
      </c>
      <c r="L67" s="75">
        <v>16</v>
      </c>
      <c r="M67" s="97">
        <f>6122.06+2634.24+3593.96+1078.5</f>
        <v>13428.759999999998</v>
      </c>
      <c r="N67" s="97">
        <f>6122.06+2634.24+3593.96+1078.5</f>
        <v>13428.759999999998</v>
      </c>
      <c r="O67" s="93">
        <f t="shared" si="1"/>
        <v>0</v>
      </c>
      <c r="P67" s="123">
        <v>7</v>
      </c>
      <c r="Q67" s="124">
        <v>7</v>
      </c>
      <c r="R67" s="124">
        <v>7</v>
      </c>
      <c r="S67" s="97">
        <f>1207.07+5904.8</f>
        <v>7111.87</v>
      </c>
      <c r="T67" s="97">
        <f>1207.07+5904.8</f>
        <v>7111.87</v>
      </c>
      <c r="U67" s="97">
        <f t="shared" si="2"/>
        <v>0</v>
      </c>
    </row>
    <row r="68" spans="1:21" ht="20.100000000000001" customHeight="1" x14ac:dyDescent="0.25">
      <c r="A68" s="155">
        <v>54</v>
      </c>
      <c r="B68" s="99">
        <f t="shared" si="3"/>
        <v>59</v>
      </c>
      <c r="C68" s="11" t="s">
        <v>71</v>
      </c>
      <c r="D68" s="100" t="s">
        <v>124</v>
      </c>
      <c r="E68" s="101"/>
      <c r="F68" s="17" t="s">
        <v>117</v>
      </c>
      <c r="G68" s="72" t="s">
        <v>187</v>
      </c>
      <c r="H68" s="77">
        <v>21</v>
      </c>
      <c r="I68" s="75">
        <v>17</v>
      </c>
      <c r="J68" s="75">
        <v>26</v>
      </c>
      <c r="K68" s="75">
        <v>26</v>
      </c>
      <c r="L68" s="75">
        <v>17</v>
      </c>
      <c r="M68" s="97">
        <f>4665.7+7448.87</f>
        <v>12114.57</v>
      </c>
      <c r="N68" s="97">
        <f>4665.7+7448.87</f>
        <v>12114.57</v>
      </c>
      <c r="O68" s="93">
        <f t="shared" si="1"/>
        <v>0</v>
      </c>
      <c r="P68" s="123">
        <v>10</v>
      </c>
      <c r="Q68" s="124">
        <v>10</v>
      </c>
      <c r="R68" s="124">
        <v>10</v>
      </c>
      <c r="S68" s="97">
        <v>6249.15</v>
      </c>
      <c r="T68" s="97">
        <v>6249.15</v>
      </c>
      <c r="U68" s="97">
        <f t="shared" si="2"/>
        <v>0</v>
      </c>
    </row>
    <row r="69" spans="1:21" ht="20.100000000000001" customHeight="1" x14ac:dyDescent="0.25">
      <c r="A69" s="155">
        <v>55</v>
      </c>
      <c r="B69" s="99">
        <f t="shared" si="3"/>
        <v>60</v>
      </c>
      <c r="C69" s="11" t="s">
        <v>72</v>
      </c>
      <c r="D69" s="100" t="s">
        <v>125</v>
      </c>
      <c r="E69" s="106" t="s">
        <v>126</v>
      </c>
      <c r="F69" s="17" t="s">
        <v>106</v>
      </c>
      <c r="G69" s="72" t="s">
        <v>188</v>
      </c>
      <c r="H69" s="77">
        <v>5</v>
      </c>
      <c r="I69" s="75">
        <v>2</v>
      </c>
      <c r="J69" s="75">
        <v>2</v>
      </c>
      <c r="K69" s="75">
        <v>2</v>
      </c>
      <c r="L69" s="75"/>
      <c r="M69" s="97"/>
      <c r="N69" s="97"/>
      <c r="O69" s="93">
        <f t="shared" si="1"/>
        <v>0</v>
      </c>
      <c r="P69" s="123"/>
      <c r="Q69" s="124"/>
      <c r="R69" s="124"/>
      <c r="S69" s="97"/>
      <c r="T69" s="97"/>
      <c r="U69" s="97">
        <f t="shared" si="2"/>
        <v>0</v>
      </c>
    </row>
    <row r="70" spans="1:21" ht="20.100000000000001" customHeight="1" x14ac:dyDescent="0.25">
      <c r="A70" s="155">
        <v>56</v>
      </c>
      <c r="B70" s="99">
        <f t="shared" si="3"/>
        <v>61</v>
      </c>
      <c r="C70" s="10" t="s">
        <v>73</v>
      </c>
      <c r="D70" s="100" t="s">
        <v>124</v>
      </c>
      <c r="E70" s="101"/>
      <c r="F70" s="17" t="s">
        <v>106</v>
      </c>
      <c r="G70" s="72" t="s">
        <v>189</v>
      </c>
      <c r="H70" s="77">
        <v>7</v>
      </c>
      <c r="I70" s="75">
        <v>2</v>
      </c>
      <c r="J70" s="75">
        <v>2</v>
      </c>
      <c r="K70" s="75">
        <v>2</v>
      </c>
      <c r="L70" s="75"/>
      <c r="M70" s="97"/>
      <c r="N70" s="97"/>
      <c r="O70" s="93">
        <f t="shared" si="1"/>
        <v>0</v>
      </c>
      <c r="P70" s="123">
        <v>1</v>
      </c>
      <c r="Q70" s="124">
        <v>1</v>
      </c>
      <c r="R70" s="124">
        <v>1</v>
      </c>
      <c r="S70" s="97">
        <v>551.20000000000005</v>
      </c>
      <c r="T70" s="97">
        <v>551.20000000000005</v>
      </c>
      <c r="U70" s="97">
        <f t="shared" si="2"/>
        <v>0</v>
      </c>
    </row>
    <row r="71" spans="1:21" ht="20.100000000000001" customHeight="1" x14ac:dyDescent="0.25">
      <c r="A71" s="155">
        <v>57</v>
      </c>
      <c r="B71" s="99">
        <f t="shared" si="3"/>
        <v>62</v>
      </c>
      <c r="C71" s="11" t="s">
        <v>74</v>
      </c>
      <c r="D71" s="100" t="s">
        <v>124</v>
      </c>
      <c r="E71" s="101"/>
      <c r="F71" s="17" t="s">
        <v>111</v>
      </c>
      <c r="G71" s="72" t="s">
        <v>190</v>
      </c>
      <c r="H71" s="77">
        <v>11</v>
      </c>
      <c r="I71" s="75">
        <v>4</v>
      </c>
      <c r="J71" s="75">
        <v>4</v>
      </c>
      <c r="K71" s="75">
        <v>3</v>
      </c>
      <c r="L71" s="75">
        <v>2</v>
      </c>
      <c r="M71" s="97">
        <v>2228.5</v>
      </c>
      <c r="N71" s="97">
        <v>2228.5</v>
      </c>
      <c r="O71" s="93">
        <f t="shared" si="1"/>
        <v>0</v>
      </c>
      <c r="P71" s="123">
        <v>22</v>
      </c>
      <c r="Q71" s="124">
        <v>21</v>
      </c>
      <c r="R71" s="124">
        <v>17</v>
      </c>
      <c r="S71" s="97">
        <f>27744.56+14819.18</f>
        <v>42563.740000000005</v>
      </c>
      <c r="T71" s="97">
        <f>27744.56+14819.18</f>
        <v>42563.740000000005</v>
      </c>
      <c r="U71" s="97">
        <f t="shared" si="2"/>
        <v>0</v>
      </c>
    </row>
    <row r="72" spans="1:21" ht="20.100000000000001" customHeight="1" x14ac:dyDescent="0.25">
      <c r="A72" s="155">
        <v>58</v>
      </c>
      <c r="B72" s="99">
        <f t="shared" si="3"/>
        <v>63</v>
      </c>
      <c r="C72" s="11" t="s">
        <v>75</v>
      </c>
      <c r="D72" s="100" t="s">
        <v>124</v>
      </c>
      <c r="E72" s="101"/>
      <c r="F72" s="17" t="s">
        <v>118</v>
      </c>
      <c r="G72" s="72" t="s">
        <v>191</v>
      </c>
      <c r="H72" s="77">
        <v>6</v>
      </c>
      <c r="I72" s="75">
        <v>3</v>
      </c>
      <c r="J72" s="75">
        <v>4</v>
      </c>
      <c r="K72" s="75">
        <v>3</v>
      </c>
      <c r="L72" s="75">
        <v>2</v>
      </c>
      <c r="M72" s="97">
        <v>1163.72</v>
      </c>
      <c r="N72" s="97">
        <v>1163.72</v>
      </c>
      <c r="O72" s="93">
        <f t="shared" si="1"/>
        <v>0</v>
      </c>
      <c r="P72" s="123">
        <v>7</v>
      </c>
      <c r="Q72" s="12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</row>
    <row r="73" spans="1:21" ht="20.100000000000001" customHeight="1" x14ac:dyDescent="0.25">
      <c r="A73" s="155">
        <v>59</v>
      </c>
      <c r="B73" s="99">
        <f t="shared" si="3"/>
        <v>64</v>
      </c>
      <c r="C73" s="10" t="s">
        <v>76</v>
      </c>
      <c r="D73" s="100" t="s">
        <v>124</v>
      </c>
      <c r="E73" s="101"/>
      <c r="F73" s="10" t="s">
        <v>105</v>
      </c>
      <c r="G73" s="72" t="s">
        <v>192</v>
      </c>
      <c r="H73" s="77">
        <v>9</v>
      </c>
      <c r="I73" s="75">
        <v>4</v>
      </c>
      <c r="J73" s="75">
        <v>4</v>
      </c>
      <c r="K73" s="75">
        <v>4</v>
      </c>
      <c r="L73" s="75">
        <v>2</v>
      </c>
      <c r="M73" s="97">
        <v>507.1</v>
      </c>
      <c r="N73" s="97">
        <v>507.1</v>
      </c>
      <c r="O73" s="93">
        <f t="shared" si="1"/>
        <v>0</v>
      </c>
      <c r="P73" s="123">
        <v>3</v>
      </c>
      <c r="Q73" s="124">
        <v>3</v>
      </c>
      <c r="R73" s="124">
        <v>3</v>
      </c>
      <c r="S73" s="97">
        <v>1821.06</v>
      </c>
      <c r="T73" s="97">
        <v>1821.06</v>
      </c>
      <c r="U73" s="97">
        <f t="shared" si="2"/>
        <v>0</v>
      </c>
    </row>
    <row r="74" spans="1:21" ht="20.100000000000001" customHeight="1" x14ac:dyDescent="0.25">
      <c r="B74" s="99">
        <f t="shared" si="3"/>
        <v>65</v>
      </c>
      <c r="C74" s="11" t="s">
        <v>77</v>
      </c>
      <c r="D74" s="100" t="s">
        <v>124</v>
      </c>
      <c r="E74" s="101"/>
      <c r="F74" s="10" t="s">
        <v>111</v>
      </c>
      <c r="G74" s="72" t="s">
        <v>225</v>
      </c>
      <c r="H74" s="77"/>
      <c r="I74" s="75"/>
      <c r="J74" s="75"/>
      <c r="K74" s="75"/>
      <c r="L74" s="75"/>
      <c r="M74" s="97"/>
      <c r="N74" s="97"/>
      <c r="O74" s="93">
        <f t="shared" si="1"/>
        <v>0</v>
      </c>
      <c r="P74" s="123">
        <v>1</v>
      </c>
      <c r="Q74" s="12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</row>
    <row r="75" spans="1:21" ht="20.100000000000001" customHeight="1" x14ac:dyDescent="0.25">
      <c r="A75" s="155">
        <v>60</v>
      </c>
      <c r="B75" s="99">
        <f t="shared" si="3"/>
        <v>66</v>
      </c>
      <c r="C75" s="10" t="s">
        <v>78</v>
      </c>
      <c r="D75" s="100" t="s">
        <v>124</v>
      </c>
      <c r="E75" s="101"/>
      <c r="F75" s="23" t="s">
        <v>119</v>
      </c>
      <c r="G75" s="72" t="s">
        <v>193</v>
      </c>
      <c r="H75" s="77">
        <v>6</v>
      </c>
      <c r="I75" s="75"/>
      <c r="J75" s="75"/>
      <c r="K75" s="75"/>
      <c r="L75" s="75"/>
      <c r="M75" s="97"/>
      <c r="N75" s="97"/>
      <c r="O75" s="93">
        <f t="shared" ref="O75:O102" si="4" xml:space="preserve"> (M75-N75)</f>
        <v>0</v>
      </c>
      <c r="P75" s="123">
        <v>2</v>
      </c>
      <c r="Q75" s="124">
        <v>2</v>
      </c>
      <c r="R75" s="124">
        <v>2</v>
      </c>
      <c r="S75" s="97">
        <v>617.03</v>
      </c>
      <c r="T75" s="97">
        <v>617.03</v>
      </c>
      <c r="U75" s="97">
        <f t="shared" ref="U75:U102" si="5" xml:space="preserve"> (S75-T75)</f>
        <v>0</v>
      </c>
    </row>
    <row r="76" spans="1:21" ht="20.100000000000001" customHeight="1" x14ac:dyDescent="0.25">
      <c r="A76" s="155">
        <v>61</v>
      </c>
      <c r="B76" s="99">
        <f t="shared" ref="B76:B101" si="6">B75+1</f>
        <v>67</v>
      </c>
      <c r="C76" s="11" t="s">
        <v>79</v>
      </c>
      <c r="D76" s="100" t="s">
        <v>124</v>
      </c>
      <c r="E76" s="101"/>
      <c r="F76" s="17" t="s">
        <v>106</v>
      </c>
      <c r="G76" s="72" t="s">
        <v>194</v>
      </c>
      <c r="H76" s="77">
        <v>18</v>
      </c>
      <c r="I76" s="75">
        <v>7</v>
      </c>
      <c r="J76" s="75">
        <v>11</v>
      </c>
      <c r="K76" s="75">
        <v>11</v>
      </c>
      <c r="L76" s="75">
        <v>8</v>
      </c>
      <c r="M76" s="97">
        <f>1065.4+3931.58</f>
        <v>4996.9799999999996</v>
      </c>
      <c r="N76" s="97">
        <f>1065.4+3931.58</f>
        <v>4996.9799999999996</v>
      </c>
      <c r="O76" s="93">
        <f t="shared" si="4"/>
        <v>0</v>
      </c>
      <c r="P76" s="123">
        <v>5</v>
      </c>
      <c r="Q76" s="124">
        <v>5</v>
      </c>
      <c r="R76" s="124">
        <v>4</v>
      </c>
      <c r="S76" s="97">
        <f>2337.1+1182.32</f>
        <v>3519.42</v>
      </c>
      <c r="T76" s="97">
        <f>2337.1+1182.32</f>
        <v>3519.42</v>
      </c>
      <c r="U76" s="97">
        <f t="shared" si="5"/>
        <v>0</v>
      </c>
    </row>
    <row r="77" spans="1:21" ht="20.100000000000001" customHeight="1" x14ac:dyDescent="0.25">
      <c r="A77" s="155">
        <v>62</v>
      </c>
      <c r="B77" s="99">
        <f t="shared" si="6"/>
        <v>68</v>
      </c>
      <c r="C77" s="11" t="s">
        <v>80</v>
      </c>
      <c r="D77" s="100" t="s">
        <v>124</v>
      </c>
      <c r="E77" s="101"/>
      <c r="F77" s="17" t="s">
        <v>106</v>
      </c>
      <c r="G77" s="72" t="s">
        <v>195</v>
      </c>
      <c r="H77" s="77">
        <v>10</v>
      </c>
      <c r="I77" s="75">
        <v>3</v>
      </c>
      <c r="J77" s="75">
        <v>3</v>
      </c>
      <c r="K77" s="75">
        <v>3</v>
      </c>
      <c r="L77" s="75">
        <v>2</v>
      </c>
      <c r="M77" s="97">
        <f>3034.57</f>
        <v>3034.57</v>
      </c>
      <c r="N77" s="97">
        <f>3034.57</f>
        <v>3034.57</v>
      </c>
      <c r="O77" s="93">
        <f t="shared" si="4"/>
        <v>0</v>
      </c>
      <c r="P77" s="123"/>
      <c r="Q77" s="124"/>
      <c r="R77" s="124"/>
      <c r="S77" s="97"/>
      <c r="T77" s="97"/>
      <c r="U77" s="97">
        <f t="shared" si="5"/>
        <v>0</v>
      </c>
    </row>
    <row r="78" spans="1:21" ht="20.100000000000001" customHeight="1" x14ac:dyDescent="0.25">
      <c r="B78" s="99">
        <f t="shared" si="6"/>
        <v>69</v>
      </c>
      <c r="C78" s="14" t="s">
        <v>81</v>
      </c>
      <c r="D78" s="100" t="s">
        <v>124</v>
      </c>
      <c r="E78" s="101"/>
      <c r="F78" s="10" t="s">
        <v>106</v>
      </c>
      <c r="G78" s="72" t="s">
        <v>226</v>
      </c>
      <c r="H78" s="77"/>
      <c r="I78" s="75"/>
      <c r="J78" s="75"/>
      <c r="K78" s="75"/>
      <c r="L78" s="75"/>
      <c r="M78" s="97"/>
      <c r="N78" s="97"/>
      <c r="O78" s="93">
        <f t="shared" si="4"/>
        <v>0</v>
      </c>
      <c r="P78" s="123">
        <v>8</v>
      </c>
      <c r="Q78" s="12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</row>
    <row r="79" spans="1:21" ht="20.100000000000001" customHeight="1" x14ac:dyDescent="0.25">
      <c r="A79" s="155">
        <v>63</v>
      </c>
      <c r="B79" s="99">
        <f t="shared" si="6"/>
        <v>70</v>
      </c>
      <c r="C79" s="14" t="s">
        <v>82</v>
      </c>
      <c r="D79" s="100" t="s">
        <v>124</v>
      </c>
      <c r="E79" s="101"/>
      <c r="F79" s="10" t="s">
        <v>106</v>
      </c>
      <c r="G79" s="72" t="s">
        <v>196</v>
      </c>
      <c r="H79" s="77">
        <v>12</v>
      </c>
      <c r="I79" s="75">
        <v>6</v>
      </c>
      <c r="J79" s="75">
        <v>8</v>
      </c>
      <c r="K79" s="75">
        <v>8</v>
      </c>
      <c r="L79" s="75">
        <v>2</v>
      </c>
      <c r="M79" s="97">
        <f>272.84+664.75</f>
        <v>937.58999999999992</v>
      </c>
      <c r="N79" s="97">
        <f>272.84+664.75</f>
        <v>937.58999999999992</v>
      </c>
      <c r="O79" s="93">
        <f t="shared" si="4"/>
        <v>0</v>
      </c>
      <c r="P79" s="123">
        <v>1</v>
      </c>
      <c r="Q79" s="124">
        <v>1</v>
      </c>
      <c r="R79" s="124">
        <v>1</v>
      </c>
      <c r="S79" s="97">
        <v>275.60000000000002</v>
      </c>
      <c r="T79" s="97">
        <v>275.60000000000002</v>
      </c>
      <c r="U79" s="97">
        <f t="shared" si="5"/>
        <v>0</v>
      </c>
    </row>
    <row r="80" spans="1:21" ht="20.100000000000001" customHeight="1" x14ac:dyDescent="0.25">
      <c r="A80" s="155">
        <v>64</v>
      </c>
      <c r="B80" s="99">
        <f t="shared" si="6"/>
        <v>71</v>
      </c>
      <c r="C80" s="14" t="s">
        <v>83</v>
      </c>
      <c r="D80" s="100" t="s">
        <v>124</v>
      </c>
      <c r="E80" s="101"/>
      <c r="F80" s="10" t="s">
        <v>106</v>
      </c>
      <c r="G80" s="72" t="s">
        <v>197</v>
      </c>
      <c r="H80" s="77">
        <v>13</v>
      </c>
      <c r="I80" s="75">
        <v>6</v>
      </c>
      <c r="J80" s="75">
        <v>6</v>
      </c>
      <c r="K80" s="75">
        <v>6</v>
      </c>
      <c r="L80" s="75">
        <v>3</v>
      </c>
      <c r="M80" s="97">
        <f>531.74+1660.98</f>
        <v>2192.7200000000003</v>
      </c>
      <c r="N80" s="97">
        <f>531.74+1660.98</f>
        <v>2192.7200000000003</v>
      </c>
      <c r="O80" s="93">
        <f t="shared" si="4"/>
        <v>0</v>
      </c>
      <c r="P80" s="123">
        <v>7</v>
      </c>
      <c r="Q80" s="124">
        <v>7</v>
      </c>
      <c r="R80" s="124">
        <v>6</v>
      </c>
      <c r="S80" s="97">
        <f>12327.43+413.4</f>
        <v>12740.83</v>
      </c>
      <c r="T80" s="97">
        <f>12327.43+413.4</f>
        <v>12740.83</v>
      </c>
      <c r="U80" s="97">
        <f t="shared" si="5"/>
        <v>0</v>
      </c>
    </row>
    <row r="81" spans="1:21" ht="20.100000000000001" customHeight="1" x14ac:dyDescent="0.25">
      <c r="A81" s="155">
        <v>65</v>
      </c>
      <c r="B81" s="99">
        <f t="shared" si="6"/>
        <v>72</v>
      </c>
      <c r="C81" s="11" t="s">
        <v>84</v>
      </c>
      <c r="D81" s="100" t="s">
        <v>124</v>
      </c>
      <c r="E81" s="101"/>
      <c r="F81" s="10" t="s">
        <v>120</v>
      </c>
      <c r="G81" s="72" t="s">
        <v>198</v>
      </c>
      <c r="H81" s="77">
        <v>1</v>
      </c>
      <c r="I81" s="75"/>
      <c r="J81" s="75"/>
      <c r="K81" s="75"/>
      <c r="L81" s="75"/>
      <c r="M81" s="97"/>
      <c r="N81" s="97"/>
      <c r="O81" s="93">
        <f t="shared" si="4"/>
        <v>0</v>
      </c>
      <c r="P81" s="123"/>
      <c r="Q81" s="124"/>
      <c r="R81" s="124"/>
      <c r="S81" s="97"/>
      <c r="T81" s="97"/>
      <c r="U81" s="97">
        <f t="shared" si="5"/>
        <v>0</v>
      </c>
    </row>
    <row r="82" spans="1:21" ht="20.100000000000001" customHeight="1" x14ac:dyDescent="0.25">
      <c r="A82" s="155">
        <v>66</v>
      </c>
      <c r="B82" s="99">
        <f t="shared" si="6"/>
        <v>73</v>
      </c>
      <c r="C82" s="13" t="s">
        <v>85</v>
      </c>
      <c r="D82" s="100" t="s">
        <v>124</v>
      </c>
      <c r="E82" s="101"/>
      <c r="F82" s="19" t="s">
        <v>106</v>
      </c>
      <c r="G82" s="72" t="s">
        <v>199</v>
      </c>
      <c r="H82" s="77">
        <v>14</v>
      </c>
      <c r="I82" s="75">
        <v>5</v>
      </c>
      <c r="J82" s="75">
        <v>5</v>
      </c>
      <c r="K82" s="75">
        <v>5</v>
      </c>
      <c r="L82" s="75">
        <v>4</v>
      </c>
      <c r="M82" s="97">
        <v>2282.25</v>
      </c>
      <c r="N82" s="97">
        <v>2282.25</v>
      </c>
      <c r="O82" s="93">
        <f t="shared" si="4"/>
        <v>0</v>
      </c>
      <c r="P82" s="123">
        <v>6</v>
      </c>
      <c r="Q82" s="124">
        <v>6</v>
      </c>
      <c r="R82" s="124">
        <v>6</v>
      </c>
      <c r="S82" s="97">
        <f>15935.59+881.06</f>
        <v>16816.650000000001</v>
      </c>
      <c r="T82" s="97">
        <f>15935.59+881.06</f>
        <v>16816.650000000001</v>
      </c>
      <c r="U82" s="97">
        <f t="shared" si="5"/>
        <v>0</v>
      </c>
    </row>
    <row r="83" spans="1:21" ht="20.100000000000001" customHeight="1" x14ac:dyDescent="0.25">
      <c r="A83" s="155">
        <v>67</v>
      </c>
      <c r="B83" s="99">
        <f t="shared" si="6"/>
        <v>74</v>
      </c>
      <c r="C83" s="10" t="s">
        <v>86</v>
      </c>
      <c r="D83" s="100" t="s">
        <v>124</v>
      </c>
      <c r="E83" s="101"/>
      <c r="F83" s="22" t="s">
        <v>118</v>
      </c>
      <c r="G83" s="72" t="s">
        <v>200</v>
      </c>
      <c r="H83" s="77">
        <v>12</v>
      </c>
      <c r="I83" s="75">
        <v>11</v>
      </c>
      <c r="J83" s="75">
        <v>11</v>
      </c>
      <c r="K83" s="75">
        <v>7</v>
      </c>
      <c r="L83" s="75">
        <v>7</v>
      </c>
      <c r="M83" s="97">
        <f>2803.04+5035.5</f>
        <v>7838.54</v>
      </c>
      <c r="N83" s="97">
        <f>2803.04+5035.5</f>
        <v>7838.54</v>
      </c>
      <c r="O83" s="93">
        <f t="shared" si="4"/>
        <v>0</v>
      </c>
      <c r="P83" s="123">
        <v>9</v>
      </c>
      <c r="Q83" s="124">
        <v>6</v>
      </c>
      <c r="R83" s="124">
        <v>6</v>
      </c>
      <c r="S83" s="97">
        <f>6465.89+3406.65</f>
        <v>9872.5400000000009</v>
      </c>
      <c r="T83" s="97">
        <f>6465.89+3406.65</f>
        <v>9872.5400000000009</v>
      </c>
      <c r="U83" s="97">
        <f t="shared" si="5"/>
        <v>0</v>
      </c>
    </row>
    <row r="84" spans="1:21" ht="20.100000000000001" customHeight="1" x14ac:dyDescent="0.25">
      <c r="A84" s="155">
        <v>68</v>
      </c>
      <c r="B84" s="99">
        <f t="shared" si="6"/>
        <v>75</v>
      </c>
      <c r="C84" s="10" t="s">
        <v>87</v>
      </c>
      <c r="D84" s="100" t="s">
        <v>124</v>
      </c>
      <c r="E84" s="101"/>
      <c r="F84" s="22" t="s">
        <v>115</v>
      </c>
      <c r="G84" s="72" t="s">
        <v>201</v>
      </c>
      <c r="H84" s="77">
        <v>11</v>
      </c>
      <c r="I84" s="75">
        <v>3</v>
      </c>
      <c r="J84" s="75">
        <v>4</v>
      </c>
      <c r="K84" s="75">
        <v>4</v>
      </c>
      <c r="L84" s="75">
        <v>3</v>
      </c>
      <c r="M84" s="97">
        <f>409.27+3438.52</f>
        <v>3847.79</v>
      </c>
      <c r="N84" s="97">
        <f>409.27+3438.52</f>
        <v>3847.79</v>
      </c>
      <c r="O84" s="93">
        <f t="shared" si="4"/>
        <v>0</v>
      </c>
      <c r="P84" s="123">
        <v>1</v>
      </c>
      <c r="Q84" s="12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</row>
    <row r="85" spans="1:21" ht="20.100000000000001" customHeight="1" x14ac:dyDescent="0.25">
      <c r="A85" s="155">
        <v>70</v>
      </c>
      <c r="B85" s="99">
        <f t="shared" si="6"/>
        <v>76</v>
      </c>
      <c r="C85" s="11" t="s">
        <v>88</v>
      </c>
      <c r="D85" s="100" t="s">
        <v>124</v>
      </c>
      <c r="E85" s="101"/>
      <c r="F85" s="17" t="s">
        <v>121</v>
      </c>
      <c r="G85" s="72" t="s">
        <v>203</v>
      </c>
      <c r="H85" s="77">
        <v>16</v>
      </c>
      <c r="I85" s="75">
        <v>13</v>
      </c>
      <c r="J85" s="75">
        <v>21</v>
      </c>
      <c r="K85" s="75">
        <v>18</v>
      </c>
      <c r="L85" s="75">
        <v>13</v>
      </c>
      <c r="M85" s="97">
        <f>4781.94+3598.27</f>
        <v>8380.2099999999991</v>
      </c>
      <c r="N85" s="97">
        <f>4781.94+3598.27</f>
        <v>8380.2099999999991</v>
      </c>
      <c r="O85" s="93">
        <f t="shared" si="4"/>
        <v>0</v>
      </c>
      <c r="P85" s="123">
        <v>6</v>
      </c>
      <c r="Q85" s="12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</row>
    <row r="86" spans="1:21" ht="20.100000000000001" customHeight="1" x14ac:dyDescent="0.25">
      <c r="A86" s="155">
        <v>69</v>
      </c>
      <c r="B86" s="99">
        <f t="shared" si="6"/>
        <v>77</v>
      </c>
      <c r="C86" s="14" t="s">
        <v>89</v>
      </c>
      <c r="D86" s="100" t="s">
        <v>124</v>
      </c>
      <c r="E86" s="101"/>
      <c r="F86" s="19" t="s">
        <v>106</v>
      </c>
      <c r="G86" s="72" t="s">
        <v>202</v>
      </c>
      <c r="H86" s="77">
        <v>7</v>
      </c>
      <c r="I86" s="75"/>
      <c r="J86" s="75"/>
      <c r="K86" s="75"/>
      <c r="L86" s="75"/>
      <c r="M86" s="97"/>
      <c r="N86" s="97"/>
      <c r="O86" s="93">
        <f t="shared" si="4"/>
        <v>0</v>
      </c>
      <c r="P86" s="123">
        <v>2</v>
      </c>
      <c r="Q86" s="12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</row>
    <row r="87" spans="1:21" ht="20.100000000000001" customHeight="1" x14ac:dyDescent="0.25">
      <c r="A87" s="155">
        <v>71</v>
      </c>
      <c r="B87" s="99">
        <f t="shared" si="6"/>
        <v>78</v>
      </c>
      <c r="C87" s="14" t="s">
        <v>90</v>
      </c>
      <c r="D87" s="100" t="s">
        <v>124</v>
      </c>
      <c r="E87" s="101"/>
      <c r="F87" s="19" t="s">
        <v>106</v>
      </c>
      <c r="G87" s="72" t="s">
        <v>204</v>
      </c>
      <c r="H87" s="77">
        <v>4</v>
      </c>
      <c r="I87" s="75">
        <v>4</v>
      </c>
      <c r="J87" s="75">
        <v>4</v>
      </c>
      <c r="K87" s="75">
        <v>4</v>
      </c>
      <c r="L87" s="75">
        <v>4</v>
      </c>
      <c r="M87" s="97">
        <f>795.8+4099.92</f>
        <v>4895.72</v>
      </c>
      <c r="N87" s="97">
        <f>795.8+4099.92</f>
        <v>4895.72</v>
      </c>
      <c r="O87" s="93">
        <f t="shared" si="4"/>
        <v>0</v>
      </c>
      <c r="P87" s="123">
        <v>5</v>
      </c>
      <c r="Q87" s="124">
        <v>4</v>
      </c>
      <c r="R87" s="124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</row>
    <row r="88" spans="1:21" ht="20.100000000000001" customHeight="1" x14ac:dyDescent="0.25">
      <c r="B88" s="99">
        <f t="shared" si="6"/>
        <v>79</v>
      </c>
      <c r="C88" s="10" t="s">
        <v>91</v>
      </c>
      <c r="D88" s="100" t="s">
        <v>124</v>
      </c>
      <c r="E88" s="101"/>
      <c r="F88" s="17" t="s">
        <v>111</v>
      </c>
      <c r="G88" s="72" t="s">
        <v>231</v>
      </c>
      <c r="H88" s="77">
        <v>1</v>
      </c>
      <c r="I88" s="75"/>
      <c r="J88" s="75"/>
      <c r="K88" s="75"/>
      <c r="L88" s="75"/>
      <c r="M88" s="97"/>
      <c r="N88" s="97"/>
      <c r="O88" s="93">
        <f t="shared" si="4"/>
        <v>0</v>
      </c>
      <c r="P88" s="123">
        <v>6</v>
      </c>
      <c r="Q88" s="12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</row>
    <row r="89" spans="1:21" ht="20.100000000000001" customHeight="1" x14ac:dyDescent="0.25">
      <c r="A89" s="155">
        <v>72</v>
      </c>
      <c r="B89" s="99">
        <f t="shared" si="6"/>
        <v>80</v>
      </c>
      <c r="C89" s="10" t="s">
        <v>92</v>
      </c>
      <c r="D89" s="100" t="s">
        <v>124</v>
      </c>
      <c r="E89" s="101"/>
      <c r="F89" s="19" t="s">
        <v>106</v>
      </c>
      <c r="G89" s="72" t="s">
        <v>205</v>
      </c>
      <c r="H89" s="77">
        <v>6</v>
      </c>
      <c r="I89" s="75">
        <v>2</v>
      </c>
      <c r="J89" s="75">
        <v>3</v>
      </c>
      <c r="K89" s="75">
        <v>3</v>
      </c>
      <c r="L89" s="75">
        <v>2</v>
      </c>
      <c r="M89" s="97">
        <f>725.77+1768.23</f>
        <v>2494</v>
      </c>
      <c r="N89" s="97">
        <f>725.77+1768.23</f>
        <v>2494</v>
      </c>
      <c r="O89" s="93">
        <f t="shared" si="4"/>
        <v>0</v>
      </c>
      <c r="P89" s="123">
        <v>4</v>
      </c>
      <c r="Q89" s="124">
        <v>4</v>
      </c>
      <c r="R89" s="124">
        <v>4</v>
      </c>
      <c r="S89" s="97">
        <f>8161.92+1118.75</f>
        <v>9280.67</v>
      </c>
      <c r="T89" s="97">
        <f>8161.92+1118.75</f>
        <v>9280.67</v>
      </c>
      <c r="U89" s="97">
        <f t="shared" si="5"/>
        <v>0</v>
      </c>
    </row>
    <row r="90" spans="1:21" ht="20.100000000000001" customHeight="1" x14ac:dyDescent="0.25">
      <c r="A90" s="155">
        <v>73</v>
      </c>
      <c r="B90" s="99">
        <f t="shared" si="6"/>
        <v>81</v>
      </c>
      <c r="C90" s="11" t="s">
        <v>93</v>
      </c>
      <c r="D90" s="100" t="s">
        <v>124</v>
      </c>
      <c r="E90" s="101"/>
      <c r="F90" s="17" t="s">
        <v>122</v>
      </c>
      <c r="G90" s="72" t="s">
        <v>206</v>
      </c>
      <c r="H90" s="77">
        <v>20</v>
      </c>
      <c r="I90" s="75">
        <v>12</v>
      </c>
      <c r="J90" s="75">
        <v>22</v>
      </c>
      <c r="K90" s="75">
        <v>22</v>
      </c>
      <c r="L90" s="75">
        <v>20</v>
      </c>
      <c r="M90" s="97">
        <f>2814.78+10694.95</f>
        <v>13509.730000000001</v>
      </c>
      <c r="N90" s="97">
        <f>2814.78+10694.95</f>
        <v>13509.730000000001</v>
      </c>
      <c r="O90" s="93">
        <f t="shared" si="4"/>
        <v>0</v>
      </c>
      <c r="P90" s="123">
        <v>8</v>
      </c>
      <c r="Q90" s="124">
        <v>7</v>
      </c>
      <c r="R90" s="124">
        <v>7</v>
      </c>
      <c r="S90" s="97">
        <f>2624.93</f>
        <v>2624.93</v>
      </c>
      <c r="T90" s="97">
        <f>2624.93</f>
        <v>2624.93</v>
      </c>
      <c r="U90" s="97">
        <f t="shared" si="5"/>
        <v>0</v>
      </c>
    </row>
    <row r="91" spans="1:21" ht="20.100000000000001" customHeight="1" x14ac:dyDescent="0.25">
      <c r="A91" s="155">
        <v>74</v>
      </c>
      <c r="B91" s="99">
        <f t="shared" si="6"/>
        <v>82</v>
      </c>
      <c r="C91" s="11" t="s">
        <v>94</v>
      </c>
      <c r="D91" s="100" t="s">
        <v>124</v>
      </c>
      <c r="E91" s="101"/>
      <c r="F91" s="19" t="s">
        <v>106</v>
      </c>
      <c r="G91" s="72" t="s">
        <v>218</v>
      </c>
      <c r="H91" s="77">
        <v>11</v>
      </c>
      <c r="I91" s="75">
        <v>5</v>
      </c>
      <c r="J91" s="75">
        <v>10</v>
      </c>
      <c r="K91" s="75">
        <v>10</v>
      </c>
      <c r="L91" s="75">
        <v>5</v>
      </c>
      <c r="M91" s="97">
        <f>1255.05+1986.57</f>
        <v>3241.62</v>
      </c>
      <c r="N91" s="97">
        <f>1255.05+1986.57</f>
        <v>3241.62</v>
      </c>
      <c r="O91" s="93">
        <f t="shared" si="4"/>
        <v>0</v>
      </c>
      <c r="P91" s="123">
        <v>6</v>
      </c>
      <c r="Q91" s="124">
        <v>6</v>
      </c>
      <c r="R91" s="124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</row>
    <row r="92" spans="1:21" ht="20.100000000000001" customHeight="1" x14ac:dyDescent="0.25">
      <c r="A92" s="155">
        <v>75</v>
      </c>
      <c r="B92" s="99">
        <f t="shared" si="6"/>
        <v>83</v>
      </c>
      <c r="C92" s="11" t="s">
        <v>95</v>
      </c>
      <c r="D92" s="100" t="s">
        <v>124</v>
      </c>
      <c r="E92" s="101"/>
      <c r="F92" s="19" t="s">
        <v>123</v>
      </c>
      <c r="G92" s="72" t="s">
        <v>217</v>
      </c>
      <c r="H92" s="77">
        <v>12</v>
      </c>
      <c r="I92" s="75">
        <v>10</v>
      </c>
      <c r="J92" s="75">
        <v>12</v>
      </c>
      <c r="K92" s="75">
        <v>9</v>
      </c>
      <c r="L92" s="75">
        <v>9</v>
      </c>
      <c r="M92" s="97">
        <f>2301.54+4352.56</f>
        <v>6654.1</v>
      </c>
      <c r="N92" s="97">
        <f>2301.54+4352.56</f>
        <v>6654.1</v>
      </c>
      <c r="O92" s="93">
        <f t="shared" si="4"/>
        <v>0</v>
      </c>
      <c r="P92" s="123">
        <v>1</v>
      </c>
      <c r="Q92" s="12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</row>
    <row r="93" spans="1:21" ht="20.100000000000001" customHeight="1" x14ac:dyDescent="0.25">
      <c r="A93" s="155">
        <v>76</v>
      </c>
      <c r="B93" s="99">
        <f t="shared" si="6"/>
        <v>84</v>
      </c>
      <c r="C93" s="11" t="s">
        <v>96</v>
      </c>
      <c r="D93" s="100" t="s">
        <v>124</v>
      </c>
      <c r="E93" s="101"/>
      <c r="F93" s="22" t="s">
        <v>112</v>
      </c>
      <c r="G93" s="72" t="s">
        <v>216</v>
      </c>
      <c r="H93" s="77">
        <v>35</v>
      </c>
      <c r="I93" s="75">
        <v>17</v>
      </c>
      <c r="J93" s="75">
        <v>21</v>
      </c>
      <c r="K93" s="75">
        <v>18</v>
      </c>
      <c r="L93" s="75">
        <v>10</v>
      </c>
      <c r="M93" s="97">
        <v>4236.8100000000004</v>
      </c>
      <c r="N93" s="97">
        <v>4236.8100000000004</v>
      </c>
      <c r="O93" s="93">
        <f t="shared" si="4"/>
        <v>0</v>
      </c>
      <c r="P93" s="123">
        <v>8</v>
      </c>
      <c r="Q93" s="124">
        <v>8</v>
      </c>
      <c r="R93" s="124">
        <v>5</v>
      </c>
      <c r="S93" s="97">
        <f>5838.31+135.69</f>
        <v>5974</v>
      </c>
      <c r="T93" s="97">
        <f>5838.31+135.69</f>
        <v>5974</v>
      </c>
      <c r="U93" s="97">
        <f t="shared" si="5"/>
        <v>0</v>
      </c>
    </row>
    <row r="94" spans="1:21" ht="20.100000000000001" customHeight="1" x14ac:dyDescent="0.25">
      <c r="A94" s="155">
        <v>77</v>
      </c>
      <c r="B94" s="99">
        <f t="shared" si="6"/>
        <v>85</v>
      </c>
      <c r="C94" s="11" t="s">
        <v>97</v>
      </c>
      <c r="D94" s="100" t="s">
        <v>124</v>
      </c>
      <c r="E94" s="101"/>
      <c r="F94" s="17" t="s">
        <v>111</v>
      </c>
      <c r="G94" s="72" t="s">
        <v>215</v>
      </c>
      <c r="H94" s="77">
        <v>17</v>
      </c>
      <c r="I94" s="75">
        <v>8</v>
      </c>
      <c r="J94" s="75">
        <v>9</v>
      </c>
      <c r="K94" s="75">
        <v>6</v>
      </c>
      <c r="L94" s="75">
        <v>4</v>
      </c>
      <c r="M94" s="97">
        <v>3291.36</v>
      </c>
      <c r="N94" s="97">
        <v>3291.36</v>
      </c>
      <c r="O94" s="93">
        <f t="shared" si="4"/>
        <v>0</v>
      </c>
      <c r="P94" s="123">
        <v>19</v>
      </c>
      <c r="Q94" s="124">
        <v>19</v>
      </c>
      <c r="R94" s="124">
        <v>19</v>
      </c>
      <c r="S94" s="97">
        <f>18253.04+4245.2</f>
        <v>22498.240000000002</v>
      </c>
      <c r="T94" s="97">
        <f>18253.04+4245.2</f>
        <v>22498.240000000002</v>
      </c>
      <c r="U94" s="97">
        <f t="shared" si="5"/>
        <v>0</v>
      </c>
    </row>
    <row r="95" spans="1:21" ht="20.100000000000001" customHeight="1" x14ac:dyDescent="0.25">
      <c r="A95" s="155">
        <v>78</v>
      </c>
      <c r="B95" s="99">
        <f t="shared" si="6"/>
        <v>86</v>
      </c>
      <c r="C95" s="10" t="s">
        <v>98</v>
      </c>
      <c r="D95" s="100" t="s">
        <v>124</v>
      </c>
      <c r="E95" s="101"/>
      <c r="F95" s="19" t="s">
        <v>106</v>
      </c>
      <c r="G95" s="72" t="s">
        <v>214</v>
      </c>
      <c r="H95" s="77">
        <v>20</v>
      </c>
      <c r="I95" s="75">
        <v>6</v>
      </c>
      <c r="J95" s="75">
        <v>6</v>
      </c>
      <c r="K95" s="75">
        <v>6</v>
      </c>
      <c r="L95" s="75">
        <v>3</v>
      </c>
      <c r="M95" s="97">
        <f>413.4+1061.4</f>
        <v>1474.8000000000002</v>
      </c>
      <c r="N95" s="97">
        <f>413.4+1061.4</f>
        <v>1474.8000000000002</v>
      </c>
      <c r="O95" s="93">
        <f t="shared" si="4"/>
        <v>0</v>
      </c>
      <c r="P95" s="123">
        <v>11</v>
      </c>
      <c r="Q95" s="124">
        <v>11</v>
      </c>
      <c r="R95" s="124">
        <v>10</v>
      </c>
      <c r="S95" s="97">
        <f>22276.25+1366.6</f>
        <v>23642.85</v>
      </c>
      <c r="T95" s="97">
        <f>22276.25+1366.6</f>
        <v>23642.85</v>
      </c>
      <c r="U95" s="97">
        <f t="shared" si="5"/>
        <v>0</v>
      </c>
    </row>
    <row r="96" spans="1:21" ht="20.100000000000001" customHeight="1" x14ac:dyDescent="0.25">
      <c r="A96" s="155">
        <v>80</v>
      </c>
      <c r="B96" s="99">
        <f t="shared" si="6"/>
        <v>87</v>
      </c>
      <c r="C96" s="10" t="s">
        <v>129</v>
      </c>
      <c r="D96" s="100" t="s">
        <v>124</v>
      </c>
      <c r="E96" s="101"/>
      <c r="F96" s="19" t="s">
        <v>106</v>
      </c>
      <c r="G96" s="72" t="s">
        <v>212</v>
      </c>
      <c r="H96" s="77">
        <v>7</v>
      </c>
      <c r="I96" s="75">
        <v>1</v>
      </c>
      <c r="J96" s="75">
        <v>2</v>
      </c>
      <c r="K96" s="75">
        <v>2</v>
      </c>
      <c r="L96" s="75"/>
      <c r="M96" s="97"/>
      <c r="N96" s="97"/>
      <c r="O96" s="93">
        <f t="shared" si="4"/>
        <v>0</v>
      </c>
      <c r="P96" s="123"/>
      <c r="Q96" s="124"/>
      <c r="R96" s="124"/>
      <c r="S96" s="97"/>
      <c r="T96" s="97"/>
      <c r="U96" s="97">
        <f t="shared" si="5"/>
        <v>0</v>
      </c>
    </row>
    <row r="97" spans="1:33" ht="20.100000000000001" customHeight="1" x14ac:dyDescent="0.25">
      <c r="A97" s="155">
        <v>79</v>
      </c>
      <c r="B97" s="99">
        <f t="shared" si="6"/>
        <v>88</v>
      </c>
      <c r="C97" s="10" t="s">
        <v>99</v>
      </c>
      <c r="D97" s="100" t="s">
        <v>124</v>
      </c>
      <c r="E97" s="101"/>
      <c r="F97" s="19" t="s">
        <v>106</v>
      </c>
      <c r="G97" s="72" t="s">
        <v>213</v>
      </c>
      <c r="H97" s="77">
        <v>7</v>
      </c>
      <c r="I97" s="75">
        <v>5</v>
      </c>
      <c r="J97" s="75">
        <v>5</v>
      </c>
      <c r="K97" s="75">
        <v>4</v>
      </c>
      <c r="L97" s="75">
        <v>4</v>
      </c>
      <c r="M97" s="97">
        <f>1545.67+969.43</f>
        <v>2515.1</v>
      </c>
      <c r="N97" s="97">
        <f>1545.67+969.43</f>
        <v>2515.1</v>
      </c>
      <c r="O97" s="93">
        <f t="shared" si="4"/>
        <v>0</v>
      </c>
      <c r="P97" s="123">
        <v>4</v>
      </c>
      <c r="Q97" s="12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</row>
    <row r="98" spans="1:33" ht="20.100000000000001" customHeight="1" x14ac:dyDescent="0.25">
      <c r="A98" s="155">
        <v>81</v>
      </c>
      <c r="B98" s="99">
        <f t="shared" si="6"/>
        <v>89</v>
      </c>
      <c r="C98" s="13" t="s">
        <v>100</v>
      </c>
      <c r="D98" s="100" t="s">
        <v>124</v>
      </c>
      <c r="E98" s="101"/>
      <c r="F98" s="19" t="s">
        <v>106</v>
      </c>
      <c r="G98" s="72" t="s">
        <v>211</v>
      </c>
      <c r="H98" s="77">
        <v>10</v>
      </c>
      <c r="I98" s="75">
        <v>3</v>
      </c>
      <c r="J98" s="75">
        <v>3</v>
      </c>
      <c r="K98" s="75">
        <v>3</v>
      </c>
      <c r="L98" s="75">
        <v>2</v>
      </c>
      <c r="M98" s="97">
        <v>482.3</v>
      </c>
      <c r="N98" s="97">
        <v>482.3</v>
      </c>
      <c r="O98" s="93">
        <f t="shared" si="4"/>
        <v>0</v>
      </c>
      <c r="P98" s="123">
        <v>7</v>
      </c>
      <c r="Q98" s="124">
        <v>7</v>
      </c>
      <c r="R98" s="124">
        <v>6</v>
      </c>
      <c r="S98" s="97">
        <f>6457+964.6</f>
        <v>7421.6</v>
      </c>
      <c r="T98" s="97">
        <f>6457+964.6</f>
        <v>7421.6</v>
      </c>
      <c r="U98" s="97">
        <f t="shared" si="5"/>
        <v>0</v>
      </c>
    </row>
    <row r="99" spans="1:33" ht="20.100000000000001" customHeight="1" x14ac:dyDescent="0.25">
      <c r="A99" s="155">
        <v>82</v>
      </c>
      <c r="B99" s="99">
        <f t="shared" si="6"/>
        <v>90</v>
      </c>
      <c r="C99" s="13" t="s">
        <v>101</v>
      </c>
      <c r="D99" s="100" t="s">
        <v>124</v>
      </c>
      <c r="E99" s="101"/>
      <c r="F99" s="17" t="s">
        <v>106</v>
      </c>
      <c r="G99" s="72" t="s">
        <v>210</v>
      </c>
      <c r="H99" s="77">
        <v>15</v>
      </c>
      <c r="I99" s="75">
        <v>4</v>
      </c>
      <c r="J99" s="75">
        <v>5</v>
      </c>
      <c r="K99" s="75">
        <v>5</v>
      </c>
      <c r="L99" s="75">
        <v>1</v>
      </c>
      <c r="M99" s="97">
        <v>545.69000000000005</v>
      </c>
      <c r="N99" s="97">
        <v>545.69000000000005</v>
      </c>
      <c r="O99" s="93">
        <f t="shared" si="4"/>
        <v>0</v>
      </c>
      <c r="P99" s="123">
        <v>8</v>
      </c>
      <c r="Q99" s="124">
        <v>8</v>
      </c>
      <c r="R99" s="124">
        <v>6</v>
      </c>
      <c r="S99" s="97">
        <v>5077.71</v>
      </c>
      <c r="T99" s="97">
        <v>5077.71</v>
      </c>
      <c r="U99" s="97">
        <f t="shared" si="5"/>
        <v>0</v>
      </c>
    </row>
    <row r="100" spans="1:33" ht="20.100000000000001" customHeight="1" x14ac:dyDescent="0.25">
      <c r="A100" s="155">
        <v>83</v>
      </c>
      <c r="B100" s="99">
        <f t="shared" si="6"/>
        <v>91</v>
      </c>
      <c r="C100" s="13" t="s">
        <v>102</v>
      </c>
      <c r="D100" s="100" t="s">
        <v>124</v>
      </c>
      <c r="E100" s="101"/>
      <c r="F100" s="17" t="s">
        <v>106</v>
      </c>
      <c r="G100" s="72" t="s">
        <v>209</v>
      </c>
      <c r="H100" s="77">
        <v>13</v>
      </c>
      <c r="I100" s="75">
        <v>5</v>
      </c>
      <c r="J100" s="75">
        <v>6</v>
      </c>
      <c r="K100" s="75">
        <v>6</v>
      </c>
      <c r="L100" s="75">
        <v>6</v>
      </c>
      <c r="M100" s="97">
        <f>4459.37+1998.1</f>
        <v>6457.4699999999993</v>
      </c>
      <c r="N100" s="97">
        <f>4459.37+1998.1</f>
        <v>6457.4699999999993</v>
      </c>
      <c r="O100" s="93">
        <f t="shared" si="4"/>
        <v>0</v>
      </c>
      <c r="P100" s="123">
        <v>7</v>
      </c>
      <c r="Q100" s="124">
        <v>7</v>
      </c>
      <c r="R100" s="124">
        <v>7</v>
      </c>
      <c r="S100" s="97">
        <v>4232.91</v>
      </c>
      <c r="T100" s="97">
        <v>4232.91</v>
      </c>
      <c r="U100" s="97">
        <f t="shared" si="5"/>
        <v>0</v>
      </c>
    </row>
    <row r="101" spans="1:33" ht="20.100000000000001" customHeight="1" x14ac:dyDescent="0.25">
      <c r="A101" s="155">
        <v>84</v>
      </c>
      <c r="B101" s="99">
        <f t="shared" si="6"/>
        <v>92</v>
      </c>
      <c r="C101" s="11" t="s">
        <v>103</v>
      </c>
      <c r="D101" s="100" t="s">
        <v>124</v>
      </c>
      <c r="E101" s="101"/>
      <c r="F101" s="22" t="s">
        <v>112</v>
      </c>
      <c r="G101" s="72" t="s">
        <v>208</v>
      </c>
      <c r="H101" s="77">
        <v>35</v>
      </c>
      <c r="I101" s="75">
        <v>12</v>
      </c>
      <c r="J101" s="75">
        <v>13</v>
      </c>
      <c r="K101" s="75">
        <v>13</v>
      </c>
      <c r="L101" s="75">
        <v>6</v>
      </c>
      <c r="M101" s="97">
        <f>234.26+3190.4</f>
        <v>3424.66</v>
      </c>
      <c r="N101" s="97">
        <f>234.26+3190.4</f>
        <v>3424.66</v>
      </c>
      <c r="O101" s="93">
        <f t="shared" si="4"/>
        <v>0</v>
      </c>
      <c r="P101" s="123">
        <v>22</v>
      </c>
      <c r="Q101" s="124">
        <v>22</v>
      </c>
      <c r="R101" s="124">
        <v>14</v>
      </c>
      <c r="S101" s="97">
        <f>16946.83+3092.58</f>
        <v>20039.410000000003</v>
      </c>
      <c r="T101" s="97">
        <f>16946.83+3092.58</f>
        <v>20039.410000000003</v>
      </c>
      <c r="U101" s="97">
        <f t="shared" si="5"/>
        <v>0</v>
      </c>
    </row>
    <row r="102" spans="1:33" ht="20.100000000000001" customHeight="1" x14ac:dyDescent="0.25">
      <c r="A102" s="155">
        <v>85</v>
      </c>
      <c r="B102" s="115">
        <f>B101+1</f>
        <v>93</v>
      </c>
      <c r="C102" s="116" t="s">
        <v>104</v>
      </c>
      <c r="D102" s="111" t="s">
        <v>124</v>
      </c>
      <c r="E102" s="112"/>
      <c r="F102" s="117" t="s">
        <v>106</v>
      </c>
      <c r="G102" s="118" t="s">
        <v>207</v>
      </c>
      <c r="H102" s="113">
        <v>6</v>
      </c>
      <c r="I102" s="114">
        <v>2</v>
      </c>
      <c r="J102" s="114">
        <v>2</v>
      </c>
      <c r="K102" s="114">
        <v>2</v>
      </c>
      <c r="L102" s="114">
        <v>1</v>
      </c>
      <c r="M102" s="147">
        <v>137.80000000000001</v>
      </c>
      <c r="N102" s="147">
        <v>137.80000000000001</v>
      </c>
      <c r="O102" s="148">
        <f t="shared" si="4"/>
        <v>0</v>
      </c>
      <c r="P102" s="149">
        <v>3</v>
      </c>
      <c r="Q102" s="150">
        <v>3</v>
      </c>
      <c r="R102" s="150">
        <v>3</v>
      </c>
      <c r="S102" s="147">
        <v>1193.3</v>
      </c>
      <c r="T102" s="147">
        <v>1193.3</v>
      </c>
      <c r="U102" s="97">
        <f t="shared" si="5"/>
        <v>0</v>
      </c>
      <c r="V102" s="145"/>
    </row>
    <row r="103" spans="1:33" ht="20.100000000000001" customHeight="1" x14ac:dyDescent="0.25">
      <c r="A103" s="155">
        <v>88</v>
      </c>
      <c r="B103" s="106">
        <v>94</v>
      </c>
      <c r="C103" s="10" t="s">
        <v>258</v>
      </c>
      <c r="D103" s="111" t="s">
        <v>124</v>
      </c>
      <c r="E103" s="101"/>
      <c r="F103" s="12" t="s">
        <v>106</v>
      </c>
      <c r="G103" s="118" t="s">
        <v>261</v>
      </c>
      <c r="H103" s="75">
        <v>3</v>
      </c>
      <c r="I103" s="75"/>
      <c r="J103" s="75"/>
      <c r="K103" s="75"/>
      <c r="L103" s="75"/>
      <c r="M103" s="97"/>
      <c r="N103" s="97"/>
      <c r="O103" s="97"/>
      <c r="P103" s="124"/>
      <c r="Q103" s="124"/>
      <c r="R103" s="124"/>
      <c r="S103" s="97"/>
      <c r="T103" s="97"/>
      <c r="U103" s="97"/>
      <c r="V103" s="145"/>
    </row>
    <row r="104" spans="1:33" ht="20.100000000000001" customHeight="1" x14ac:dyDescent="0.25">
      <c r="B104" s="106">
        <v>95</v>
      </c>
      <c r="C104" s="10" t="s">
        <v>242</v>
      </c>
      <c r="D104" s="100" t="s">
        <v>124</v>
      </c>
      <c r="E104" s="101"/>
      <c r="F104" s="17" t="s">
        <v>117</v>
      </c>
      <c r="G104" s="72" t="s">
        <v>259</v>
      </c>
      <c r="H104" s="77">
        <v>3</v>
      </c>
      <c r="I104" s="75">
        <v>2</v>
      </c>
      <c r="J104" s="75">
        <v>2</v>
      </c>
      <c r="K104" s="75">
        <v>2</v>
      </c>
      <c r="L104" s="75"/>
      <c r="M104" s="97"/>
      <c r="N104" s="97"/>
      <c r="O104" s="97"/>
      <c r="P104" s="124"/>
      <c r="Q104" s="124"/>
      <c r="R104" s="124"/>
      <c r="S104" s="97"/>
      <c r="T104" s="97"/>
      <c r="U104" s="97"/>
      <c r="V104" s="145"/>
    </row>
    <row r="105" spans="1:33" ht="20.100000000000001" customHeight="1" x14ac:dyDescent="0.25">
      <c r="B105" s="362"/>
      <c r="C105" s="362"/>
      <c r="D105" s="362"/>
      <c r="E105" s="362"/>
      <c r="F105" s="362"/>
      <c r="G105" s="362"/>
      <c r="H105" s="119">
        <f>SUM(H10:H104)</f>
        <v>1056</v>
      </c>
      <c r="I105" s="119">
        <f>SUM(I10:I104)</f>
        <v>509</v>
      </c>
      <c r="J105" s="119">
        <f>SUM(J10:J104)</f>
        <v>656</v>
      </c>
      <c r="K105" s="119">
        <f>SUM(K10:K104)</f>
        <v>604</v>
      </c>
      <c r="L105" s="119">
        <f>SUM(L10:L104)</f>
        <v>379</v>
      </c>
      <c r="M105" s="151">
        <f>SUM(M10:M102)</f>
        <v>267855.3</v>
      </c>
      <c r="N105" s="151">
        <f>SUM(N10:N104)</f>
        <v>267855.3</v>
      </c>
      <c r="O105" s="151">
        <f>SUM(O10:O104)</f>
        <v>0</v>
      </c>
      <c r="P105" s="152">
        <f>SUM(P10:P104)</f>
        <v>594</v>
      </c>
      <c r="Q105" s="152">
        <f>SUM(Q10:Q104)</f>
        <v>575</v>
      </c>
      <c r="R105" s="152">
        <f>SUM(R11:R104)</f>
        <v>487</v>
      </c>
      <c r="S105" s="151">
        <f>SUM(S10:S104)</f>
        <v>652971.25000000012</v>
      </c>
      <c r="T105" s="146">
        <f>SUM(T10:T104)</f>
        <v>652971.25000000012</v>
      </c>
      <c r="U105" s="120">
        <f>SUM(U10:U104)</f>
        <v>0</v>
      </c>
      <c r="V105" s="156"/>
      <c r="W105" s="156"/>
      <c r="X105" s="157"/>
      <c r="Y105" s="156"/>
      <c r="Z105" s="157"/>
      <c r="AA105" s="156"/>
      <c r="AB105" s="157"/>
      <c r="AC105" s="157"/>
      <c r="AD105" s="157"/>
      <c r="AE105" s="157"/>
      <c r="AF105" s="156"/>
      <c r="AG105" s="156"/>
    </row>
    <row r="107" spans="1:33" x14ac:dyDescent="0.25">
      <c r="V107" s="145"/>
      <c r="W107" s="14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426" priority="3" stopIfTrue="1" operator="equal">
      <formula>0</formula>
    </cfRule>
  </conditionalFormatting>
  <conditionalFormatting sqref="AL45">
    <cfRule type="cellIs" dxfId="425" priority="2" stopIfTrue="1" operator="equal">
      <formula>0</formula>
    </cfRule>
  </conditionalFormatting>
  <conditionalFormatting sqref="T45">
    <cfRule type="cellIs" dxfId="424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topLeftCell="C7" zoomScale="70" zoomScaleNormal="70" workbookViewId="0">
      <selection activeCell="S32" sqref="S32"/>
    </sheetView>
  </sheetViews>
  <sheetFormatPr defaultRowHeight="15" x14ac:dyDescent="0.25"/>
  <cols>
    <col min="2" max="2" width="40.5703125" customWidth="1"/>
    <col min="3" max="3" width="20.140625" customWidth="1"/>
    <col min="4" max="4" width="19.7109375" customWidth="1"/>
    <col min="5" max="5" width="28" customWidth="1"/>
    <col min="6" max="6" width="20.85546875" customWidth="1"/>
    <col min="7" max="7" width="20.28515625" customWidth="1"/>
    <col min="8" max="8" width="18.7109375" customWidth="1"/>
    <col min="9" max="9" width="17.5703125" customWidth="1"/>
    <col min="10" max="10" width="18" customWidth="1"/>
    <col min="11" max="11" width="15.5703125" customWidth="1"/>
    <col min="12" max="12" width="16.28515625" customWidth="1"/>
    <col min="13" max="13" width="16.140625" customWidth="1"/>
    <col min="14" max="14" width="17.5703125" customWidth="1"/>
    <col min="15" max="15" width="18.7109375" customWidth="1"/>
    <col min="16" max="16" width="18.5703125" customWidth="1"/>
    <col min="17" max="18" width="19.140625" customWidth="1"/>
    <col min="19" max="19" width="16.7109375" customWidth="1"/>
    <col min="20" max="20" width="17.85546875" customWidth="1"/>
  </cols>
  <sheetData>
    <row r="1" spans="1:20" ht="73.5" customHeight="1" thickBot="1" x14ac:dyDescent="0.3">
      <c r="A1" s="310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2"/>
      <c r="R1" s="304" t="s">
        <v>17</v>
      </c>
      <c r="S1" s="304"/>
      <c r="T1" s="304"/>
    </row>
    <row r="2" spans="1:20" x14ac:dyDescent="0.25">
      <c r="A2" s="295" t="s">
        <v>128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7"/>
    </row>
    <row r="3" spans="1:20" ht="47.25" customHeight="1" thickBot="1" x14ac:dyDescent="0.3">
      <c r="A3" s="298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300"/>
    </row>
    <row r="4" spans="1:20" ht="14.25" hidden="1" customHeight="1" x14ac:dyDescent="0.25">
      <c r="A4" s="298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300"/>
    </row>
    <row r="5" spans="1:20" ht="14.25" hidden="1" customHeight="1" x14ac:dyDescent="0.25">
      <c r="A5" s="298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300"/>
    </row>
    <row r="6" spans="1:20" ht="15.75" hidden="1" thickBot="1" x14ac:dyDescent="0.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3"/>
    </row>
    <row r="7" spans="1:20" ht="66" customHeight="1" thickBot="1" x14ac:dyDescent="0.3">
      <c r="A7" s="305" t="s">
        <v>0</v>
      </c>
      <c r="B7" s="307" t="s">
        <v>1</v>
      </c>
      <c r="C7" s="308"/>
      <c r="D7" s="308"/>
      <c r="E7" s="308"/>
      <c r="F7" s="309"/>
      <c r="G7" s="307" t="s">
        <v>2</v>
      </c>
      <c r="H7" s="308"/>
      <c r="I7" s="308"/>
      <c r="J7" s="308"/>
      <c r="K7" s="308"/>
      <c r="L7" s="308"/>
      <c r="M7" s="308"/>
      <c r="N7" s="309"/>
      <c r="O7" s="307" t="s">
        <v>249</v>
      </c>
      <c r="P7" s="308"/>
      <c r="Q7" s="308"/>
      <c r="R7" s="308"/>
      <c r="S7" s="308"/>
      <c r="T7" s="309"/>
    </row>
    <row r="8" spans="1:20" ht="114" customHeight="1" x14ac:dyDescent="0.25">
      <c r="A8" s="306"/>
      <c r="B8" s="8" t="s">
        <v>4</v>
      </c>
      <c r="C8" s="8" t="s">
        <v>5</v>
      </c>
      <c r="D8" s="8" t="s">
        <v>6</v>
      </c>
      <c r="E8" s="8" t="s">
        <v>7</v>
      </c>
      <c r="F8" s="9" t="s">
        <v>8</v>
      </c>
      <c r="G8" s="7" t="s">
        <v>9</v>
      </c>
      <c r="H8" s="8" t="s">
        <v>10</v>
      </c>
      <c r="I8" s="8" t="s">
        <v>11</v>
      </c>
      <c r="J8" s="8" t="s">
        <v>12</v>
      </c>
      <c r="K8" s="8" t="s">
        <v>13</v>
      </c>
      <c r="L8" s="8" t="s">
        <v>14</v>
      </c>
      <c r="M8" s="8" t="s">
        <v>15</v>
      </c>
      <c r="N8" s="9" t="s">
        <v>16</v>
      </c>
      <c r="O8" s="7" t="s">
        <v>11</v>
      </c>
      <c r="P8" s="8" t="s">
        <v>12</v>
      </c>
      <c r="Q8" s="8" t="s">
        <v>13</v>
      </c>
      <c r="R8" s="8" t="s">
        <v>14</v>
      </c>
      <c r="S8" s="8" t="s">
        <v>15</v>
      </c>
      <c r="T8" s="9" t="s">
        <v>16</v>
      </c>
    </row>
    <row r="9" spans="1:20" x14ac:dyDescent="0.25">
      <c r="A9" s="4">
        <v>1</v>
      </c>
      <c r="B9" s="1">
        <v>2</v>
      </c>
      <c r="C9" s="1">
        <v>3</v>
      </c>
      <c r="D9" s="1">
        <v>4</v>
      </c>
      <c r="E9" s="1">
        <v>5</v>
      </c>
      <c r="F9" s="5">
        <v>6</v>
      </c>
      <c r="G9" s="4">
        <f>F9+1</f>
        <v>7</v>
      </c>
      <c r="H9" s="1">
        <f t="shared" ref="H9:T9" si="0">G9+1</f>
        <v>8</v>
      </c>
      <c r="I9" s="1">
        <f t="shared" si="0"/>
        <v>9</v>
      </c>
      <c r="J9" s="1">
        <f t="shared" si="0"/>
        <v>10</v>
      </c>
      <c r="K9" s="1">
        <f t="shared" si="0"/>
        <v>11</v>
      </c>
      <c r="L9" s="1">
        <f t="shared" si="0"/>
        <v>12</v>
      </c>
      <c r="M9" s="1">
        <f t="shared" si="0"/>
        <v>13</v>
      </c>
      <c r="N9" s="5">
        <f t="shared" si="0"/>
        <v>14</v>
      </c>
      <c r="O9" s="4">
        <f t="shared" si="0"/>
        <v>15</v>
      </c>
      <c r="P9" s="1">
        <f t="shared" si="0"/>
        <v>16</v>
      </c>
      <c r="Q9" s="1">
        <f t="shared" si="0"/>
        <v>17</v>
      </c>
      <c r="R9" s="1">
        <f t="shared" si="0"/>
        <v>18</v>
      </c>
      <c r="S9" s="1">
        <f t="shared" si="0"/>
        <v>19</v>
      </c>
      <c r="T9" s="5">
        <f t="shared" si="0"/>
        <v>20</v>
      </c>
    </row>
    <row r="10" spans="1:20" ht="15.75" x14ac:dyDescent="0.25">
      <c r="A10" s="3">
        <v>1</v>
      </c>
      <c r="B10" s="10" t="s">
        <v>18</v>
      </c>
      <c r="C10" s="15" t="s">
        <v>124</v>
      </c>
      <c r="D10" s="2"/>
      <c r="E10" s="16" t="s">
        <v>105</v>
      </c>
      <c r="F10" s="6"/>
      <c r="G10" s="26">
        <v>3</v>
      </c>
      <c r="H10" s="24"/>
      <c r="I10" s="24"/>
      <c r="J10" s="24"/>
      <c r="K10" s="24"/>
      <c r="L10" s="24"/>
      <c r="M10" s="24"/>
      <c r="N10" s="25">
        <f xml:space="preserve"> (L10-M10)</f>
        <v>0</v>
      </c>
      <c r="O10" s="26"/>
      <c r="P10" s="24"/>
      <c r="Q10" s="24"/>
      <c r="R10" s="24"/>
      <c r="S10" s="24"/>
      <c r="T10" s="25">
        <f xml:space="preserve"> (R10-S10)</f>
        <v>0</v>
      </c>
    </row>
    <row r="11" spans="1:20" ht="15.75" x14ac:dyDescent="0.25">
      <c r="A11" s="3">
        <f>A10+1</f>
        <v>2</v>
      </c>
      <c r="B11" s="10" t="s">
        <v>19</v>
      </c>
      <c r="C11" s="15" t="s">
        <v>124</v>
      </c>
      <c r="D11" s="2"/>
      <c r="E11" s="17" t="s">
        <v>106</v>
      </c>
      <c r="F11" s="6"/>
      <c r="G11" s="26"/>
      <c r="H11" s="24"/>
      <c r="I11" s="24"/>
      <c r="J11" s="24"/>
      <c r="K11" s="24"/>
      <c r="L11" s="24"/>
      <c r="M11" s="24"/>
      <c r="N11" s="25">
        <f t="shared" ref="N11:N74" si="1" xml:space="preserve"> (L11-M11)</f>
        <v>0</v>
      </c>
      <c r="O11" s="26">
        <v>1</v>
      </c>
      <c r="P11" s="24"/>
      <c r="Q11" s="24"/>
      <c r="R11" s="24"/>
      <c r="S11" s="24"/>
      <c r="T11" s="25">
        <f t="shared" ref="T11:T74" si="2" xml:space="preserve"> (R11-S11)</f>
        <v>0</v>
      </c>
    </row>
    <row r="12" spans="1:20" ht="15.75" x14ac:dyDescent="0.25">
      <c r="A12" s="3">
        <f t="shared" ref="A12:A75" si="3">A11+1</f>
        <v>3</v>
      </c>
      <c r="B12" s="11" t="s">
        <v>20</v>
      </c>
      <c r="C12" s="15" t="s">
        <v>124</v>
      </c>
      <c r="D12" s="2"/>
      <c r="E12" s="17" t="s">
        <v>107</v>
      </c>
      <c r="F12" s="6"/>
      <c r="G12" s="26"/>
      <c r="H12" s="24"/>
      <c r="I12" s="24"/>
      <c r="J12" s="24"/>
      <c r="K12" s="24"/>
      <c r="L12" s="24"/>
      <c r="M12" s="24"/>
      <c r="N12" s="25">
        <f t="shared" si="1"/>
        <v>0</v>
      </c>
      <c r="O12" s="26"/>
      <c r="P12" s="24"/>
      <c r="Q12" s="24"/>
      <c r="R12" s="24"/>
      <c r="S12" s="24"/>
      <c r="T12" s="25">
        <f t="shared" si="2"/>
        <v>0</v>
      </c>
    </row>
    <row r="13" spans="1:20" ht="15.75" x14ac:dyDescent="0.25">
      <c r="A13" s="3">
        <f t="shared" si="3"/>
        <v>4</v>
      </c>
      <c r="B13" s="11" t="s">
        <v>21</v>
      </c>
      <c r="C13" s="15" t="s">
        <v>124</v>
      </c>
      <c r="D13" s="2"/>
      <c r="E13" s="17" t="s">
        <v>108</v>
      </c>
      <c r="F13" s="6"/>
      <c r="G13" s="26">
        <v>1</v>
      </c>
      <c r="H13" s="24"/>
      <c r="I13" s="24"/>
      <c r="J13" s="24"/>
      <c r="K13" s="24"/>
      <c r="L13" s="24"/>
      <c r="M13" s="24"/>
      <c r="N13" s="25">
        <f t="shared" si="1"/>
        <v>0</v>
      </c>
      <c r="O13" s="26"/>
      <c r="P13" s="24"/>
      <c r="Q13" s="24"/>
      <c r="R13" s="24"/>
      <c r="S13" s="24"/>
      <c r="T13" s="25">
        <f t="shared" si="2"/>
        <v>0</v>
      </c>
    </row>
    <row r="14" spans="1:20" ht="15.75" x14ac:dyDescent="0.25">
      <c r="A14" s="3">
        <f t="shared" si="3"/>
        <v>5</v>
      </c>
      <c r="B14" s="10" t="s">
        <v>22</v>
      </c>
      <c r="C14" s="15" t="s">
        <v>124</v>
      </c>
      <c r="D14" s="2"/>
      <c r="E14" s="17" t="s">
        <v>106</v>
      </c>
      <c r="F14" s="6"/>
      <c r="G14" s="26">
        <v>1</v>
      </c>
      <c r="H14" s="24"/>
      <c r="I14" s="24"/>
      <c r="J14" s="24"/>
      <c r="K14" s="24"/>
      <c r="L14" s="24"/>
      <c r="M14" s="24"/>
      <c r="N14" s="25">
        <f t="shared" si="1"/>
        <v>0</v>
      </c>
      <c r="O14" s="26"/>
      <c r="P14" s="24"/>
      <c r="Q14" s="24"/>
      <c r="R14" s="24"/>
      <c r="S14" s="24"/>
      <c r="T14" s="25">
        <f t="shared" si="2"/>
        <v>0</v>
      </c>
    </row>
    <row r="15" spans="1:20" ht="15.75" x14ac:dyDescent="0.25">
      <c r="A15" s="3">
        <f t="shared" si="3"/>
        <v>6</v>
      </c>
      <c r="B15" s="10" t="s">
        <v>23</v>
      </c>
      <c r="C15" s="15" t="s">
        <v>124</v>
      </c>
      <c r="D15" s="2"/>
      <c r="E15" s="17" t="s">
        <v>106</v>
      </c>
      <c r="F15" s="6"/>
      <c r="G15" s="26">
        <v>2</v>
      </c>
      <c r="H15" s="24"/>
      <c r="I15" s="24"/>
      <c r="J15" s="24"/>
      <c r="K15" s="24"/>
      <c r="L15" s="24"/>
      <c r="M15" s="24"/>
      <c r="N15" s="25">
        <f t="shared" si="1"/>
        <v>0</v>
      </c>
      <c r="O15" s="26">
        <v>3</v>
      </c>
      <c r="P15" s="24"/>
      <c r="Q15" s="24"/>
      <c r="R15" s="24"/>
      <c r="S15" s="24"/>
      <c r="T15" s="25">
        <f t="shared" si="2"/>
        <v>0</v>
      </c>
    </row>
    <row r="16" spans="1:20" ht="15.75" x14ac:dyDescent="0.25">
      <c r="A16" s="3">
        <f t="shared" si="3"/>
        <v>7</v>
      </c>
      <c r="B16" s="10" t="s">
        <v>24</v>
      </c>
      <c r="C16" s="15" t="s">
        <v>124</v>
      </c>
      <c r="D16" s="2"/>
      <c r="E16" s="17" t="s">
        <v>109</v>
      </c>
      <c r="F16" s="6"/>
      <c r="G16" s="26">
        <v>1</v>
      </c>
      <c r="H16" s="24"/>
      <c r="I16" s="24"/>
      <c r="J16" s="24"/>
      <c r="K16" s="24"/>
      <c r="L16" s="24"/>
      <c r="M16" s="24"/>
      <c r="N16" s="25">
        <f t="shared" si="1"/>
        <v>0</v>
      </c>
      <c r="O16" s="26"/>
      <c r="P16" s="24"/>
      <c r="Q16" s="24"/>
      <c r="R16" s="24"/>
      <c r="S16" s="24"/>
      <c r="T16" s="25">
        <f t="shared" si="2"/>
        <v>0</v>
      </c>
    </row>
    <row r="17" spans="1:20" ht="15" customHeight="1" x14ac:dyDescent="0.25">
      <c r="A17" s="3">
        <f t="shared" si="3"/>
        <v>8</v>
      </c>
      <c r="B17" s="10" t="s">
        <v>25</v>
      </c>
      <c r="C17" s="15" t="s">
        <v>124</v>
      </c>
      <c r="D17" s="2"/>
      <c r="E17" s="18" t="s">
        <v>110</v>
      </c>
      <c r="F17" s="6"/>
      <c r="G17" s="26"/>
      <c r="H17" s="24"/>
      <c r="I17" s="24"/>
      <c r="J17" s="24"/>
      <c r="K17" s="24"/>
      <c r="L17" s="24"/>
      <c r="M17" s="24"/>
      <c r="N17" s="25">
        <f t="shared" si="1"/>
        <v>0</v>
      </c>
      <c r="O17" s="26"/>
      <c r="P17" s="24"/>
      <c r="Q17" s="24"/>
      <c r="R17" s="24"/>
      <c r="S17" s="24"/>
      <c r="T17" s="25">
        <f t="shared" si="2"/>
        <v>0</v>
      </c>
    </row>
    <row r="18" spans="1:20" ht="15.75" x14ac:dyDescent="0.25">
      <c r="A18" s="3">
        <f t="shared" si="3"/>
        <v>9</v>
      </c>
      <c r="B18" s="12" t="s">
        <v>26</v>
      </c>
      <c r="C18" s="15" t="s">
        <v>124</v>
      </c>
      <c r="D18" s="2"/>
      <c r="E18" s="19" t="s">
        <v>107</v>
      </c>
      <c r="F18" s="6"/>
      <c r="G18" s="26">
        <v>2</v>
      </c>
      <c r="H18" s="24"/>
      <c r="I18" s="24"/>
      <c r="J18" s="24"/>
      <c r="K18" s="24"/>
      <c r="L18" s="24"/>
      <c r="M18" s="24"/>
      <c r="N18" s="25">
        <f t="shared" si="1"/>
        <v>0</v>
      </c>
      <c r="O18" s="26"/>
      <c r="P18" s="24"/>
      <c r="Q18" s="24"/>
      <c r="R18" s="24"/>
      <c r="S18" s="24"/>
      <c r="T18" s="25">
        <f t="shared" si="2"/>
        <v>0</v>
      </c>
    </row>
    <row r="19" spans="1:20" ht="15.75" x14ac:dyDescent="0.25">
      <c r="A19" s="3">
        <f t="shared" si="3"/>
        <v>10</v>
      </c>
      <c r="B19" s="11" t="s">
        <v>27</v>
      </c>
      <c r="C19" s="15" t="s">
        <v>124</v>
      </c>
      <c r="D19" s="2"/>
      <c r="E19" s="17" t="s">
        <v>111</v>
      </c>
      <c r="F19" s="6"/>
      <c r="G19" s="26">
        <v>2</v>
      </c>
      <c r="H19" s="24"/>
      <c r="I19" s="24"/>
      <c r="J19" s="24"/>
      <c r="K19" s="24"/>
      <c r="L19" s="24"/>
      <c r="M19" s="24"/>
      <c r="N19" s="25">
        <f t="shared" si="1"/>
        <v>0</v>
      </c>
      <c r="O19" s="26">
        <v>9</v>
      </c>
      <c r="P19" s="24"/>
      <c r="Q19" s="24"/>
      <c r="R19" s="24"/>
      <c r="S19" s="24"/>
      <c r="T19" s="25">
        <f t="shared" si="2"/>
        <v>0</v>
      </c>
    </row>
    <row r="20" spans="1:20" ht="15.75" x14ac:dyDescent="0.25">
      <c r="A20" s="3">
        <f t="shared" si="3"/>
        <v>11</v>
      </c>
      <c r="B20" s="10" t="s">
        <v>28</v>
      </c>
      <c r="C20" s="15" t="s">
        <v>124</v>
      </c>
      <c r="D20" s="2"/>
      <c r="E20" s="17" t="s">
        <v>106</v>
      </c>
      <c r="F20" s="6"/>
      <c r="G20" s="26">
        <v>1</v>
      </c>
      <c r="H20" s="24"/>
      <c r="I20" s="24"/>
      <c r="J20" s="24"/>
      <c r="K20" s="24"/>
      <c r="L20" s="24"/>
      <c r="M20" s="24"/>
      <c r="N20" s="25">
        <f t="shared" si="1"/>
        <v>0</v>
      </c>
      <c r="O20" s="26"/>
      <c r="P20" s="24"/>
      <c r="Q20" s="24"/>
      <c r="R20" s="24"/>
      <c r="S20" s="24"/>
      <c r="T20" s="25">
        <f t="shared" si="2"/>
        <v>0</v>
      </c>
    </row>
    <row r="21" spans="1:20" ht="15.75" x14ac:dyDescent="0.25">
      <c r="A21" s="3">
        <f t="shared" si="3"/>
        <v>12</v>
      </c>
      <c r="B21" s="10" t="s">
        <v>29</v>
      </c>
      <c r="C21" s="15" t="s">
        <v>124</v>
      </c>
      <c r="D21" s="2"/>
      <c r="E21" s="20" t="s">
        <v>112</v>
      </c>
      <c r="F21" s="6"/>
      <c r="G21" s="26">
        <v>1</v>
      </c>
      <c r="H21" s="24"/>
      <c r="I21" s="24"/>
      <c r="J21" s="24"/>
      <c r="K21" s="24"/>
      <c r="L21" s="24"/>
      <c r="M21" s="24"/>
      <c r="N21" s="25">
        <f t="shared" si="1"/>
        <v>0</v>
      </c>
      <c r="O21" s="26"/>
      <c r="P21" s="24"/>
      <c r="Q21" s="24"/>
      <c r="R21" s="24"/>
      <c r="S21" s="24"/>
      <c r="T21" s="25">
        <f t="shared" si="2"/>
        <v>0</v>
      </c>
    </row>
    <row r="22" spans="1:20" ht="15.75" x14ac:dyDescent="0.25">
      <c r="A22" s="3">
        <f t="shared" si="3"/>
        <v>13</v>
      </c>
      <c r="B22" s="12" t="s">
        <v>30</v>
      </c>
      <c r="C22" s="15" t="s">
        <v>124</v>
      </c>
      <c r="D22" s="2"/>
      <c r="E22" s="19" t="s">
        <v>111</v>
      </c>
      <c r="F22" s="6"/>
      <c r="G22" s="26"/>
      <c r="H22" s="24"/>
      <c r="I22" s="24"/>
      <c r="J22" s="24"/>
      <c r="K22" s="24"/>
      <c r="L22" s="24"/>
      <c r="M22" s="24"/>
      <c r="N22" s="25">
        <f t="shared" si="1"/>
        <v>0</v>
      </c>
      <c r="O22" s="26">
        <v>5</v>
      </c>
      <c r="P22" s="24"/>
      <c r="Q22" s="24"/>
      <c r="R22" s="24"/>
      <c r="S22" s="24"/>
      <c r="T22" s="25">
        <f t="shared" si="2"/>
        <v>0</v>
      </c>
    </row>
    <row r="23" spans="1:20" ht="15.75" x14ac:dyDescent="0.25">
      <c r="A23" s="3">
        <f t="shared" si="3"/>
        <v>14</v>
      </c>
      <c r="B23" s="10" t="s">
        <v>31</v>
      </c>
      <c r="C23" s="15" t="s">
        <v>124</v>
      </c>
      <c r="D23" s="2"/>
      <c r="E23" s="21" t="s">
        <v>107</v>
      </c>
      <c r="F23" s="6"/>
      <c r="G23" s="26"/>
      <c r="H23" s="24"/>
      <c r="I23" s="24"/>
      <c r="J23" s="24"/>
      <c r="K23" s="24"/>
      <c r="L23" s="24"/>
      <c r="M23" s="24"/>
      <c r="N23" s="25">
        <f t="shared" si="1"/>
        <v>0</v>
      </c>
      <c r="O23" s="26">
        <v>4</v>
      </c>
      <c r="P23" s="24"/>
      <c r="Q23" s="24"/>
      <c r="R23" s="24"/>
      <c r="S23" s="24"/>
      <c r="T23" s="25">
        <f t="shared" si="2"/>
        <v>0</v>
      </c>
    </row>
    <row r="24" spans="1:20" ht="15.75" x14ac:dyDescent="0.25">
      <c r="A24" s="3">
        <f t="shared" si="3"/>
        <v>15</v>
      </c>
      <c r="B24" s="13" t="s">
        <v>32</v>
      </c>
      <c r="C24" s="15" t="s">
        <v>124</v>
      </c>
      <c r="D24" s="2"/>
      <c r="E24" s="17" t="s">
        <v>106</v>
      </c>
      <c r="F24" s="6"/>
      <c r="G24" s="26">
        <v>3</v>
      </c>
      <c r="H24" s="24"/>
      <c r="I24" s="24"/>
      <c r="J24" s="24"/>
      <c r="K24" s="24"/>
      <c r="L24" s="24"/>
      <c r="M24" s="24"/>
      <c r="N24" s="25">
        <f t="shared" si="1"/>
        <v>0</v>
      </c>
      <c r="O24" s="26"/>
      <c r="P24" s="24"/>
      <c r="Q24" s="24"/>
      <c r="R24" s="24"/>
      <c r="S24" s="24"/>
      <c r="T24" s="25">
        <f t="shared" si="2"/>
        <v>0</v>
      </c>
    </row>
    <row r="25" spans="1:20" ht="15.75" x14ac:dyDescent="0.25">
      <c r="A25" s="3">
        <f t="shared" si="3"/>
        <v>16</v>
      </c>
      <c r="B25" s="10" t="s">
        <v>33</v>
      </c>
      <c r="C25" s="15" t="s">
        <v>124</v>
      </c>
      <c r="D25" s="2"/>
      <c r="E25" s="17" t="s">
        <v>106</v>
      </c>
      <c r="F25" s="6"/>
      <c r="G25" s="26">
        <v>1</v>
      </c>
      <c r="H25" s="24"/>
      <c r="I25" s="24"/>
      <c r="J25" s="24"/>
      <c r="K25" s="24"/>
      <c r="L25" s="24"/>
      <c r="M25" s="24"/>
      <c r="N25" s="25">
        <f t="shared" si="1"/>
        <v>0</v>
      </c>
      <c r="O25" s="26"/>
      <c r="P25" s="24"/>
      <c r="Q25" s="24"/>
      <c r="R25" s="24"/>
      <c r="S25" s="24"/>
      <c r="T25" s="25">
        <f t="shared" si="2"/>
        <v>0</v>
      </c>
    </row>
    <row r="26" spans="1:20" ht="15.75" x14ac:dyDescent="0.25">
      <c r="A26" s="3">
        <f t="shared" si="3"/>
        <v>17</v>
      </c>
      <c r="B26" s="10" t="s">
        <v>34</v>
      </c>
      <c r="C26" s="15" t="s">
        <v>124</v>
      </c>
      <c r="D26" s="2"/>
      <c r="E26" s="17" t="s">
        <v>113</v>
      </c>
      <c r="F26" s="6"/>
      <c r="G26" s="26"/>
      <c r="H26" s="24"/>
      <c r="I26" s="24"/>
      <c r="J26" s="24"/>
      <c r="K26" s="24"/>
      <c r="L26" s="24"/>
      <c r="M26" s="24"/>
      <c r="N26" s="25">
        <f t="shared" si="1"/>
        <v>0</v>
      </c>
      <c r="O26" s="26"/>
      <c r="P26" s="24"/>
      <c r="Q26" s="24"/>
      <c r="R26" s="24"/>
      <c r="S26" s="24"/>
      <c r="T26" s="25">
        <f t="shared" si="2"/>
        <v>0</v>
      </c>
    </row>
    <row r="27" spans="1:20" ht="15.75" x14ac:dyDescent="0.25">
      <c r="A27" s="3">
        <f t="shared" si="3"/>
        <v>18</v>
      </c>
      <c r="B27" s="10" t="s">
        <v>35</v>
      </c>
      <c r="C27" s="15" t="s">
        <v>124</v>
      </c>
      <c r="D27" s="2"/>
      <c r="E27" s="17" t="s">
        <v>105</v>
      </c>
      <c r="F27" s="6"/>
      <c r="G27" s="26"/>
      <c r="H27" s="24"/>
      <c r="I27" s="24"/>
      <c r="J27" s="24"/>
      <c r="K27" s="24"/>
      <c r="L27" s="24"/>
      <c r="M27" s="24"/>
      <c r="N27" s="25">
        <f t="shared" si="1"/>
        <v>0</v>
      </c>
      <c r="O27" s="26"/>
      <c r="P27" s="24"/>
      <c r="Q27" s="24"/>
      <c r="R27" s="24"/>
      <c r="S27" s="24"/>
      <c r="T27" s="25">
        <f t="shared" si="2"/>
        <v>0</v>
      </c>
    </row>
    <row r="28" spans="1:20" ht="15.75" x14ac:dyDescent="0.25">
      <c r="A28" s="3">
        <f t="shared" si="3"/>
        <v>19</v>
      </c>
      <c r="B28" s="12" t="s">
        <v>36</v>
      </c>
      <c r="C28" s="15" t="s">
        <v>124</v>
      </c>
      <c r="D28" s="2"/>
      <c r="E28" s="19" t="s">
        <v>114</v>
      </c>
      <c r="F28" s="6"/>
      <c r="G28" s="26">
        <v>2</v>
      </c>
      <c r="H28" s="24"/>
      <c r="I28" s="24"/>
      <c r="J28" s="24"/>
      <c r="K28" s="24"/>
      <c r="L28" s="24"/>
      <c r="M28" s="24"/>
      <c r="N28" s="25">
        <f t="shared" si="1"/>
        <v>0</v>
      </c>
      <c r="O28" s="26"/>
      <c r="P28" s="24"/>
      <c r="Q28" s="24"/>
      <c r="R28" s="24"/>
      <c r="S28" s="24"/>
      <c r="T28" s="25">
        <f t="shared" si="2"/>
        <v>0</v>
      </c>
    </row>
    <row r="29" spans="1:20" ht="15.75" x14ac:dyDescent="0.25">
      <c r="A29" s="3">
        <f t="shared" si="3"/>
        <v>20</v>
      </c>
      <c r="B29" s="11" t="s">
        <v>37</v>
      </c>
      <c r="C29" s="15" t="s">
        <v>124</v>
      </c>
      <c r="D29" s="2"/>
      <c r="E29" s="17" t="s">
        <v>108</v>
      </c>
      <c r="F29" s="6"/>
      <c r="G29" s="26">
        <v>1</v>
      </c>
      <c r="H29" s="24"/>
      <c r="I29" s="24"/>
      <c r="J29" s="24"/>
      <c r="K29" s="24"/>
      <c r="L29" s="24"/>
      <c r="M29" s="24"/>
      <c r="N29" s="25">
        <f t="shared" si="1"/>
        <v>0</v>
      </c>
      <c r="O29" s="26">
        <v>6</v>
      </c>
      <c r="P29" s="24"/>
      <c r="Q29" s="24"/>
      <c r="R29" s="24"/>
      <c r="S29" s="24"/>
      <c r="T29" s="25">
        <f t="shared" si="2"/>
        <v>0</v>
      </c>
    </row>
    <row r="30" spans="1:20" ht="15.75" x14ac:dyDescent="0.25">
      <c r="A30" s="3">
        <f t="shared" si="3"/>
        <v>21</v>
      </c>
      <c r="B30" s="11" t="s">
        <v>38</v>
      </c>
      <c r="C30" s="15" t="s">
        <v>124</v>
      </c>
      <c r="D30" s="2"/>
      <c r="E30" s="17" t="s">
        <v>106</v>
      </c>
      <c r="F30" s="6"/>
      <c r="G30" s="26"/>
      <c r="H30" s="24"/>
      <c r="I30" s="24"/>
      <c r="J30" s="24"/>
      <c r="K30" s="24"/>
      <c r="L30" s="24"/>
      <c r="M30" s="24"/>
      <c r="N30" s="25">
        <f t="shared" si="1"/>
        <v>0</v>
      </c>
      <c r="O30" s="26"/>
      <c r="P30" s="24"/>
      <c r="Q30" s="24"/>
      <c r="R30" s="24"/>
      <c r="S30" s="24"/>
      <c r="T30" s="25">
        <f t="shared" si="2"/>
        <v>0</v>
      </c>
    </row>
    <row r="31" spans="1:20" ht="15.75" x14ac:dyDescent="0.25">
      <c r="A31" s="3">
        <f t="shared" si="3"/>
        <v>22</v>
      </c>
      <c r="B31" s="10" t="s">
        <v>39</v>
      </c>
      <c r="C31" s="15" t="s">
        <v>124</v>
      </c>
      <c r="D31" s="2"/>
      <c r="E31" s="10" t="s">
        <v>105</v>
      </c>
      <c r="F31" s="6"/>
      <c r="G31" s="26"/>
      <c r="H31" s="24"/>
      <c r="I31" s="24"/>
      <c r="J31" s="24"/>
      <c r="K31" s="24"/>
      <c r="L31" s="24"/>
      <c r="M31" s="24"/>
      <c r="N31" s="25">
        <f t="shared" si="1"/>
        <v>0</v>
      </c>
      <c r="O31" s="26"/>
      <c r="P31" s="24"/>
      <c r="Q31" s="24"/>
      <c r="R31" s="24"/>
      <c r="S31" s="24"/>
      <c r="T31" s="25">
        <f t="shared" si="2"/>
        <v>0</v>
      </c>
    </row>
    <row r="32" spans="1:20" ht="15.75" x14ac:dyDescent="0.25">
      <c r="A32" s="3">
        <f t="shared" si="3"/>
        <v>23</v>
      </c>
      <c r="B32" s="12" t="s">
        <v>40</v>
      </c>
      <c r="C32" s="15" t="s">
        <v>124</v>
      </c>
      <c r="D32" s="2"/>
      <c r="E32" s="19" t="s">
        <v>115</v>
      </c>
      <c r="F32" s="6"/>
      <c r="G32" s="26">
        <v>1</v>
      </c>
      <c r="H32" s="24"/>
      <c r="I32" s="24"/>
      <c r="J32" s="24"/>
      <c r="K32" s="24"/>
      <c r="L32" s="24"/>
      <c r="M32" s="24"/>
      <c r="N32" s="25">
        <f t="shared" si="1"/>
        <v>0</v>
      </c>
      <c r="O32" s="26"/>
      <c r="P32" s="24"/>
      <c r="Q32" s="24"/>
      <c r="R32" s="24"/>
      <c r="S32" s="24"/>
      <c r="T32" s="25">
        <f t="shared" si="2"/>
        <v>0</v>
      </c>
    </row>
    <row r="33" spans="1:20" ht="15.75" x14ac:dyDescent="0.25">
      <c r="A33" s="3">
        <f t="shared" si="3"/>
        <v>24</v>
      </c>
      <c r="B33" s="11" t="s">
        <v>41</v>
      </c>
      <c r="C33" s="15" t="s">
        <v>124</v>
      </c>
      <c r="D33" s="2"/>
      <c r="E33" s="17" t="s">
        <v>106</v>
      </c>
      <c r="F33" s="6"/>
      <c r="G33" s="26"/>
      <c r="H33" s="24"/>
      <c r="I33" s="24"/>
      <c r="J33" s="24"/>
      <c r="K33" s="24"/>
      <c r="L33" s="24"/>
      <c r="M33" s="24"/>
      <c r="N33" s="25">
        <f t="shared" si="1"/>
        <v>0</v>
      </c>
      <c r="O33" s="26"/>
      <c r="P33" s="24"/>
      <c r="Q33" s="24"/>
      <c r="R33" s="24"/>
      <c r="S33" s="24"/>
      <c r="T33" s="25">
        <f t="shared" si="2"/>
        <v>0</v>
      </c>
    </row>
    <row r="34" spans="1:20" ht="15.75" x14ac:dyDescent="0.25">
      <c r="A34" s="3">
        <f t="shared" si="3"/>
        <v>25</v>
      </c>
      <c r="B34" s="13" t="s">
        <v>42</v>
      </c>
      <c r="C34" s="15" t="s">
        <v>124</v>
      </c>
      <c r="D34" s="2"/>
      <c r="E34" s="17" t="s">
        <v>106</v>
      </c>
      <c r="F34" s="6"/>
      <c r="G34" s="26"/>
      <c r="H34" s="24"/>
      <c r="I34" s="24"/>
      <c r="J34" s="24"/>
      <c r="K34" s="24"/>
      <c r="L34" s="24"/>
      <c r="M34" s="24"/>
      <c r="N34" s="25">
        <f t="shared" si="1"/>
        <v>0</v>
      </c>
      <c r="O34" s="26"/>
      <c r="P34" s="24"/>
      <c r="Q34" s="24"/>
      <c r="R34" s="24"/>
      <c r="S34" s="24"/>
      <c r="T34" s="25">
        <f t="shared" si="2"/>
        <v>0</v>
      </c>
    </row>
    <row r="35" spans="1:20" ht="15.75" x14ac:dyDescent="0.25">
      <c r="A35" s="3">
        <f t="shared" si="3"/>
        <v>26</v>
      </c>
      <c r="B35" s="13" t="s">
        <v>43</v>
      </c>
      <c r="C35" s="15" t="s">
        <v>124</v>
      </c>
      <c r="D35" s="2"/>
      <c r="E35" s="17" t="s">
        <v>106</v>
      </c>
      <c r="F35" s="6"/>
      <c r="G35" s="26"/>
      <c r="H35" s="24"/>
      <c r="I35" s="24"/>
      <c r="J35" s="24"/>
      <c r="K35" s="24"/>
      <c r="L35" s="24"/>
      <c r="M35" s="24"/>
      <c r="N35" s="25">
        <f t="shared" si="1"/>
        <v>0</v>
      </c>
      <c r="O35" s="26"/>
      <c r="P35" s="24"/>
      <c r="Q35" s="24"/>
      <c r="R35" s="24"/>
      <c r="S35" s="24"/>
      <c r="T35" s="25">
        <f t="shared" si="2"/>
        <v>0</v>
      </c>
    </row>
    <row r="36" spans="1:20" ht="15.75" x14ac:dyDescent="0.25">
      <c r="A36" s="3">
        <f t="shared" si="3"/>
        <v>27</v>
      </c>
      <c r="B36" s="11" t="s">
        <v>44</v>
      </c>
      <c r="C36" s="15" t="s">
        <v>124</v>
      </c>
      <c r="D36" s="2"/>
      <c r="E36" s="17" t="s">
        <v>105</v>
      </c>
      <c r="F36" s="6"/>
      <c r="G36" s="26">
        <v>2</v>
      </c>
      <c r="H36" s="24"/>
      <c r="I36" s="24"/>
      <c r="J36" s="24"/>
      <c r="K36" s="24"/>
      <c r="L36" s="24"/>
      <c r="M36" s="24"/>
      <c r="N36" s="25">
        <f t="shared" si="1"/>
        <v>0</v>
      </c>
      <c r="O36" s="26">
        <v>10</v>
      </c>
      <c r="P36" s="24"/>
      <c r="Q36" s="24"/>
      <c r="R36" s="24"/>
      <c r="S36" s="24"/>
      <c r="T36" s="25">
        <f t="shared" si="2"/>
        <v>0</v>
      </c>
    </row>
    <row r="37" spans="1:20" ht="15.75" x14ac:dyDescent="0.25">
      <c r="A37" s="3">
        <f t="shared" si="3"/>
        <v>28</v>
      </c>
      <c r="B37" s="11" t="s">
        <v>45</v>
      </c>
      <c r="C37" s="15" t="s">
        <v>124</v>
      </c>
      <c r="D37" s="2"/>
      <c r="E37" s="17" t="s">
        <v>111</v>
      </c>
      <c r="F37" s="6"/>
      <c r="G37" s="26"/>
      <c r="H37" s="24"/>
      <c r="I37" s="24"/>
      <c r="J37" s="24"/>
      <c r="K37" s="24"/>
      <c r="L37" s="24"/>
      <c r="M37" s="24"/>
      <c r="N37" s="25">
        <f t="shared" si="1"/>
        <v>0</v>
      </c>
      <c r="O37" s="26"/>
      <c r="P37" s="24"/>
      <c r="Q37" s="24"/>
      <c r="R37" s="24"/>
      <c r="S37" s="24"/>
      <c r="T37" s="25">
        <f t="shared" si="2"/>
        <v>0</v>
      </c>
    </row>
    <row r="38" spans="1:20" ht="15.75" x14ac:dyDescent="0.25">
      <c r="A38" s="3">
        <f t="shared" si="3"/>
        <v>29</v>
      </c>
      <c r="B38" s="10" t="s">
        <v>46</v>
      </c>
      <c r="C38" s="15" t="s">
        <v>124</v>
      </c>
      <c r="D38" s="2"/>
      <c r="E38" s="17" t="s">
        <v>106</v>
      </c>
      <c r="F38" s="6"/>
      <c r="G38" s="26"/>
      <c r="H38" s="24"/>
      <c r="I38" s="24"/>
      <c r="J38" s="24"/>
      <c r="K38" s="24"/>
      <c r="L38" s="24"/>
      <c r="M38" s="24"/>
      <c r="N38" s="25">
        <f t="shared" si="1"/>
        <v>0</v>
      </c>
      <c r="O38" s="26"/>
      <c r="P38" s="24"/>
      <c r="Q38" s="24"/>
      <c r="R38" s="24"/>
      <c r="S38" s="24"/>
      <c r="T38" s="25">
        <f t="shared" si="2"/>
        <v>0</v>
      </c>
    </row>
    <row r="39" spans="1:20" ht="15.75" x14ac:dyDescent="0.25">
      <c r="A39" s="3">
        <f t="shared" si="3"/>
        <v>30</v>
      </c>
      <c r="B39" s="10" t="s">
        <v>47</v>
      </c>
      <c r="C39" s="15" t="s">
        <v>124</v>
      </c>
      <c r="D39" s="2"/>
      <c r="E39" s="17" t="s">
        <v>116</v>
      </c>
      <c r="F39" s="6"/>
      <c r="G39" s="26">
        <v>1</v>
      </c>
      <c r="H39" s="24"/>
      <c r="I39" s="24"/>
      <c r="J39" s="24"/>
      <c r="K39" s="24"/>
      <c r="L39" s="24"/>
      <c r="M39" s="24"/>
      <c r="N39" s="25">
        <f t="shared" si="1"/>
        <v>0</v>
      </c>
      <c r="O39" s="26"/>
      <c r="P39" s="24"/>
      <c r="Q39" s="24"/>
      <c r="R39" s="24"/>
      <c r="S39" s="24"/>
      <c r="T39" s="25">
        <f t="shared" si="2"/>
        <v>0</v>
      </c>
    </row>
    <row r="40" spans="1:20" ht="15.75" x14ac:dyDescent="0.25">
      <c r="A40" s="3">
        <f t="shared" si="3"/>
        <v>31</v>
      </c>
      <c r="B40" s="13" t="s">
        <v>48</v>
      </c>
      <c r="C40" s="15" t="s">
        <v>124</v>
      </c>
      <c r="D40" s="2"/>
      <c r="E40" s="17" t="s">
        <v>106</v>
      </c>
      <c r="F40" s="6"/>
      <c r="G40" s="26"/>
      <c r="H40" s="24"/>
      <c r="I40" s="24"/>
      <c r="J40" s="24"/>
      <c r="K40" s="24"/>
      <c r="L40" s="24"/>
      <c r="M40" s="24"/>
      <c r="N40" s="25">
        <f t="shared" si="1"/>
        <v>0</v>
      </c>
      <c r="O40" s="26"/>
      <c r="P40" s="24"/>
      <c r="Q40" s="24"/>
      <c r="R40" s="24"/>
      <c r="S40" s="24"/>
      <c r="T40" s="25">
        <f t="shared" si="2"/>
        <v>0</v>
      </c>
    </row>
    <row r="41" spans="1:20" ht="15.75" x14ac:dyDescent="0.25">
      <c r="A41" s="3">
        <f t="shared" si="3"/>
        <v>32</v>
      </c>
      <c r="B41" s="10" t="s">
        <v>49</v>
      </c>
      <c r="C41" s="15" t="s">
        <v>124</v>
      </c>
      <c r="D41" s="2"/>
      <c r="E41" s="17" t="s">
        <v>106</v>
      </c>
      <c r="F41" s="6"/>
      <c r="G41" s="26"/>
      <c r="H41" s="24"/>
      <c r="I41" s="24"/>
      <c r="J41" s="24"/>
      <c r="K41" s="24"/>
      <c r="L41" s="24"/>
      <c r="M41" s="24"/>
      <c r="N41" s="25">
        <f t="shared" si="1"/>
        <v>0</v>
      </c>
      <c r="O41" s="26">
        <v>2</v>
      </c>
      <c r="P41" s="24"/>
      <c r="Q41" s="24"/>
      <c r="R41" s="24"/>
      <c r="S41" s="24"/>
      <c r="T41" s="25">
        <f t="shared" si="2"/>
        <v>0</v>
      </c>
    </row>
    <row r="42" spans="1:20" ht="15.75" x14ac:dyDescent="0.25">
      <c r="A42" s="3">
        <f t="shared" si="3"/>
        <v>33</v>
      </c>
      <c r="B42" s="13" t="s">
        <v>50</v>
      </c>
      <c r="C42" s="15" t="s">
        <v>124</v>
      </c>
      <c r="D42" s="2"/>
      <c r="E42" s="17" t="s">
        <v>106</v>
      </c>
      <c r="F42" s="6"/>
      <c r="G42" s="26">
        <v>1</v>
      </c>
      <c r="H42" s="24"/>
      <c r="I42" s="24"/>
      <c r="J42" s="24"/>
      <c r="K42" s="24"/>
      <c r="L42" s="24"/>
      <c r="M42" s="24"/>
      <c r="N42" s="25">
        <f t="shared" si="1"/>
        <v>0</v>
      </c>
      <c r="O42" s="26"/>
      <c r="P42" s="24"/>
      <c r="Q42" s="24"/>
      <c r="R42" s="24"/>
      <c r="S42" s="24"/>
      <c r="T42" s="25">
        <f t="shared" si="2"/>
        <v>0</v>
      </c>
    </row>
    <row r="43" spans="1:20" ht="15.75" x14ac:dyDescent="0.25">
      <c r="A43" s="3">
        <f t="shared" si="3"/>
        <v>34</v>
      </c>
      <c r="B43" s="11" t="s">
        <v>51</v>
      </c>
      <c r="C43" s="15" t="s">
        <v>124</v>
      </c>
      <c r="D43" s="2"/>
      <c r="E43" s="22" t="s">
        <v>112</v>
      </c>
      <c r="F43" s="6"/>
      <c r="G43" s="26"/>
      <c r="H43" s="24"/>
      <c r="I43" s="24"/>
      <c r="J43" s="24"/>
      <c r="K43" s="24"/>
      <c r="L43" s="24"/>
      <c r="M43" s="24"/>
      <c r="N43" s="25">
        <f t="shared" si="1"/>
        <v>0</v>
      </c>
      <c r="O43" s="26"/>
      <c r="P43" s="24"/>
      <c r="Q43" s="24"/>
      <c r="R43" s="24"/>
      <c r="S43" s="24"/>
      <c r="T43" s="25">
        <f t="shared" si="2"/>
        <v>0</v>
      </c>
    </row>
    <row r="44" spans="1:20" ht="15.75" x14ac:dyDescent="0.25">
      <c r="A44" s="3">
        <f t="shared" si="3"/>
        <v>35</v>
      </c>
      <c r="B44" s="13" t="s">
        <v>52</v>
      </c>
      <c r="C44" s="15" t="s">
        <v>124</v>
      </c>
      <c r="D44" s="2"/>
      <c r="E44" s="17" t="s">
        <v>106</v>
      </c>
      <c r="F44" s="6"/>
      <c r="G44" s="26">
        <v>2</v>
      </c>
      <c r="H44" s="24"/>
      <c r="I44" s="24"/>
      <c r="J44" s="24"/>
      <c r="K44" s="24"/>
      <c r="L44" s="24"/>
      <c r="M44" s="24"/>
      <c r="N44" s="25">
        <f t="shared" si="1"/>
        <v>0</v>
      </c>
      <c r="O44" s="26"/>
      <c r="P44" s="24"/>
      <c r="Q44" s="24"/>
      <c r="R44" s="24"/>
      <c r="S44" s="24"/>
      <c r="T44" s="25">
        <f t="shared" si="2"/>
        <v>0</v>
      </c>
    </row>
    <row r="45" spans="1:20" ht="15.75" x14ac:dyDescent="0.25">
      <c r="A45" s="3">
        <f t="shared" si="3"/>
        <v>36</v>
      </c>
      <c r="B45" s="10" t="s">
        <v>53</v>
      </c>
      <c r="C45" s="15" t="s">
        <v>124</v>
      </c>
      <c r="D45" s="2"/>
      <c r="E45" s="17" t="s">
        <v>105</v>
      </c>
      <c r="F45" s="6"/>
      <c r="G45" s="26">
        <v>2</v>
      </c>
      <c r="H45" s="24"/>
      <c r="I45" s="24"/>
      <c r="J45" s="24"/>
      <c r="K45" s="24"/>
      <c r="L45" s="24"/>
      <c r="M45" s="24"/>
      <c r="N45" s="25">
        <f t="shared" si="1"/>
        <v>0</v>
      </c>
      <c r="O45" s="26"/>
      <c r="P45" s="24"/>
      <c r="Q45" s="24"/>
      <c r="R45" s="24"/>
      <c r="S45" s="24"/>
      <c r="T45" s="25">
        <f t="shared" si="2"/>
        <v>0</v>
      </c>
    </row>
    <row r="46" spans="1:20" ht="15.75" x14ac:dyDescent="0.25">
      <c r="A46" s="3">
        <f t="shared" si="3"/>
        <v>37</v>
      </c>
      <c r="B46" s="10" t="s">
        <v>54</v>
      </c>
      <c r="C46" s="15" t="s">
        <v>124</v>
      </c>
      <c r="D46" s="2"/>
      <c r="E46" s="17" t="s">
        <v>106</v>
      </c>
      <c r="F46" s="6"/>
      <c r="G46" s="26"/>
      <c r="H46" s="24"/>
      <c r="I46" s="24"/>
      <c r="J46" s="24"/>
      <c r="K46" s="24"/>
      <c r="L46" s="24"/>
      <c r="M46" s="24"/>
      <c r="N46" s="25">
        <f t="shared" si="1"/>
        <v>0</v>
      </c>
      <c r="O46" s="26">
        <v>1</v>
      </c>
      <c r="P46" s="24"/>
      <c r="Q46" s="24"/>
      <c r="R46" s="24"/>
      <c r="S46" s="24"/>
      <c r="T46" s="25">
        <f t="shared" si="2"/>
        <v>0</v>
      </c>
    </row>
    <row r="47" spans="1:20" ht="15.75" x14ac:dyDescent="0.25">
      <c r="A47" s="3">
        <f t="shared" si="3"/>
        <v>38</v>
      </c>
      <c r="B47" s="10" t="s">
        <v>55</v>
      </c>
      <c r="C47" s="15" t="s">
        <v>124</v>
      </c>
      <c r="D47" s="2"/>
      <c r="E47" s="17" t="s">
        <v>106</v>
      </c>
      <c r="F47" s="6"/>
      <c r="G47" s="26">
        <v>2</v>
      </c>
      <c r="H47" s="24"/>
      <c r="I47" s="24"/>
      <c r="J47" s="24"/>
      <c r="K47" s="24"/>
      <c r="L47" s="24"/>
      <c r="M47" s="24"/>
      <c r="N47" s="25">
        <f t="shared" si="1"/>
        <v>0</v>
      </c>
      <c r="O47" s="26">
        <v>2</v>
      </c>
      <c r="P47" s="24"/>
      <c r="Q47" s="24"/>
      <c r="R47" s="24"/>
      <c r="S47" s="24"/>
      <c r="T47" s="25">
        <f t="shared" si="2"/>
        <v>0</v>
      </c>
    </row>
    <row r="48" spans="1:20" ht="15.75" x14ac:dyDescent="0.25">
      <c r="A48" s="3">
        <f t="shared" si="3"/>
        <v>39</v>
      </c>
      <c r="B48" s="10" t="s">
        <v>56</v>
      </c>
      <c r="C48" s="15" t="s">
        <v>124</v>
      </c>
      <c r="D48" s="2"/>
      <c r="E48" s="17" t="s">
        <v>106</v>
      </c>
      <c r="F48" s="6"/>
      <c r="G48" s="26">
        <v>2</v>
      </c>
      <c r="H48" s="24"/>
      <c r="I48" s="24"/>
      <c r="J48" s="24"/>
      <c r="K48" s="24"/>
      <c r="L48" s="24"/>
      <c r="M48" s="24"/>
      <c r="N48" s="25">
        <f t="shared" si="1"/>
        <v>0</v>
      </c>
      <c r="O48" s="26"/>
      <c r="P48" s="24"/>
      <c r="Q48" s="24"/>
      <c r="R48" s="24"/>
      <c r="S48" s="24"/>
      <c r="T48" s="25">
        <f t="shared" si="2"/>
        <v>0</v>
      </c>
    </row>
    <row r="49" spans="1:20" ht="15.75" x14ac:dyDescent="0.25">
      <c r="A49" s="3">
        <f t="shared" si="3"/>
        <v>40</v>
      </c>
      <c r="B49" s="13" t="s">
        <v>57</v>
      </c>
      <c r="C49" s="15" t="s">
        <v>124</v>
      </c>
      <c r="D49" s="2"/>
      <c r="E49" s="17" t="s">
        <v>106</v>
      </c>
      <c r="F49" s="6"/>
      <c r="G49" s="26">
        <v>1</v>
      </c>
      <c r="H49" s="24"/>
      <c r="I49" s="24"/>
      <c r="J49" s="24"/>
      <c r="K49" s="24"/>
      <c r="L49" s="24"/>
      <c r="M49" s="24"/>
      <c r="N49" s="25">
        <f t="shared" si="1"/>
        <v>0</v>
      </c>
      <c r="O49" s="26"/>
      <c r="P49" s="24"/>
      <c r="Q49" s="24"/>
      <c r="R49" s="24"/>
      <c r="S49" s="24"/>
      <c r="T49" s="25">
        <f t="shared" si="2"/>
        <v>0</v>
      </c>
    </row>
    <row r="50" spans="1:20" ht="15.75" x14ac:dyDescent="0.25">
      <c r="A50" s="3">
        <f t="shared" si="3"/>
        <v>41</v>
      </c>
      <c r="B50" s="13" t="s">
        <v>58</v>
      </c>
      <c r="C50" s="15" t="s">
        <v>124</v>
      </c>
      <c r="D50" s="2"/>
      <c r="E50" s="17" t="s">
        <v>106</v>
      </c>
      <c r="F50" s="6"/>
      <c r="G50" s="26"/>
      <c r="H50" s="24"/>
      <c r="I50" s="24"/>
      <c r="J50" s="24"/>
      <c r="K50" s="24"/>
      <c r="L50" s="24"/>
      <c r="M50" s="24"/>
      <c r="N50" s="25">
        <f t="shared" si="1"/>
        <v>0</v>
      </c>
      <c r="O50" s="26"/>
      <c r="P50" s="24"/>
      <c r="Q50" s="24"/>
      <c r="R50" s="24"/>
      <c r="S50" s="24"/>
      <c r="T50" s="25">
        <f t="shared" si="2"/>
        <v>0</v>
      </c>
    </row>
    <row r="51" spans="1:20" ht="15.75" x14ac:dyDescent="0.25">
      <c r="A51" s="3">
        <f t="shared" si="3"/>
        <v>42</v>
      </c>
      <c r="B51" s="13" t="s">
        <v>59</v>
      </c>
      <c r="C51" s="15" t="s">
        <v>124</v>
      </c>
      <c r="D51" s="2"/>
      <c r="E51" s="17" t="s">
        <v>112</v>
      </c>
      <c r="F51" s="6"/>
      <c r="G51" s="26">
        <v>1</v>
      </c>
      <c r="H51" s="24"/>
      <c r="I51" s="24"/>
      <c r="J51" s="24"/>
      <c r="K51" s="24"/>
      <c r="L51" s="24"/>
      <c r="M51" s="24"/>
      <c r="N51" s="25">
        <f t="shared" si="1"/>
        <v>0</v>
      </c>
      <c r="O51" s="26">
        <v>7</v>
      </c>
      <c r="P51" s="24"/>
      <c r="Q51" s="24"/>
      <c r="R51" s="24"/>
      <c r="S51" s="24"/>
      <c r="T51" s="25">
        <f t="shared" si="2"/>
        <v>0</v>
      </c>
    </row>
    <row r="52" spans="1:20" ht="15.75" x14ac:dyDescent="0.25">
      <c r="A52" s="3">
        <f t="shared" si="3"/>
        <v>43</v>
      </c>
      <c r="B52" s="13" t="s">
        <v>60</v>
      </c>
      <c r="C52" s="15" t="s">
        <v>125</v>
      </c>
      <c r="D52" s="38" t="s">
        <v>126</v>
      </c>
      <c r="E52" s="17" t="s">
        <v>106</v>
      </c>
      <c r="F52" s="6"/>
      <c r="G52" s="26"/>
      <c r="H52" s="24"/>
      <c r="I52" s="24"/>
      <c r="J52" s="24"/>
      <c r="K52" s="24"/>
      <c r="L52" s="24"/>
      <c r="M52" s="24"/>
      <c r="N52" s="25">
        <f t="shared" si="1"/>
        <v>0</v>
      </c>
      <c r="O52" s="26"/>
      <c r="P52" s="24"/>
      <c r="Q52" s="24"/>
      <c r="R52" s="24"/>
      <c r="S52" s="24"/>
      <c r="T52" s="25">
        <f t="shared" si="2"/>
        <v>0</v>
      </c>
    </row>
    <row r="53" spans="1:20" ht="15.75" x14ac:dyDescent="0.25">
      <c r="A53" s="3">
        <f t="shared" si="3"/>
        <v>44</v>
      </c>
      <c r="B53" s="11" t="s">
        <v>61</v>
      </c>
      <c r="C53" s="15" t="s">
        <v>124</v>
      </c>
      <c r="D53" s="2"/>
      <c r="E53" s="17" t="s">
        <v>107</v>
      </c>
      <c r="F53" s="6"/>
      <c r="G53" s="26">
        <v>3</v>
      </c>
      <c r="H53" s="24"/>
      <c r="I53" s="24"/>
      <c r="J53" s="24"/>
      <c r="K53" s="24"/>
      <c r="L53" s="24"/>
      <c r="M53" s="24"/>
      <c r="N53" s="25">
        <f t="shared" si="1"/>
        <v>0</v>
      </c>
      <c r="O53" s="26"/>
      <c r="P53" s="24"/>
      <c r="Q53" s="24"/>
      <c r="R53" s="24"/>
      <c r="S53" s="24"/>
      <c r="T53" s="25">
        <f t="shared" si="2"/>
        <v>0</v>
      </c>
    </row>
    <row r="54" spans="1:20" ht="15.75" x14ac:dyDescent="0.25">
      <c r="A54" s="3">
        <f t="shared" si="3"/>
        <v>45</v>
      </c>
      <c r="B54" s="11" t="s">
        <v>62</v>
      </c>
      <c r="C54" s="15" t="s">
        <v>124</v>
      </c>
      <c r="D54" s="2"/>
      <c r="E54" s="17" t="s">
        <v>106</v>
      </c>
      <c r="F54" s="6"/>
      <c r="G54" s="26"/>
      <c r="H54" s="24"/>
      <c r="I54" s="24"/>
      <c r="J54" s="24"/>
      <c r="K54" s="24"/>
      <c r="L54" s="24"/>
      <c r="M54" s="24"/>
      <c r="N54" s="25">
        <f t="shared" si="1"/>
        <v>0</v>
      </c>
      <c r="O54" s="26"/>
      <c r="P54" s="24"/>
      <c r="Q54" s="24"/>
      <c r="R54" s="24"/>
      <c r="S54" s="24"/>
      <c r="T54" s="25">
        <f t="shared" si="2"/>
        <v>0</v>
      </c>
    </row>
    <row r="55" spans="1:20" ht="15.75" x14ac:dyDescent="0.25">
      <c r="A55" s="3">
        <f t="shared" si="3"/>
        <v>46</v>
      </c>
      <c r="B55" s="11" t="s">
        <v>63</v>
      </c>
      <c r="C55" s="15" t="s">
        <v>124</v>
      </c>
      <c r="D55" s="2"/>
      <c r="E55" s="22" t="s">
        <v>112</v>
      </c>
      <c r="F55" s="6"/>
      <c r="G55" s="26"/>
      <c r="H55" s="24"/>
      <c r="I55" s="24"/>
      <c r="J55" s="24"/>
      <c r="K55" s="24"/>
      <c r="L55" s="24"/>
      <c r="M55" s="24"/>
      <c r="N55" s="25">
        <f t="shared" si="1"/>
        <v>0</v>
      </c>
      <c r="O55" s="26"/>
      <c r="P55" s="24"/>
      <c r="Q55" s="24"/>
      <c r="R55" s="24"/>
      <c r="S55" s="24"/>
      <c r="T55" s="25">
        <f t="shared" si="2"/>
        <v>0</v>
      </c>
    </row>
    <row r="56" spans="1:20" ht="15.75" x14ac:dyDescent="0.25">
      <c r="A56" s="3">
        <f t="shared" si="3"/>
        <v>47</v>
      </c>
      <c r="B56" s="11" t="s">
        <v>64</v>
      </c>
      <c r="C56" s="15" t="s">
        <v>124</v>
      </c>
      <c r="D56" s="2"/>
      <c r="E56" s="22" t="s">
        <v>107</v>
      </c>
      <c r="F56" s="6"/>
      <c r="G56" s="26">
        <v>2</v>
      </c>
      <c r="H56" s="24"/>
      <c r="I56" s="24"/>
      <c r="J56" s="24"/>
      <c r="K56" s="24"/>
      <c r="L56" s="24"/>
      <c r="M56" s="24"/>
      <c r="N56" s="25">
        <f t="shared" si="1"/>
        <v>0</v>
      </c>
      <c r="O56" s="26">
        <v>1</v>
      </c>
      <c r="P56" s="24"/>
      <c r="Q56" s="24"/>
      <c r="R56" s="24"/>
      <c r="S56" s="24"/>
      <c r="T56" s="25">
        <f t="shared" si="2"/>
        <v>0</v>
      </c>
    </row>
    <row r="57" spans="1:20" ht="15.75" x14ac:dyDescent="0.25">
      <c r="A57" s="3">
        <f t="shared" si="3"/>
        <v>48</v>
      </c>
      <c r="B57" s="13" t="s">
        <v>65</v>
      </c>
      <c r="C57" s="15" t="s">
        <v>124</v>
      </c>
      <c r="D57" s="2"/>
      <c r="E57" s="17" t="s">
        <v>106</v>
      </c>
      <c r="F57" s="6"/>
      <c r="G57" s="26"/>
      <c r="H57" s="24"/>
      <c r="I57" s="24"/>
      <c r="J57" s="24"/>
      <c r="K57" s="24"/>
      <c r="L57" s="24"/>
      <c r="M57" s="24"/>
      <c r="N57" s="25">
        <f t="shared" si="1"/>
        <v>0</v>
      </c>
      <c r="O57" s="26"/>
      <c r="P57" s="24"/>
      <c r="Q57" s="24"/>
      <c r="R57" s="24"/>
      <c r="S57" s="24"/>
      <c r="T57" s="25">
        <f t="shared" si="2"/>
        <v>0</v>
      </c>
    </row>
    <row r="58" spans="1:20" ht="15.75" x14ac:dyDescent="0.25">
      <c r="A58" s="3">
        <f t="shared" si="3"/>
        <v>49</v>
      </c>
      <c r="B58" s="13" t="s">
        <v>66</v>
      </c>
      <c r="C58" s="15" t="s">
        <v>124</v>
      </c>
      <c r="D58" s="2"/>
      <c r="E58" s="17" t="s">
        <v>112</v>
      </c>
      <c r="F58" s="6"/>
      <c r="G58" s="26"/>
      <c r="H58" s="24"/>
      <c r="I58" s="24"/>
      <c r="J58" s="24"/>
      <c r="K58" s="24"/>
      <c r="L58" s="24"/>
      <c r="M58" s="24"/>
      <c r="N58" s="25">
        <f t="shared" si="1"/>
        <v>0</v>
      </c>
      <c r="O58" s="26">
        <v>6</v>
      </c>
      <c r="P58" s="24"/>
      <c r="Q58" s="24"/>
      <c r="R58" s="24"/>
      <c r="S58" s="24"/>
      <c r="T58" s="25">
        <f t="shared" si="2"/>
        <v>0</v>
      </c>
    </row>
    <row r="59" spans="1:20" ht="15.75" x14ac:dyDescent="0.25">
      <c r="A59" s="3">
        <f t="shared" si="3"/>
        <v>50</v>
      </c>
      <c r="B59" s="10" t="s">
        <v>67</v>
      </c>
      <c r="C59" s="15" t="s">
        <v>124</v>
      </c>
      <c r="D59" s="2"/>
      <c r="E59" s="17" t="s">
        <v>106</v>
      </c>
      <c r="F59" s="6"/>
      <c r="G59" s="26"/>
      <c r="H59" s="24"/>
      <c r="I59" s="24"/>
      <c r="J59" s="24"/>
      <c r="K59" s="24"/>
      <c r="L59" s="24"/>
      <c r="M59" s="24"/>
      <c r="N59" s="25">
        <f t="shared" si="1"/>
        <v>0</v>
      </c>
      <c r="O59" s="26"/>
      <c r="P59" s="24"/>
      <c r="Q59" s="24"/>
      <c r="R59" s="24"/>
      <c r="S59" s="24"/>
      <c r="T59" s="25">
        <f t="shared" si="2"/>
        <v>0</v>
      </c>
    </row>
    <row r="60" spans="1:20" ht="15.75" x14ac:dyDescent="0.25">
      <c r="A60" s="3">
        <f t="shared" si="3"/>
        <v>51</v>
      </c>
      <c r="B60" s="10" t="s">
        <v>68</v>
      </c>
      <c r="C60" s="15" t="s">
        <v>124</v>
      </c>
      <c r="D60" s="2"/>
      <c r="E60" s="17" t="s">
        <v>111</v>
      </c>
      <c r="F60" s="6"/>
      <c r="G60" s="26">
        <v>1</v>
      </c>
      <c r="H60" s="24"/>
      <c r="I60" s="24"/>
      <c r="J60" s="24"/>
      <c r="K60" s="24"/>
      <c r="L60" s="24"/>
      <c r="M60" s="24"/>
      <c r="N60" s="25">
        <f t="shared" si="1"/>
        <v>0</v>
      </c>
      <c r="O60" s="26">
        <v>3</v>
      </c>
      <c r="P60" s="24"/>
      <c r="Q60" s="24"/>
      <c r="R60" s="24"/>
      <c r="S60" s="24"/>
      <c r="T60" s="25">
        <f t="shared" si="2"/>
        <v>0</v>
      </c>
    </row>
    <row r="61" spans="1:20" ht="15.75" x14ac:dyDescent="0.25">
      <c r="A61" s="3">
        <f t="shared" si="3"/>
        <v>52</v>
      </c>
      <c r="B61" s="13" t="s">
        <v>69</v>
      </c>
      <c r="C61" s="15" t="s">
        <v>124</v>
      </c>
      <c r="D61" s="2"/>
      <c r="E61" s="17" t="s">
        <v>106</v>
      </c>
      <c r="F61" s="6"/>
      <c r="G61" s="26"/>
      <c r="H61" s="24"/>
      <c r="I61" s="24"/>
      <c r="J61" s="24"/>
      <c r="K61" s="24"/>
      <c r="L61" s="24"/>
      <c r="M61" s="24"/>
      <c r="N61" s="25">
        <f t="shared" si="1"/>
        <v>0</v>
      </c>
      <c r="O61" s="26"/>
      <c r="P61" s="24"/>
      <c r="Q61" s="24"/>
      <c r="R61" s="24"/>
      <c r="S61" s="24"/>
      <c r="T61" s="25">
        <f t="shared" si="2"/>
        <v>0</v>
      </c>
    </row>
    <row r="62" spans="1:20" ht="15.75" x14ac:dyDescent="0.25">
      <c r="A62" s="3">
        <f t="shared" si="3"/>
        <v>53</v>
      </c>
      <c r="B62" s="11" t="s">
        <v>70</v>
      </c>
      <c r="C62" s="15" t="s">
        <v>124</v>
      </c>
      <c r="D62" s="2"/>
      <c r="E62" s="17" t="s">
        <v>107</v>
      </c>
      <c r="F62" s="6"/>
      <c r="G62" s="26">
        <v>3</v>
      </c>
      <c r="H62" s="24"/>
      <c r="I62" s="24"/>
      <c r="J62" s="24"/>
      <c r="K62" s="24"/>
      <c r="L62" s="24"/>
      <c r="M62" s="24"/>
      <c r="N62" s="25">
        <f t="shared" si="1"/>
        <v>0</v>
      </c>
      <c r="O62" s="26"/>
      <c r="P62" s="24"/>
      <c r="Q62" s="24"/>
      <c r="R62" s="24"/>
      <c r="S62" s="24"/>
      <c r="T62" s="25">
        <f t="shared" si="2"/>
        <v>0</v>
      </c>
    </row>
    <row r="63" spans="1:20" ht="15.75" x14ac:dyDescent="0.25">
      <c r="A63" s="3">
        <f t="shared" si="3"/>
        <v>54</v>
      </c>
      <c r="B63" s="11" t="s">
        <v>71</v>
      </c>
      <c r="C63" s="15" t="s">
        <v>124</v>
      </c>
      <c r="D63" s="2"/>
      <c r="E63" s="17" t="s">
        <v>117</v>
      </c>
      <c r="F63" s="6"/>
      <c r="G63" s="26">
        <v>1</v>
      </c>
      <c r="H63" s="24"/>
      <c r="I63" s="24"/>
      <c r="J63" s="24"/>
      <c r="K63" s="24"/>
      <c r="L63" s="24"/>
      <c r="M63" s="24"/>
      <c r="N63" s="25">
        <f t="shared" si="1"/>
        <v>0</v>
      </c>
      <c r="O63" s="26"/>
      <c r="P63" s="24"/>
      <c r="Q63" s="24"/>
      <c r="R63" s="24"/>
      <c r="S63" s="24"/>
      <c r="T63" s="25">
        <f t="shared" si="2"/>
        <v>0</v>
      </c>
    </row>
    <row r="64" spans="1:20" ht="15.75" x14ac:dyDescent="0.25">
      <c r="A64" s="3">
        <f t="shared" si="3"/>
        <v>55</v>
      </c>
      <c r="B64" s="11" t="s">
        <v>72</v>
      </c>
      <c r="C64" s="15" t="s">
        <v>125</v>
      </c>
      <c r="D64" s="38" t="s">
        <v>126</v>
      </c>
      <c r="E64" s="17" t="s">
        <v>106</v>
      </c>
      <c r="F64" s="6"/>
      <c r="G64" s="26"/>
      <c r="H64" s="24"/>
      <c r="I64" s="24"/>
      <c r="J64" s="24"/>
      <c r="K64" s="24"/>
      <c r="L64" s="24"/>
      <c r="M64" s="24"/>
      <c r="N64" s="25">
        <f t="shared" si="1"/>
        <v>0</v>
      </c>
      <c r="O64" s="26"/>
      <c r="P64" s="24"/>
      <c r="Q64" s="24"/>
      <c r="R64" s="24"/>
      <c r="S64" s="24"/>
      <c r="T64" s="25">
        <f t="shared" si="2"/>
        <v>0</v>
      </c>
    </row>
    <row r="65" spans="1:20" ht="15.75" x14ac:dyDescent="0.25">
      <c r="A65" s="3">
        <f t="shared" si="3"/>
        <v>56</v>
      </c>
      <c r="B65" s="10" t="s">
        <v>73</v>
      </c>
      <c r="C65" s="15" t="s">
        <v>124</v>
      </c>
      <c r="D65" s="2"/>
      <c r="E65" s="17" t="s">
        <v>106</v>
      </c>
      <c r="F65" s="6"/>
      <c r="G65" s="26"/>
      <c r="H65" s="24"/>
      <c r="I65" s="24"/>
      <c r="J65" s="24"/>
      <c r="K65" s="24"/>
      <c r="L65" s="24"/>
      <c r="M65" s="24"/>
      <c r="N65" s="25">
        <f t="shared" si="1"/>
        <v>0</v>
      </c>
      <c r="O65" s="26"/>
      <c r="P65" s="24"/>
      <c r="Q65" s="24"/>
      <c r="R65" s="24"/>
      <c r="S65" s="24"/>
      <c r="T65" s="25">
        <f t="shared" si="2"/>
        <v>0</v>
      </c>
    </row>
    <row r="66" spans="1:20" ht="15.75" x14ac:dyDescent="0.25">
      <c r="A66" s="3">
        <f t="shared" si="3"/>
        <v>57</v>
      </c>
      <c r="B66" s="11" t="s">
        <v>74</v>
      </c>
      <c r="C66" s="15" t="s">
        <v>124</v>
      </c>
      <c r="D66" s="2"/>
      <c r="E66" s="17" t="s">
        <v>111</v>
      </c>
      <c r="F66" s="6"/>
      <c r="G66" s="26">
        <v>2</v>
      </c>
      <c r="H66" s="24"/>
      <c r="I66" s="24"/>
      <c r="J66" s="24"/>
      <c r="K66" s="24"/>
      <c r="L66" s="24"/>
      <c r="M66" s="24"/>
      <c r="N66" s="25">
        <f t="shared" si="1"/>
        <v>0</v>
      </c>
      <c r="O66" s="26">
        <v>9</v>
      </c>
      <c r="P66" s="24"/>
      <c r="Q66" s="24"/>
      <c r="R66" s="24"/>
      <c r="S66" s="24"/>
      <c r="T66" s="25">
        <f t="shared" si="2"/>
        <v>0</v>
      </c>
    </row>
    <row r="67" spans="1:20" ht="15.75" x14ac:dyDescent="0.25">
      <c r="A67" s="3">
        <f t="shared" si="3"/>
        <v>58</v>
      </c>
      <c r="B67" s="11" t="s">
        <v>75</v>
      </c>
      <c r="C67" s="15" t="s">
        <v>124</v>
      </c>
      <c r="D67" s="2"/>
      <c r="E67" s="17" t="s">
        <v>118</v>
      </c>
      <c r="F67" s="6"/>
      <c r="G67" s="26">
        <v>1</v>
      </c>
      <c r="H67" s="24"/>
      <c r="I67" s="24"/>
      <c r="J67" s="24"/>
      <c r="K67" s="24"/>
      <c r="L67" s="24"/>
      <c r="M67" s="24"/>
      <c r="N67" s="25">
        <f t="shared" si="1"/>
        <v>0</v>
      </c>
      <c r="O67" s="26">
        <v>1</v>
      </c>
      <c r="P67" s="24"/>
      <c r="Q67" s="24"/>
      <c r="R67" s="24"/>
      <c r="S67" s="24"/>
      <c r="T67" s="25">
        <f t="shared" si="2"/>
        <v>0</v>
      </c>
    </row>
    <row r="68" spans="1:20" ht="15.75" x14ac:dyDescent="0.25">
      <c r="A68" s="3">
        <f t="shared" si="3"/>
        <v>59</v>
      </c>
      <c r="B68" s="10" t="s">
        <v>76</v>
      </c>
      <c r="C68" s="15" t="s">
        <v>124</v>
      </c>
      <c r="D68" s="2"/>
      <c r="E68" s="10" t="s">
        <v>105</v>
      </c>
      <c r="F68" s="6"/>
      <c r="G68" s="26"/>
      <c r="H68" s="24"/>
      <c r="I68" s="24"/>
      <c r="J68" s="24"/>
      <c r="K68" s="24"/>
      <c r="L68" s="24"/>
      <c r="M68" s="24"/>
      <c r="N68" s="25">
        <f t="shared" si="1"/>
        <v>0</v>
      </c>
      <c r="O68" s="26">
        <v>2</v>
      </c>
      <c r="P68" s="24"/>
      <c r="Q68" s="24"/>
      <c r="R68" s="24"/>
      <c r="S68" s="24"/>
      <c r="T68" s="25">
        <f t="shared" si="2"/>
        <v>0</v>
      </c>
    </row>
    <row r="69" spans="1:20" ht="15.75" x14ac:dyDescent="0.25">
      <c r="A69" s="3">
        <f t="shared" si="3"/>
        <v>60</v>
      </c>
      <c r="B69" s="11" t="s">
        <v>77</v>
      </c>
      <c r="C69" s="15" t="s">
        <v>124</v>
      </c>
      <c r="D69" s="2"/>
      <c r="E69" s="10" t="s">
        <v>111</v>
      </c>
      <c r="F69" s="6"/>
      <c r="G69" s="26"/>
      <c r="H69" s="24"/>
      <c r="I69" s="24"/>
      <c r="J69" s="24"/>
      <c r="K69" s="24"/>
      <c r="L69" s="24"/>
      <c r="M69" s="24"/>
      <c r="N69" s="25">
        <f t="shared" si="1"/>
        <v>0</v>
      </c>
      <c r="O69" s="26">
        <v>2</v>
      </c>
      <c r="P69" s="24"/>
      <c r="Q69" s="24"/>
      <c r="R69" s="24"/>
      <c r="S69" s="24"/>
      <c r="T69" s="25">
        <f t="shared" si="2"/>
        <v>0</v>
      </c>
    </row>
    <row r="70" spans="1:20" ht="15.75" x14ac:dyDescent="0.25">
      <c r="A70" s="3">
        <f t="shared" si="3"/>
        <v>61</v>
      </c>
      <c r="B70" s="10" t="s">
        <v>78</v>
      </c>
      <c r="C70" s="15" t="s">
        <v>124</v>
      </c>
      <c r="D70" s="2"/>
      <c r="E70" s="23" t="s">
        <v>119</v>
      </c>
      <c r="F70" s="6"/>
      <c r="G70" s="26"/>
      <c r="H70" s="24"/>
      <c r="I70" s="24"/>
      <c r="J70" s="24"/>
      <c r="K70" s="24"/>
      <c r="L70" s="24"/>
      <c r="M70" s="24"/>
      <c r="N70" s="25">
        <f t="shared" si="1"/>
        <v>0</v>
      </c>
      <c r="O70" s="26"/>
      <c r="P70" s="24"/>
      <c r="Q70" s="24"/>
      <c r="R70" s="24"/>
      <c r="S70" s="24"/>
      <c r="T70" s="25">
        <f t="shared" si="2"/>
        <v>0</v>
      </c>
    </row>
    <row r="71" spans="1:20" ht="15.75" x14ac:dyDescent="0.25">
      <c r="A71" s="3">
        <f t="shared" si="3"/>
        <v>62</v>
      </c>
      <c r="B71" s="11" t="s">
        <v>79</v>
      </c>
      <c r="C71" s="15" t="s">
        <v>124</v>
      </c>
      <c r="D71" s="2"/>
      <c r="E71" s="17" t="s">
        <v>106</v>
      </c>
      <c r="F71" s="6"/>
      <c r="G71" s="26">
        <v>1</v>
      </c>
      <c r="H71" s="24">
        <v>1</v>
      </c>
      <c r="I71" s="24">
        <v>1</v>
      </c>
      <c r="J71" s="24"/>
      <c r="K71" s="24"/>
      <c r="L71" s="24"/>
      <c r="M71" s="24"/>
      <c r="N71" s="25">
        <f t="shared" si="1"/>
        <v>0</v>
      </c>
      <c r="O71" s="26">
        <v>1</v>
      </c>
      <c r="P71" s="24"/>
      <c r="Q71" s="24"/>
      <c r="R71" s="24"/>
      <c r="S71" s="24"/>
      <c r="T71" s="25">
        <f t="shared" si="2"/>
        <v>0</v>
      </c>
    </row>
    <row r="72" spans="1:20" ht="15.75" x14ac:dyDescent="0.25">
      <c r="A72" s="3">
        <f t="shared" si="3"/>
        <v>63</v>
      </c>
      <c r="B72" s="11" t="s">
        <v>80</v>
      </c>
      <c r="C72" s="15" t="s">
        <v>124</v>
      </c>
      <c r="D72" s="2"/>
      <c r="E72" s="17" t="s">
        <v>106</v>
      </c>
      <c r="F72" s="6"/>
      <c r="G72" s="26"/>
      <c r="H72" s="24"/>
      <c r="I72" s="24"/>
      <c r="J72" s="24"/>
      <c r="K72" s="24"/>
      <c r="L72" s="24"/>
      <c r="M72" s="24"/>
      <c r="N72" s="25">
        <f t="shared" si="1"/>
        <v>0</v>
      </c>
      <c r="O72" s="26"/>
      <c r="P72" s="24"/>
      <c r="Q72" s="24"/>
      <c r="R72" s="24"/>
      <c r="S72" s="24"/>
      <c r="T72" s="25">
        <f t="shared" si="2"/>
        <v>0</v>
      </c>
    </row>
    <row r="73" spans="1:20" ht="15.75" customHeight="1" x14ac:dyDescent="0.25">
      <c r="A73" s="3">
        <f t="shared" si="3"/>
        <v>64</v>
      </c>
      <c r="B73" s="14" t="s">
        <v>81</v>
      </c>
      <c r="C73" s="15" t="s">
        <v>124</v>
      </c>
      <c r="D73" s="2"/>
      <c r="E73" s="10" t="s">
        <v>106</v>
      </c>
      <c r="F73" s="6"/>
      <c r="G73" s="26"/>
      <c r="H73" s="24"/>
      <c r="I73" s="24"/>
      <c r="J73" s="24"/>
      <c r="K73" s="24"/>
      <c r="L73" s="24"/>
      <c r="M73" s="24"/>
      <c r="N73" s="25">
        <f t="shared" si="1"/>
        <v>0</v>
      </c>
      <c r="O73" s="26">
        <v>4</v>
      </c>
      <c r="P73" s="24"/>
      <c r="Q73" s="24"/>
      <c r="R73" s="24"/>
      <c r="S73" s="24"/>
      <c r="T73" s="25">
        <f t="shared" si="2"/>
        <v>0</v>
      </c>
    </row>
    <row r="74" spans="1:20" ht="15.75" x14ac:dyDescent="0.25">
      <c r="A74" s="3">
        <f t="shared" si="3"/>
        <v>65</v>
      </c>
      <c r="B74" s="14" t="s">
        <v>82</v>
      </c>
      <c r="C74" s="15" t="s">
        <v>124</v>
      </c>
      <c r="D74" s="2"/>
      <c r="E74" s="10" t="s">
        <v>106</v>
      </c>
      <c r="F74" s="6"/>
      <c r="G74" s="26">
        <v>1</v>
      </c>
      <c r="H74" s="24"/>
      <c r="I74" s="24"/>
      <c r="J74" s="24"/>
      <c r="K74" s="24"/>
      <c r="L74" s="24"/>
      <c r="M74" s="24"/>
      <c r="N74" s="25">
        <f t="shared" si="1"/>
        <v>0</v>
      </c>
      <c r="O74" s="26"/>
      <c r="P74" s="24"/>
      <c r="Q74" s="24"/>
      <c r="R74" s="24"/>
      <c r="S74" s="24"/>
      <c r="T74" s="25">
        <f t="shared" si="2"/>
        <v>0</v>
      </c>
    </row>
    <row r="75" spans="1:20" ht="15.75" x14ac:dyDescent="0.25">
      <c r="A75" s="3">
        <f t="shared" si="3"/>
        <v>66</v>
      </c>
      <c r="B75" s="14" t="s">
        <v>83</v>
      </c>
      <c r="C75" s="15" t="s">
        <v>124</v>
      </c>
      <c r="D75" s="2"/>
      <c r="E75" s="10" t="s">
        <v>106</v>
      </c>
      <c r="F75" s="6"/>
      <c r="G75" s="26">
        <v>2</v>
      </c>
      <c r="H75" s="24"/>
      <c r="I75" s="24"/>
      <c r="J75" s="24"/>
      <c r="K75" s="24"/>
      <c r="L75" s="24"/>
      <c r="M75" s="24"/>
      <c r="N75" s="25">
        <f t="shared" ref="N75:N97" si="4" xml:space="preserve"> (L75-M75)</f>
        <v>0</v>
      </c>
      <c r="O75" s="26"/>
      <c r="P75" s="24"/>
      <c r="Q75" s="24"/>
      <c r="R75" s="24"/>
      <c r="S75" s="24"/>
      <c r="T75" s="25">
        <f t="shared" ref="T75:T97" si="5" xml:space="preserve"> (R75-S75)</f>
        <v>0</v>
      </c>
    </row>
    <row r="76" spans="1:20" ht="15.75" x14ac:dyDescent="0.25">
      <c r="A76" s="3">
        <f t="shared" ref="A76:A97" si="6">A75+1</f>
        <v>67</v>
      </c>
      <c r="B76" s="11" t="s">
        <v>84</v>
      </c>
      <c r="C76" s="15" t="s">
        <v>124</v>
      </c>
      <c r="D76" s="2"/>
      <c r="E76" s="10" t="s">
        <v>120</v>
      </c>
      <c r="F76" s="6"/>
      <c r="G76" s="26"/>
      <c r="H76" s="24"/>
      <c r="I76" s="24"/>
      <c r="J76" s="24"/>
      <c r="K76" s="24"/>
      <c r="L76" s="24"/>
      <c r="M76" s="24"/>
      <c r="N76" s="25">
        <f t="shared" si="4"/>
        <v>0</v>
      </c>
      <c r="O76" s="26"/>
      <c r="P76" s="24"/>
      <c r="Q76" s="24"/>
      <c r="R76" s="24"/>
      <c r="S76" s="24"/>
      <c r="T76" s="25">
        <f t="shared" si="5"/>
        <v>0</v>
      </c>
    </row>
    <row r="77" spans="1:20" ht="15.75" x14ac:dyDescent="0.25">
      <c r="A77" s="3">
        <f t="shared" si="6"/>
        <v>68</v>
      </c>
      <c r="B77" s="13" t="s">
        <v>85</v>
      </c>
      <c r="C77" s="15" t="s">
        <v>124</v>
      </c>
      <c r="D77" s="2"/>
      <c r="E77" s="19" t="s">
        <v>106</v>
      </c>
      <c r="F77" s="6"/>
      <c r="G77" s="26">
        <v>2</v>
      </c>
      <c r="H77" s="24"/>
      <c r="I77" s="24"/>
      <c r="J77" s="24"/>
      <c r="K77" s="24"/>
      <c r="L77" s="24"/>
      <c r="M77" s="24"/>
      <c r="N77" s="25">
        <f t="shared" si="4"/>
        <v>0</v>
      </c>
      <c r="O77" s="26"/>
      <c r="P77" s="24"/>
      <c r="Q77" s="24"/>
      <c r="R77" s="24"/>
      <c r="S77" s="24"/>
      <c r="T77" s="25">
        <f t="shared" si="5"/>
        <v>0</v>
      </c>
    </row>
    <row r="78" spans="1:20" ht="15.75" x14ac:dyDescent="0.25">
      <c r="A78" s="3">
        <f t="shared" si="6"/>
        <v>69</v>
      </c>
      <c r="B78" s="10" t="s">
        <v>86</v>
      </c>
      <c r="C78" s="15" t="s">
        <v>124</v>
      </c>
      <c r="D78" s="2"/>
      <c r="E78" s="22" t="s">
        <v>118</v>
      </c>
      <c r="F78" s="6"/>
      <c r="G78" s="26">
        <v>3</v>
      </c>
      <c r="H78" s="24"/>
      <c r="I78" s="24"/>
      <c r="J78" s="24"/>
      <c r="K78" s="24"/>
      <c r="L78" s="24"/>
      <c r="M78" s="24"/>
      <c r="N78" s="25">
        <f t="shared" si="4"/>
        <v>0</v>
      </c>
      <c r="O78" s="26"/>
      <c r="P78" s="24"/>
      <c r="Q78" s="24"/>
      <c r="R78" s="24"/>
      <c r="S78" s="24"/>
      <c r="T78" s="25">
        <f t="shared" si="5"/>
        <v>0</v>
      </c>
    </row>
    <row r="79" spans="1:20" ht="15.75" x14ac:dyDescent="0.25">
      <c r="A79" s="3">
        <f t="shared" si="6"/>
        <v>70</v>
      </c>
      <c r="B79" s="10" t="s">
        <v>87</v>
      </c>
      <c r="C79" s="15" t="s">
        <v>124</v>
      </c>
      <c r="D79" s="2"/>
      <c r="E79" s="22" t="s">
        <v>115</v>
      </c>
      <c r="F79" s="6"/>
      <c r="G79" s="26">
        <v>1</v>
      </c>
      <c r="H79" s="24"/>
      <c r="I79" s="24"/>
      <c r="J79" s="24"/>
      <c r="K79" s="24"/>
      <c r="L79" s="24"/>
      <c r="M79" s="24"/>
      <c r="N79" s="25">
        <f t="shared" si="4"/>
        <v>0</v>
      </c>
      <c r="O79" s="26"/>
      <c r="P79" s="24"/>
      <c r="Q79" s="24"/>
      <c r="R79" s="24"/>
      <c r="S79" s="24"/>
      <c r="T79" s="25">
        <f t="shared" si="5"/>
        <v>0</v>
      </c>
    </row>
    <row r="80" spans="1:20" ht="15.75" x14ac:dyDescent="0.25">
      <c r="A80" s="3">
        <f t="shared" si="6"/>
        <v>71</v>
      </c>
      <c r="B80" s="11" t="s">
        <v>88</v>
      </c>
      <c r="C80" s="15" t="s">
        <v>124</v>
      </c>
      <c r="D80" s="2"/>
      <c r="E80" s="17" t="s">
        <v>121</v>
      </c>
      <c r="F80" s="6"/>
      <c r="G80" s="26">
        <v>1</v>
      </c>
      <c r="H80" s="24"/>
      <c r="I80" s="24"/>
      <c r="J80" s="24"/>
      <c r="K80" s="24"/>
      <c r="L80" s="24"/>
      <c r="M80" s="24"/>
      <c r="N80" s="25">
        <f t="shared" si="4"/>
        <v>0</v>
      </c>
      <c r="O80" s="26">
        <v>4</v>
      </c>
      <c r="P80" s="24"/>
      <c r="Q80" s="24"/>
      <c r="R80" s="24"/>
      <c r="S80" s="24"/>
      <c r="T80" s="25">
        <f t="shared" si="5"/>
        <v>0</v>
      </c>
    </row>
    <row r="81" spans="1:20" ht="15.75" x14ac:dyDescent="0.25">
      <c r="A81" s="3">
        <f t="shared" si="6"/>
        <v>72</v>
      </c>
      <c r="B81" s="14" t="s">
        <v>89</v>
      </c>
      <c r="C81" s="15" t="s">
        <v>124</v>
      </c>
      <c r="D81" s="2"/>
      <c r="E81" s="19" t="s">
        <v>106</v>
      </c>
      <c r="F81" s="6"/>
      <c r="G81" s="26"/>
      <c r="H81" s="24"/>
      <c r="I81" s="24"/>
      <c r="J81" s="24"/>
      <c r="K81" s="24"/>
      <c r="L81" s="24"/>
      <c r="M81" s="24"/>
      <c r="N81" s="25">
        <f t="shared" si="4"/>
        <v>0</v>
      </c>
      <c r="O81" s="26"/>
      <c r="P81" s="24"/>
      <c r="Q81" s="24"/>
      <c r="R81" s="24"/>
      <c r="S81" s="24"/>
      <c r="T81" s="25">
        <f t="shared" si="5"/>
        <v>0</v>
      </c>
    </row>
    <row r="82" spans="1:20" ht="15.75" x14ac:dyDescent="0.25">
      <c r="A82" s="3">
        <f t="shared" si="6"/>
        <v>73</v>
      </c>
      <c r="B82" s="14" t="s">
        <v>90</v>
      </c>
      <c r="C82" s="15" t="s">
        <v>124</v>
      </c>
      <c r="D82" s="2"/>
      <c r="E82" s="19" t="s">
        <v>106</v>
      </c>
      <c r="F82" s="6"/>
      <c r="G82" s="26"/>
      <c r="H82" s="24"/>
      <c r="I82" s="24"/>
      <c r="J82" s="24"/>
      <c r="K82" s="24"/>
      <c r="L82" s="24"/>
      <c r="M82" s="24"/>
      <c r="N82" s="25">
        <f t="shared" si="4"/>
        <v>0</v>
      </c>
      <c r="O82" s="26"/>
      <c r="P82" s="24"/>
      <c r="Q82" s="24"/>
      <c r="R82" s="24"/>
      <c r="S82" s="24"/>
      <c r="T82" s="25">
        <f t="shared" si="5"/>
        <v>0</v>
      </c>
    </row>
    <row r="83" spans="1:20" ht="15.75" x14ac:dyDescent="0.25">
      <c r="A83" s="3">
        <f t="shared" si="6"/>
        <v>74</v>
      </c>
      <c r="B83" s="10" t="s">
        <v>91</v>
      </c>
      <c r="C83" s="15" t="s">
        <v>124</v>
      </c>
      <c r="D83" s="2"/>
      <c r="E83" s="17" t="s">
        <v>111</v>
      </c>
      <c r="F83" s="6"/>
      <c r="G83" s="26">
        <v>1</v>
      </c>
      <c r="H83" s="24"/>
      <c r="I83" s="24"/>
      <c r="J83" s="24"/>
      <c r="K83" s="24"/>
      <c r="L83" s="24"/>
      <c r="M83" s="24"/>
      <c r="N83" s="25">
        <f t="shared" si="4"/>
        <v>0</v>
      </c>
      <c r="O83" s="26">
        <v>3</v>
      </c>
      <c r="P83" s="24"/>
      <c r="Q83" s="24"/>
      <c r="R83" s="24"/>
      <c r="S83" s="24"/>
      <c r="T83" s="25">
        <f t="shared" si="5"/>
        <v>0</v>
      </c>
    </row>
    <row r="84" spans="1:20" ht="15.75" x14ac:dyDescent="0.25">
      <c r="A84" s="3">
        <f t="shared" si="6"/>
        <v>75</v>
      </c>
      <c r="B84" s="10" t="s">
        <v>92</v>
      </c>
      <c r="C84" s="15" t="s">
        <v>124</v>
      </c>
      <c r="D84" s="2"/>
      <c r="E84" s="19" t="s">
        <v>106</v>
      </c>
      <c r="F84" s="6"/>
      <c r="G84" s="26"/>
      <c r="H84" s="24"/>
      <c r="I84" s="24"/>
      <c r="J84" s="24"/>
      <c r="K84" s="24"/>
      <c r="L84" s="24"/>
      <c r="M84" s="24"/>
      <c r="N84" s="25">
        <f t="shared" si="4"/>
        <v>0</v>
      </c>
      <c r="O84" s="26">
        <v>1</v>
      </c>
      <c r="P84" s="24"/>
      <c r="Q84" s="24"/>
      <c r="R84" s="24"/>
      <c r="S84" s="24"/>
      <c r="T84" s="25">
        <f t="shared" si="5"/>
        <v>0</v>
      </c>
    </row>
    <row r="85" spans="1:20" ht="15.75" x14ac:dyDescent="0.25">
      <c r="A85" s="3">
        <f t="shared" si="6"/>
        <v>76</v>
      </c>
      <c r="B85" s="11" t="s">
        <v>93</v>
      </c>
      <c r="C85" s="15" t="s">
        <v>124</v>
      </c>
      <c r="D85" s="2"/>
      <c r="E85" s="17" t="s">
        <v>122</v>
      </c>
      <c r="F85" s="6"/>
      <c r="G85" s="26"/>
      <c r="H85" s="24"/>
      <c r="I85" s="24"/>
      <c r="J85" s="24"/>
      <c r="K85" s="24"/>
      <c r="L85" s="24"/>
      <c r="M85" s="24"/>
      <c r="N85" s="25">
        <f t="shared" si="4"/>
        <v>0</v>
      </c>
      <c r="O85" s="26"/>
      <c r="P85" s="24"/>
      <c r="Q85" s="24"/>
      <c r="R85" s="24"/>
      <c r="S85" s="24"/>
      <c r="T85" s="25">
        <f t="shared" si="5"/>
        <v>0</v>
      </c>
    </row>
    <row r="86" spans="1:20" ht="15.75" x14ac:dyDescent="0.25">
      <c r="A86" s="3">
        <f t="shared" si="6"/>
        <v>77</v>
      </c>
      <c r="B86" s="11" t="s">
        <v>94</v>
      </c>
      <c r="C86" s="15" t="s">
        <v>124</v>
      </c>
      <c r="D86" s="2"/>
      <c r="E86" s="19" t="s">
        <v>106</v>
      </c>
      <c r="F86" s="6"/>
      <c r="G86" s="26"/>
      <c r="H86" s="24"/>
      <c r="I86" s="24"/>
      <c r="J86" s="24"/>
      <c r="K86" s="24"/>
      <c r="L86" s="24"/>
      <c r="M86" s="24"/>
      <c r="N86" s="25">
        <f t="shared" si="4"/>
        <v>0</v>
      </c>
      <c r="O86" s="26"/>
      <c r="P86" s="24"/>
      <c r="Q86" s="24"/>
      <c r="R86" s="24"/>
      <c r="S86" s="24"/>
      <c r="T86" s="25">
        <f t="shared" si="5"/>
        <v>0</v>
      </c>
    </row>
    <row r="87" spans="1:20" ht="15.75" x14ac:dyDescent="0.25">
      <c r="A87" s="3">
        <f t="shared" si="6"/>
        <v>78</v>
      </c>
      <c r="B87" s="11" t="s">
        <v>95</v>
      </c>
      <c r="C87" s="15" t="s">
        <v>124</v>
      </c>
      <c r="D87" s="2"/>
      <c r="E87" s="19" t="s">
        <v>123</v>
      </c>
      <c r="F87" s="6"/>
      <c r="G87" s="26">
        <v>2</v>
      </c>
      <c r="H87" s="24"/>
      <c r="I87" s="24"/>
      <c r="J87" s="24"/>
      <c r="K87" s="24"/>
      <c r="L87" s="24"/>
      <c r="M87" s="24"/>
      <c r="N87" s="25">
        <f t="shared" si="4"/>
        <v>0</v>
      </c>
      <c r="O87" s="26"/>
      <c r="P87" s="24"/>
      <c r="Q87" s="24"/>
      <c r="R87" s="24"/>
      <c r="S87" s="24"/>
      <c r="T87" s="25">
        <f t="shared" si="5"/>
        <v>0</v>
      </c>
    </row>
    <row r="88" spans="1:20" ht="15.75" x14ac:dyDescent="0.25">
      <c r="A88" s="3">
        <f t="shared" si="6"/>
        <v>79</v>
      </c>
      <c r="B88" s="11" t="s">
        <v>96</v>
      </c>
      <c r="C88" s="15" t="s">
        <v>124</v>
      </c>
      <c r="D88" s="2"/>
      <c r="E88" s="22" t="s">
        <v>112</v>
      </c>
      <c r="F88" s="6"/>
      <c r="G88" s="26">
        <v>2</v>
      </c>
      <c r="H88" s="24"/>
      <c r="I88" s="24"/>
      <c r="J88" s="24"/>
      <c r="K88" s="24"/>
      <c r="L88" s="24"/>
      <c r="M88" s="24"/>
      <c r="N88" s="25">
        <f t="shared" si="4"/>
        <v>0</v>
      </c>
      <c r="O88" s="26"/>
      <c r="P88" s="24"/>
      <c r="Q88" s="24"/>
      <c r="R88" s="24"/>
      <c r="S88" s="24"/>
      <c r="T88" s="25">
        <f t="shared" si="5"/>
        <v>0</v>
      </c>
    </row>
    <row r="89" spans="1:20" ht="15.75" x14ac:dyDescent="0.25">
      <c r="A89" s="3">
        <f t="shared" si="6"/>
        <v>80</v>
      </c>
      <c r="B89" s="11" t="s">
        <v>97</v>
      </c>
      <c r="C89" s="15" t="s">
        <v>124</v>
      </c>
      <c r="D89" s="2"/>
      <c r="E89" s="17" t="s">
        <v>111</v>
      </c>
      <c r="F89" s="6"/>
      <c r="G89" s="26">
        <v>2</v>
      </c>
      <c r="H89" s="24"/>
      <c r="I89" s="24"/>
      <c r="J89" s="24"/>
      <c r="K89" s="24"/>
      <c r="L89" s="24"/>
      <c r="M89" s="24"/>
      <c r="N89" s="25">
        <f t="shared" si="4"/>
        <v>0</v>
      </c>
      <c r="O89" s="26">
        <v>7</v>
      </c>
      <c r="P89" s="24"/>
      <c r="Q89" s="24"/>
      <c r="R89" s="24"/>
      <c r="S89" s="24"/>
      <c r="T89" s="25">
        <f t="shared" si="5"/>
        <v>0</v>
      </c>
    </row>
    <row r="90" spans="1:20" ht="15.75" x14ac:dyDescent="0.25">
      <c r="A90" s="3">
        <f t="shared" si="6"/>
        <v>81</v>
      </c>
      <c r="B90" s="10" t="s">
        <v>98</v>
      </c>
      <c r="C90" s="15" t="s">
        <v>124</v>
      </c>
      <c r="D90" s="2"/>
      <c r="E90" s="19" t="s">
        <v>106</v>
      </c>
      <c r="F90" s="6"/>
      <c r="G90" s="26">
        <v>2</v>
      </c>
      <c r="H90" s="24"/>
      <c r="I90" s="24"/>
      <c r="J90" s="24"/>
      <c r="K90" s="24"/>
      <c r="L90" s="24"/>
      <c r="M90" s="24"/>
      <c r="N90" s="25">
        <f t="shared" si="4"/>
        <v>0</v>
      </c>
      <c r="O90" s="26"/>
      <c r="P90" s="24"/>
      <c r="Q90" s="24"/>
      <c r="R90" s="24"/>
      <c r="S90" s="24"/>
      <c r="T90" s="25">
        <f t="shared" si="5"/>
        <v>0</v>
      </c>
    </row>
    <row r="91" spans="1:20" ht="15.75" x14ac:dyDescent="0.25">
      <c r="A91" s="3">
        <f t="shared" si="6"/>
        <v>82</v>
      </c>
      <c r="B91" s="10" t="s">
        <v>129</v>
      </c>
      <c r="C91" s="15" t="s">
        <v>124</v>
      </c>
      <c r="D91" s="2"/>
      <c r="E91" s="19" t="s">
        <v>106</v>
      </c>
      <c r="F91" s="6"/>
      <c r="G91" s="26">
        <v>1</v>
      </c>
      <c r="H91" s="24"/>
      <c r="I91" s="24"/>
      <c r="J91" s="24"/>
      <c r="K91" s="24"/>
      <c r="L91" s="24"/>
      <c r="M91" s="24"/>
      <c r="N91" s="25">
        <f t="shared" si="4"/>
        <v>0</v>
      </c>
      <c r="O91" s="26"/>
      <c r="P91" s="24"/>
      <c r="Q91" s="24"/>
      <c r="R91" s="24"/>
      <c r="S91" s="24"/>
      <c r="T91" s="25">
        <f t="shared" si="5"/>
        <v>0</v>
      </c>
    </row>
    <row r="92" spans="1:20" ht="15.75" x14ac:dyDescent="0.25">
      <c r="A92" s="3">
        <f t="shared" si="6"/>
        <v>83</v>
      </c>
      <c r="B92" s="10" t="s">
        <v>99</v>
      </c>
      <c r="C92" s="15" t="s">
        <v>124</v>
      </c>
      <c r="D92" s="2"/>
      <c r="E92" s="19" t="s">
        <v>106</v>
      </c>
      <c r="F92" s="6"/>
      <c r="G92" s="26">
        <v>3</v>
      </c>
      <c r="H92" s="24">
        <v>1</v>
      </c>
      <c r="I92" s="24">
        <v>1</v>
      </c>
      <c r="J92" s="24"/>
      <c r="K92" s="24"/>
      <c r="L92" s="24"/>
      <c r="M92" s="24"/>
      <c r="N92" s="25">
        <f t="shared" si="4"/>
        <v>0</v>
      </c>
      <c r="O92" s="26">
        <v>2</v>
      </c>
      <c r="P92" s="24"/>
      <c r="Q92" s="24"/>
      <c r="R92" s="24"/>
      <c r="S92" s="24"/>
      <c r="T92" s="25">
        <f t="shared" si="5"/>
        <v>0</v>
      </c>
    </row>
    <row r="93" spans="1:20" ht="15.75" x14ac:dyDescent="0.25">
      <c r="A93" s="3">
        <f t="shared" si="6"/>
        <v>84</v>
      </c>
      <c r="B93" s="13" t="s">
        <v>100</v>
      </c>
      <c r="C93" s="15" t="s">
        <v>124</v>
      </c>
      <c r="D93" s="2"/>
      <c r="E93" s="19" t="s">
        <v>106</v>
      </c>
      <c r="F93" s="6"/>
      <c r="G93" s="26"/>
      <c r="H93" s="24"/>
      <c r="I93" s="24"/>
      <c r="J93" s="24"/>
      <c r="K93" s="24"/>
      <c r="L93" s="24"/>
      <c r="M93" s="24"/>
      <c r="N93" s="25">
        <f t="shared" si="4"/>
        <v>0</v>
      </c>
      <c r="O93" s="26"/>
      <c r="P93" s="24"/>
      <c r="Q93" s="24"/>
      <c r="R93" s="24"/>
      <c r="S93" s="24"/>
      <c r="T93" s="25">
        <f t="shared" si="5"/>
        <v>0</v>
      </c>
    </row>
    <row r="94" spans="1:20" ht="15.75" x14ac:dyDescent="0.25">
      <c r="A94" s="3">
        <f t="shared" si="6"/>
        <v>85</v>
      </c>
      <c r="B94" s="13" t="s">
        <v>101</v>
      </c>
      <c r="C94" s="15" t="s">
        <v>124</v>
      </c>
      <c r="D94" s="2"/>
      <c r="E94" s="17" t="s">
        <v>106</v>
      </c>
      <c r="F94" s="6"/>
      <c r="G94" s="26"/>
      <c r="H94" s="24"/>
      <c r="I94" s="24"/>
      <c r="J94" s="24"/>
      <c r="K94" s="24"/>
      <c r="L94" s="24"/>
      <c r="M94" s="24"/>
      <c r="N94" s="25">
        <f t="shared" si="4"/>
        <v>0</v>
      </c>
      <c r="O94" s="26"/>
      <c r="P94" s="24"/>
      <c r="Q94" s="24"/>
      <c r="R94" s="24"/>
      <c r="S94" s="24"/>
      <c r="T94" s="25">
        <f t="shared" si="5"/>
        <v>0</v>
      </c>
    </row>
    <row r="95" spans="1:20" ht="15.75" x14ac:dyDescent="0.25">
      <c r="A95" s="3">
        <f t="shared" si="6"/>
        <v>86</v>
      </c>
      <c r="B95" s="13" t="s">
        <v>102</v>
      </c>
      <c r="C95" s="15" t="s">
        <v>124</v>
      </c>
      <c r="D95" s="2"/>
      <c r="E95" s="17" t="s">
        <v>106</v>
      </c>
      <c r="F95" s="6"/>
      <c r="G95" s="26">
        <v>3</v>
      </c>
      <c r="H95" s="24"/>
      <c r="I95" s="24"/>
      <c r="J95" s="24"/>
      <c r="K95" s="24"/>
      <c r="L95" s="24"/>
      <c r="M95" s="24"/>
      <c r="N95" s="25">
        <f t="shared" si="4"/>
        <v>0</v>
      </c>
      <c r="O95" s="26"/>
      <c r="P95" s="24"/>
      <c r="Q95" s="24"/>
      <c r="R95" s="24"/>
      <c r="S95" s="24"/>
      <c r="T95" s="25">
        <f t="shared" si="5"/>
        <v>0</v>
      </c>
    </row>
    <row r="96" spans="1:20" ht="15.75" x14ac:dyDescent="0.25">
      <c r="A96" s="3">
        <f t="shared" si="6"/>
        <v>87</v>
      </c>
      <c r="B96" s="11" t="s">
        <v>103</v>
      </c>
      <c r="C96" s="15" t="s">
        <v>124</v>
      </c>
      <c r="D96" s="2"/>
      <c r="E96" s="22" t="s">
        <v>112</v>
      </c>
      <c r="F96" s="6"/>
      <c r="G96" s="26"/>
      <c r="H96" s="24"/>
      <c r="I96" s="24"/>
      <c r="J96" s="24"/>
      <c r="K96" s="24"/>
      <c r="L96" s="24"/>
      <c r="M96" s="24"/>
      <c r="N96" s="25">
        <f t="shared" si="4"/>
        <v>0</v>
      </c>
      <c r="O96" s="26"/>
      <c r="P96" s="24"/>
      <c r="Q96" s="24"/>
      <c r="R96" s="24"/>
      <c r="S96" s="24"/>
      <c r="T96" s="25">
        <f t="shared" si="5"/>
        <v>0</v>
      </c>
    </row>
    <row r="97" spans="1:20" ht="16.5" thickBot="1" x14ac:dyDescent="0.3">
      <c r="A97" s="3">
        <f t="shared" si="6"/>
        <v>88</v>
      </c>
      <c r="B97" s="30" t="s">
        <v>104</v>
      </c>
      <c r="C97" s="31" t="s">
        <v>124</v>
      </c>
      <c r="D97" s="32"/>
      <c r="E97" s="33" t="s">
        <v>106</v>
      </c>
      <c r="F97" s="34"/>
      <c r="G97" s="35">
        <v>2</v>
      </c>
      <c r="H97" s="36"/>
      <c r="I97" s="36"/>
      <c r="J97" s="36"/>
      <c r="K97" s="36"/>
      <c r="L97" s="36"/>
      <c r="M97" s="36"/>
      <c r="N97" s="37">
        <f t="shared" si="4"/>
        <v>0</v>
      </c>
      <c r="O97" s="35"/>
      <c r="P97" s="36"/>
      <c r="Q97" s="36"/>
      <c r="R97" s="36"/>
      <c r="S97" s="36"/>
      <c r="T97" s="37">
        <f t="shared" si="5"/>
        <v>0</v>
      </c>
    </row>
    <row r="98" spans="1:20" x14ac:dyDescent="0.25">
      <c r="A98" s="294"/>
      <c r="B98" s="294"/>
      <c r="C98" s="294"/>
      <c r="D98" s="294"/>
      <c r="E98" s="294"/>
      <c r="F98" s="294"/>
      <c r="G98" s="27">
        <f>SUM(G10:G97)</f>
        <v>78</v>
      </c>
      <c r="H98" s="27">
        <f>SUM(H71:H97)</f>
        <v>2</v>
      </c>
      <c r="I98" s="27">
        <f>SUM(I71:I97)</f>
        <v>2</v>
      </c>
      <c r="J98" s="27"/>
      <c r="K98" s="27"/>
      <c r="L98" s="27"/>
      <c r="M98" s="27"/>
      <c r="N98" s="27"/>
      <c r="O98" s="27">
        <f>SUM(O11:O97)</f>
        <v>96</v>
      </c>
      <c r="P98" s="27"/>
      <c r="Q98" s="27"/>
      <c r="R98" s="27"/>
      <c r="S98" s="28"/>
      <c r="T98" s="28"/>
    </row>
  </sheetData>
  <mergeCells count="8">
    <mergeCell ref="A98:F98"/>
    <mergeCell ref="A1:Q1"/>
    <mergeCell ref="R1:T1"/>
    <mergeCell ref="A2:T6"/>
    <mergeCell ref="A7:A8"/>
    <mergeCell ref="B7:F7"/>
    <mergeCell ref="G7:N7"/>
    <mergeCell ref="O7:T7"/>
  </mergeCells>
  <phoneticPr fontId="0" type="noConversion"/>
  <pageMargins left="0.7" right="0.7" top="0.75" bottom="0.75" header="0.3" footer="0.3"/>
  <pageSetup paperSize="9" scale="4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7"/>
  <sheetViews>
    <sheetView topLeftCell="B55" zoomScale="80" zoomScaleNormal="80" workbookViewId="0">
      <selection activeCell="AM88" sqref="AM88"/>
    </sheetView>
  </sheetViews>
  <sheetFormatPr defaultRowHeight="15.75" x14ac:dyDescent="0.25"/>
  <cols>
    <col min="1" max="1" width="9.140625" style="155" hidden="1" customWidth="1"/>
    <col min="2" max="2" width="9.140625" style="55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12.42578125" style="109" customWidth="1"/>
    <col min="15" max="15" width="12.28515625" style="109" customWidth="1"/>
    <col min="16" max="18" width="9.140625" style="109" customWidth="1"/>
    <col min="19" max="19" width="16.85546875" style="109" customWidth="1"/>
    <col min="20" max="20" width="10.7109375" style="109" customWidth="1"/>
    <col min="21" max="21" width="10.7109375" style="133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3" width="10.28515625" style="134" bestFit="1" customWidth="1"/>
    <col min="34" max="34" width="9.140625" style="134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270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271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19</v>
      </c>
      <c r="I10" s="75">
        <v>9</v>
      </c>
      <c r="J10" s="75">
        <v>11</v>
      </c>
      <c r="K10" s="75">
        <v>11</v>
      </c>
      <c r="L10" s="75">
        <v>11</v>
      </c>
      <c r="M10" s="97">
        <v>8818.6299999999992</v>
      </c>
      <c r="N10" s="97">
        <f>1033.5+1418.08</f>
        <v>2451.58</v>
      </c>
      <c r="O10" s="93">
        <f xml:space="preserve"> (M10-N10)</f>
        <v>6367.0499999999993</v>
      </c>
      <c r="P10" s="123">
        <v>6</v>
      </c>
      <c r="Q10" s="124">
        <v>6</v>
      </c>
      <c r="R10" s="124">
        <v>6</v>
      </c>
      <c r="S10" s="97">
        <v>4246.75</v>
      </c>
      <c r="T10" s="97">
        <v>4246.75</v>
      </c>
      <c r="U10" s="97">
        <f xml:space="preserve"> (S10-T10)</f>
        <v>0</v>
      </c>
      <c r="V10" s="135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5</v>
      </c>
      <c r="I11" s="75">
        <v>3</v>
      </c>
      <c r="J11" s="75">
        <v>3</v>
      </c>
      <c r="K11" s="75">
        <v>3</v>
      </c>
      <c r="L11" s="75">
        <v>1</v>
      </c>
      <c r="M11" s="97">
        <v>275.60000000000002</v>
      </c>
      <c r="N11" s="97">
        <v>275.60000000000002</v>
      </c>
      <c r="O11" s="93">
        <f t="shared" ref="O11:O74" si="1" xml:space="preserve"> (M11-N11)</f>
        <v>0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35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3</v>
      </c>
      <c r="S12" s="97">
        <v>8035.44</v>
      </c>
      <c r="T12" s="97">
        <v>1548.67</v>
      </c>
      <c r="U12" s="97">
        <f t="shared" si="2"/>
        <v>6486.7699999999995</v>
      </c>
      <c r="V12" s="14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5" si="3">B12+1</f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12</v>
      </c>
      <c r="I13" s="75">
        <v>8</v>
      </c>
      <c r="J13" s="75">
        <v>11</v>
      </c>
      <c r="K13" s="75">
        <v>5</v>
      </c>
      <c r="L13" s="75">
        <v>5</v>
      </c>
      <c r="M13" s="97">
        <f>272.84+2699.54</f>
        <v>2972.38</v>
      </c>
      <c r="N13" s="97">
        <f>272.84+2699.54</f>
        <v>2972.38</v>
      </c>
      <c r="O13" s="93">
        <f t="shared" si="1"/>
        <v>0</v>
      </c>
      <c r="P13" s="123">
        <v>5</v>
      </c>
      <c r="Q13" s="124">
        <v>4</v>
      </c>
      <c r="R13" s="124">
        <v>4</v>
      </c>
      <c r="S13" s="97">
        <f>7385.53+1228.66</f>
        <v>8614.19</v>
      </c>
      <c r="T13" s="97">
        <f>7385.53+1228.66</f>
        <v>8614.19</v>
      </c>
      <c r="U13" s="97">
        <f t="shared" si="2"/>
        <v>0</v>
      </c>
      <c r="V13" s="14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16</v>
      </c>
      <c r="I14" s="75">
        <v>7</v>
      </c>
      <c r="J14" s="75">
        <v>8</v>
      </c>
      <c r="K14" s="75">
        <v>7</v>
      </c>
      <c r="L14" s="75">
        <v>7</v>
      </c>
      <c r="M14" s="97">
        <f>2277.13+1033.5</f>
        <v>3310.63</v>
      </c>
      <c r="N14" s="97">
        <f>2277.13+1033.5</f>
        <v>3310.63</v>
      </c>
      <c r="O14" s="93">
        <f t="shared" si="1"/>
        <v>0</v>
      </c>
      <c r="P14" s="123">
        <v>5</v>
      </c>
      <c r="Q14" s="124">
        <v>4</v>
      </c>
      <c r="R14" s="124">
        <v>4</v>
      </c>
      <c r="S14" s="97">
        <f>1800.7+633</f>
        <v>2433.6999999999998</v>
      </c>
      <c r="T14" s="97">
        <f>1800.7+633</f>
        <v>2433.6999999999998</v>
      </c>
      <c r="U14" s="97">
        <f t="shared" si="2"/>
        <v>0</v>
      </c>
      <c r="V14" s="135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18</v>
      </c>
      <c r="I15" s="75">
        <v>9</v>
      </c>
      <c r="J15" s="75">
        <v>14</v>
      </c>
      <c r="K15" s="75">
        <v>14</v>
      </c>
      <c r="L15" s="75">
        <v>14</v>
      </c>
      <c r="M15" s="97">
        <v>15468.06</v>
      </c>
      <c r="N15" s="97">
        <f>3475.33+5779.42</f>
        <v>9254.75</v>
      </c>
      <c r="O15" s="93">
        <f t="shared" si="1"/>
        <v>6213.3099999999995</v>
      </c>
      <c r="P15" s="123">
        <v>12</v>
      </c>
      <c r="Q15" s="124">
        <v>12</v>
      </c>
      <c r="R15" s="124">
        <v>12</v>
      </c>
      <c r="S15" s="97">
        <v>13259.94</v>
      </c>
      <c r="T15" s="97">
        <f>9375.69+2892.09</f>
        <v>12267.78</v>
      </c>
      <c r="U15" s="97">
        <f t="shared" si="2"/>
        <v>992.15999999999985</v>
      </c>
      <c r="V15" s="135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97"/>
      <c r="U16" s="97">
        <f t="shared" si="2"/>
        <v>0</v>
      </c>
      <c r="V16" s="135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11</v>
      </c>
      <c r="I17" s="75">
        <v>6</v>
      </c>
      <c r="J17" s="75">
        <v>9</v>
      </c>
      <c r="K17" s="75">
        <v>8</v>
      </c>
      <c r="L17" s="75">
        <v>8</v>
      </c>
      <c r="M17" s="97">
        <v>6821.74</v>
      </c>
      <c r="N17" s="97"/>
      <c r="O17" s="93">
        <f t="shared" si="1"/>
        <v>6821.74</v>
      </c>
      <c r="P17" s="123">
        <v>1</v>
      </c>
      <c r="Q17" s="124">
        <v>1</v>
      </c>
      <c r="R17" s="124">
        <v>1</v>
      </c>
      <c r="S17" s="97">
        <v>1033.5</v>
      </c>
      <c r="T17" s="97"/>
      <c r="U17" s="97">
        <f t="shared" si="2"/>
        <v>1033.5</v>
      </c>
      <c r="V17" s="135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4</v>
      </c>
      <c r="I18" s="75"/>
      <c r="J18" s="75"/>
      <c r="K18" s="75"/>
      <c r="L18" s="75"/>
      <c r="M18" s="97">
        <v>2118.92</v>
      </c>
      <c r="N18" s="97"/>
      <c r="O18" s="93">
        <f t="shared" si="1"/>
        <v>2118.92</v>
      </c>
      <c r="P18" s="123">
        <v>5</v>
      </c>
      <c r="Q18" s="124">
        <v>5</v>
      </c>
      <c r="R18" s="124">
        <v>5</v>
      </c>
      <c r="S18" s="97">
        <v>14748.55</v>
      </c>
      <c r="T18" s="97">
        <v>14748.55</v>
      </c>
      <c r="U18" s="97">
        <f t="shared" si="2"/>
        <v>0</v>
      </c>
      <c r="V18" s="135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17</v>
      </c>
      <c r="I19" s="75">
        <v>10</v>
      </c>
      <c r="J19" s="75">
        <v>15</v>
      </c>
      <c r="K19" s="75">
        <v>11</v>
      </c>
      <c r="L19" s="75">
        <v>11</v>
      </c>
      <c r="M19" s="97">
        <v>5345.36</v>
      </c>
      <c r="N19" s="97">
        <f>1744.9+542.59+1862.35</f>
        <v>4149.84</v>
      </c>
      <c r="O19" s="93">
        <f t="shared" si="1"/>
        <v>1195.5199999999995</v>
      </c>
      <c r="P19" s="123">
        <v>12</v>
      </c>
      <c r="Q19" s="124">
        <v>12</v>
      </c>
      <c r="R19" s="124">
        <v>12</v>
      </c>
      <c r="S19" s="97">
        <f>12589.36+4299.58+3922.41</f>
        <v>20811.350000000002</v>
      </c>
      <c r="T19" s="97">
        <f>12589.36+4299.58+3922.41</f>
        <v>20811.350000000002</v>
      </c>
      <c r="U19" s="97">
        <f t="shared" si="2"/>
        <v>0</v>
      </c>
      <c r="V19" s="143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18</v>
      </c>
      <c r="I20" s="75">
        <v>7</v>
      </c>
      <c r="J20" s="75">
        <v>11</v>
      </c>
      <c r="K20" s="75">
        <v>4</v>
      </c>
      <c r="L20" s="75">
        <v>3</v>
      </c>
      <c r="M20" s="97">
        <v>1581.26</v>
      </c>
      <c r="N20" s="97">
        <v>1581.26</v>
      </c>
      <c r="O20" s="93">
        <f t="shared" si="1"/>
        <v>0</v>
      </c>
      <c r="P20" s="123">
        <v>23</v>
      </c>
      <c r="Q20" s="124">
        <v>22</v>
      </c>
      <c r="R20" s="124">
        <v>19</v>
      </c>
      <c r="S20" s="97">
        <f>14391.07+12609.01</f>
        <v>27000.080000000002</v>
      </c>
      <c r="T20" s="97">
        <f>14391.07+12609.01</f>
        <v>27000.080000000002</v>
      </c>
      <c r="U20" s="97">
        <f t="shared" si="2"/>
        <v>0</v>
      </c>
      <c r="V20" s="14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11</v>
      </c>
      <c r="I21" s="75">
        <v>3</v>
      </c>
      <c r="J21" s="75">
        <v>3</v>
      </c>
      <c r="K21" s="75">
        <v>3</v>
      </c>
      <c r="L21" s="75">
        <v>2</v>
      </c>
      <c r="M21" s="97">
        <f>427.18+831.61</f>
        <v>1258.79</v>
      </c>
      <c r="N21" s="97">
        <f>427.18+831.61</f>
        <v>1258.79</v>
      </c>
      <c r="O21" s="93">
        <f t="shared" si="1"/>
        <v>0</v>
      </c>
      <c r="P21" s="123">
        <v>5</v>
      </c>
      <c r="Q21" s="124">
        <v>5</v>
      </c>
      <c r="R21" s="124">
        <v>4</v>
      </c>
      <c r="S21" s="97">
        <f>5005.45+1729.9</f>
        <v>6735.35</v>
      </c>
      <c r="T21" s="97">
        <f>5005.45+1729.9</f>
        <v>6735.35</v>
      </c>
      <c r="U21" s="97">
        <f t="shared" si="2"/>
        <v>0</v>
      </c>
      <c r="V21" s="135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39</v>
      </c>
      <c r="I22" s="75">
        <v>22</v>
      </c>
      <c r="J22" s="75">
        <v>31</v>
      </c>
      <c r="K22" s="75">
        <v>25</v>
      </c>
      <c r="L22" s="75">
        <v>25</v>
      </c>
      <c r="M22" s="97">
        <v>18961.91</v>
      </c>
      <c r="N22" s="97">
        <f>910.39+3506.19</f>
        <v>4416.58</v>
      </c>
      <c r="O22" s="93">
        <f t="shared" si="1"/>
        <v>14545.33</v>
      </c>
      <c r="P22" s="123">
        <v>20</v>
      </c>
      <c r="Q22" s="124">
        <v>18</v>
      </c>
      <c r="R22" s="124">
        <v>18</v>
      </c>
      <c r="S22" s="97">
        <v>24103.23</v>
      </c>
      <c r="T22" s="97">
        <f>16007.48+3068.6</f>
        <v>19076.079999999998</v>
      </c>
      <c r="U22" s="97">
        <f t="shared" si="2"/>
        <v>5027.1500000000015</v>
      </c>
      <c r="V22" s="135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9</v>
      </c>
      <c r="I23" s="75">
        <v>5</v>
      </c>
      <c r="J23" s="75">
        <v>5</v>
      </c>
      <c r="K23" s="75">
        <v>5</v>
      </c>
      <c r="L23" s="75">
        <v>3</v>
      </c>
      <c r="M23" s="97">
        <v>4920.5</v>
      </c>
      <c r="N23" s="97">
        <f>1852.03+375.16</f>
        <v>2227.19</v>
      </c>
      <c r="O23" s="93">
        <f t="shared" si="1"/>
        <v>2693.31</v>
      </c>
      <c r="P23" s="123">
        <v>11</v>
      </c>
      <c r="Q23" s="124">
        <v>11</v>
      </c>
      <c r="R23" s="124">
        <v>10</v>
      </c>
      <c r="S23" s="97">
        <v>25884.66</v>
      </c>
      <c r="T23" s="97">
        <f>23953.14+1377.56</f>
        <v>25330.7</v>
      </c>
      <c r="U23" s="97">
        <f t="shared" si="2"/>
        <v>553.95999999999913</v>
      </c>
      <c r="V23" s="143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12</v>
      </c>
      <c r="I24" s="75">
        <v>8</v>
      </c>
      <c r="J24" s="75">
        <v>10</v>
      </c>
      <c r="K24" s="75">
        <v>10</v>
      </c>
      <c r="L24" s="75">
        <v>10</v>
      </c>
      <c r="M24" s="97">
        <v>1515.11</v>
      </c>
      <c r="N24" s="97">
        <v>1515.11</v>
      </c>
      <c r="O24" s="93">
        <f t="shared" si="1"/>
        <v>0</v>
      </c>
      <c r="P24" s="123">
        <v>8</v>
      </c>
      <c r="Q24" s="124">
        <v>7</v>
      </c>
      <c r="R24" s="124">
        <v>7</v>
      </c>
      <c r="S24" s="97">
        <v>4998.37</v>
      </c>
      <c r="T24" s="97">
        <v>4998.37</v>
      </c>
      <c r="U24" s="97">
        <f t="shared" si="2"/>
        <v>0</v>
      </c>
      <c r="V24" s="135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15</v>
      </c>
      <c r="I25" s="75">
        <v>9</v>
      </c>
      <c r="J25" s="75">
        <v>14</v>
      </c>
      <c r="K25" s="75">
        <v>12</v>
      </c>
      <c r="L25" s="75">
        <v>8</v>
      </c>
      <c r="M25" s="97">
        <f>2255.39+2419.13</f>
        <v>4674.5200000000004</v>
      </c>
      <c r="N25" s="97">
        <f>2255.39+2419.13</f>
        <v>4674.5200000000004</v>
      </c>
      <c r="O25" s="93">
        <f t="shared" si="1"/>
        <v>0</v>
      </c>
      <c r="P25" s="123">
        <v>21</v>
      </c>
      <c r="Q25" s="124">
        <v>20</v>
      </c>
      <c r="R25" s="124">
        <v>18</v>
      </c>
      <c r="S25" s="97">
        <f>17792.25+4619.68</f>
        <v>22411.93</v>
      </c>
      <c r="T25" s="97">
        <f>17792.25+4619.68</f>
        <v>22411.93</v>
      </c>
      <c r="U25" s="97">
        <f t="shared" si="2"/>
        <v>0</v>
      </c>
      <c r="V25" s="142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15</v>
      </c>
      <c r="I26" s="75"/>
      <c r="J26" s="75"/>
      <c r="K26" s="75"/>
      <c r="L26" s="75"/>
      <c r="M26" s="97"/>
      <c r="N26" s="97"/>
      <c r="O26" s="93">
        <f t="shared" si="1"/>
        <v>0</v>
      </c>
      <c r="P26" s="123"/>
      <c r="Q26" s="124"/>
      <c r="R26" s="124"/>
      <c r="S26" s="97"/>
      <c r="T26" s="97"/>
      <c r="U26" s="97">
        <f t="shared" si="2"/>
        <v>0</v>
      </c>
      <c r="V26" s="135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18</v>
      </c>
      <c r="I27" s="75">
        <v>7</v>
      </c>
      <c r="J27" s="75">
        <v>14</v>
      </c>
      <c r="K27" s="75">
        <v>12</v>
      </c>
      <c r="L27" s="75">
        <v>9</v>
      </c>
      <c r="M27" s="97">
        <f>2738.38+1698.1</f>
        <v>4436.4799999999996</v>
      </c>
      <c r="N27" s="97">
        <f>2738.38+1698.1</f>
        <v>4436.4799999999996</v>
      </c>
      <c r="O27" s="93">
        <f t="shared" si="1"/>
        <v>0</v>
      </c>
      <c r="P27" s="123">
        <v>14</v>
      </c>
      <c r="Q27" s="124">
        <v>13</v>
      </c>
      <c r="R27" s="124">
        <v>12</v>
      </c>
      <c r="S27" s="97">
        <f>11399.36+591.16</f>
        <v>11990.52</v>
      </c>
      <c r="T27" s="97">
        <f>11399.36+591.16</f>
        <v>11990.52</v>
      </c>
      <c r="U27" s="97">
        <f t="shared" si="2"/>
        <v>0</v>
      </c>
      <c r="V27" s="135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97"/>
      <c r="U28" s="97">
        <f t="shared" si="2"/>
        <v>0</v>
      </c>
      <c r="V28" s="135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15</v>
      </c>
      <c r="I29" s="75">
        <v>11</v>
      </c>
      <c r="J29" s="75">
        <v>13</v>
      </c>
      <c r="K29" s="75">
        <v>11</v>
      </c>
      <c r="L29" s="75">
        <v>11</v>
      </c>
      <c r="M29" s="97">
        <f>2023.14+2605.8+1307.38</f>
        <v>5936.3200000000006</v>
      </c>
      <c r="N29" s="97">
        <f>2023.14+2605.8+1307.38</f>
        <v>5936.3200000000006</v>
      </c>
      <c r="O29" s="93">
        <f t="shared" si="1"/>
        <v>0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43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19</v>
      </c>
      <c r="I30" s="75">
        <v>12</v>
      </c>
      <c r="J30" s="75">
        <v>13</v>
      </c>
      <c r="K30" s="75">
        <v>10</v>
      </c>
      <c r="L30" s="75">
        <v>8</v>
      </c>
      <c r="M30" s="97">
        <f>2487.52+2349.38</f>
        <v>4836.8999999999996</v>
      </c>
      <c r="N30" s="97">
        <f>2487.52+2349.38</f>
        <v>4836.8999999999996</v>
      </c>
      <c r="O30" s="93">
        <f t="shared" si="1"/>
        <v>0</v>
      </c>
      <c r="P30" s="123">
        <v>17</v>
      </c>
      <c r="Q30" s="124">
        <v>16</v>
      </c>
      <c r="R30" s="124">
        <v>14</v>
      </c>
      <c r="S30" s="97">
        <f>7176.8+21702.37</f>
        <v>28879.17</v>
      </c>
      <c r="T30" s="97">
        <f>7176.8+21702.37</f>
        <v>28879.17</v>
      </c>
      <c r="U30" s="97">
        <f t="shared" si="2"/>
        <v>0</v>
      </c>
      <c r="V30" s="14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1" t="s">
        <v>38</v>
      </c>
      <c r="D31" s="100" t="s">
        <v>124</v>
      </c>
      <c r="E31" s="101"/>
      <c r="F31" s="17" t="s">
        <v>106</v>
      </c>
      <c r="G31" s="72" t="s">
        <v>157</v>
      </c>
      <c r="H31" s="77">
        <v>4</v>
      </c>
      <c r="I31" s="75">
        <v>1</v>
      </c>
      <c r="J31" s="75">
        <v>2</v>
      </c>
      <c r="K31" s="75">
        <v>2</v>
      </c>
      <c r="L31" s="75">
        <v>2</v>
      </c>
      <c r="M31" s="97">
        <v>859.25</v>
      </c>
      <c r="N31" s="97">
        <v>859.25</v>
      </c>
      <c r="O31" s="93">
        <f t="shared" si="1"/>
        <v>0</v>
      </c>
      <c r="P31" s="123">
        <v>2</v>
      </c>
      <c r="Q31" s="12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4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0" t="s">
        <v>39</v>
      </c>
      <c r="D32" s="100" t="s">
        <v>124</v>
      </c>
      <c r="E32" s="101"/>
      <c r="F32" s="10" t="s">
        <v>105</v>
      </c>
      <c r="G32" s="72" t="s">
        <v>220</v>
      </c>
      <c r="H32" s="77"/>
      <c r="I32" s="75"/>
      <c r="J32" s="75"/>
      <c r="K32" s="75"/>
      <c r="L32" s="75"/>
      <c r="M32" s="97"/>
      <c r="N32" s="97"/>
      <c r="O32" s="93">
        <f t="shared" si="1"/>
        <v>0</v>
      </c>
      <c r="P32" s="123"/>
      <c r="Q32" s="124"/>
      <c r="R32" s="124"/>
      <c r="S32" s="97"/>
      <c r="T32" s="97"/>
      <c r="U32" s="97">
        <f t="shared" si="2"/>
        <v>0</v>
      </c>
      <c r="V32" s="135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0" t="s">
        <v>137</v>
      </c>
      <c r="D33" s="100" t="s">
        <v>124</v>
      </c>
      <c r="E33" s="101"/>
      <c r="F33" s="17" t="s">
        <v>106</v>
      </c>
      <c r="G33" s="72" t="s">
        <v>158</v>
      </c>
      <c r="H33" s="77">
        <v>9</v>
      </c>
      <c r="I33" s="75">
        <v>4</v>
      </c>
      <c r="J33" s="75">
        <v>4</v>
      </c>
      <c r="K33" s="75">
        <v>4</v>
      </c>
      <c r="L33" s="75">
        <v>3</v>
      </c>
      <c r="M33" s="97">
        <f>1929.2</f>
        <v>1929.2</v>
      </c>
      <c r="N33" s="97">
        <f>1929.2</f>
        <v>1929.2</v>
      </c>
      <c r="O33" s="93">
        <f t="shared" si="1"/>
        <v>0</v>
      </c>
      <c r="P33" s="123"/>
      <c r="Q33" s="124"/>
      <c r="R33" s="124"/>
      <c r="S33" s="97"/>
      <c r="T33" s="97"/>
      <c r="U33" s="97">
        <f t="shared" si="2"/>
        <v>0</v>
      </c>
      <c r="V33" s="135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2" t="s">
        <v>40</v>
      </c>
      <c r="D34" s="100" t="s">
        <v>124</v>
      </c>
      <c r="E34" s="101"/>
      <c r="F34" s="19" t="s">
        <v>115</v>
      </c>
      <c r="G34" s="72" t="s">
        <v>159</v>
      </c>
      <c r="H34" s="77">
        <v>11</v>
      </c>
      <c r="I34" s="75">
        <v>9</v>
      </c>
      <c r="J34" s="75">
        <v>14</v>
      </c>
      <c r="K34" s="75">
        <v>11</v>
      </c>
      <c r="L34" s="75">
        <v>11</v>
      </c>
      <c r="M34" s="97">
        <f>1580.26+3633.22+2321.45</f>
        <v>7534.9299999999994</v>
      </c>
      <c r="N34" s="97">
        <f>1580.26+3633.22+2321.45</f>
        <v>7534.9299999999994</v>
      </c>
      <c r="O34" s="93">
        <f t="shared" si="1"/>
        <v>0</v>
      </c>
      <c r="P34" s="123">
        <v>2</v>
      </c>
      <c r="Q34" s="12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43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1" t="s">
        <v>41</v>
      </c>
      <c r="D35" s="100" t="s">
        <v>124</v>
      </c>
      <c r="E35" s="101"/>
      <c r="F35" s="17" t="s">
        <v>106</v>
      </c>
      <c r="G35" s="72" t="s">
        <v>160</v>
      </c>
      <c r="H35" s="77">
        <v>9</v>
      </c>
      <c r="I35" s="75">
        <v>5</v>
      </c>
      <c r="J35" s="75">
        <v>8</v>
      </c>
      <c r="K35" s="75">
        <v>8</v>
      </c>
      <c r="L35" s="75">
        <v>3</v>
      </c>
      <c r="M35" s="97">
        <f>738.32+1081.83</f>
        <v>1820.15</v>
      </c>
      <c r="N35" s="97">
        <f>738.32+1081.83</f>
        <v>1820.15</v>
      </c>
      <c r="O35" s="93">
        <f t="shared" si="1"/>
        <v>0</v>
      </c>
      <c r="P35" s="123">
        <v>8</v>
      </c>
      <c r="Q35" s="124">
        <v>8</v>
      </c>
      <c r="R35" s="124">
        <v>7</v>
      </c>
      <c r="S35" s="97">
        <f>7876.12+900.18</f>
        <v>8776.2999999999993</v>
      </c>
      <c r="T35" s="97">
        <f>7876.12+900.18</f>
        <v>8776.2999999999993</v>
      </c>
      <c r="U35" s="97">
        <f t="shared" si="2"/>
        <v>0</v>
      </c>
      <c r="V35" s="141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3" t="s">
        <v>42</v>
      </c>
      <c r="D36" s="100" t="s">
        <v>124</v>
      </c>
      <c r="E36" s="101"/>
      <c r="F36" s="17" t="s">
        <v>106</v>
      </c>
      <c r="G36" s="72" t="s">
        <v>221</v>
      </c>
      <c r="H36" s="77">
        <v>9</v>
      </c>
      <c r="I36" s="75">
        <v>2</v>
      </c>
      <c r="J36" s="75">
        <v>2</v>
      </c>
      <c r="K36" s="75">
        <v>2</v>
      </c>
      <c r="L36" s="75"/>
      <c r="M36" s="97"/>
      <c r="N36" s="97"/>
      <c r="O36" s="93">
        <f t="shared" si="1"/>
        <v>0</v>
      </c>
      <c r="P36" s="123">
        <v>4</v>
      </c>
      <c r="Q36" s="124">
        <v>4</v>
      </c>
      <c r="R36" s="124">
        <v>4</v>
      </c>
      <c r="S36" s="97">
        <f>1436.08+3433.93</f>
        <v>4870.01</v>
      </c>
      <c r="T36" s="97">
        <f>1436.08+3433.93</f>
        <v>4870.01</v>
      </c>
      <c r="U36" s="97">
        <f t="shared" si="2"/>
        <v>0</v>
      </c>
      <c r="V36" s="142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3" t="s">
        <v>43</v>
      </c>
      <c r="D37" s="100" t="s">
        <v>124</v>
      </c>
      <c r="E37" s="101"/>
      <c r="F37" s="17" t="s">
        <v>106</v>
      </c>
      <c r="G37" s="72" t="s">
        <v>161</v>
      </c>
      <c r="H37" s="77">
        <v>8</v>
      </c>
      <c r="I37" s="75">
        <v>6</v>
      </c>
      <c r="J37" s="75">
        <v>6</v>
      </c>
      <c r="K37" s="75">
        <v>5</v>
      </c>
      <c r="L37" s="75">
        <v>5</v>
      </c>
      <c r="M37" s="97">
        <f>568.43+3282.53</f>
        <v>3850.96</v>
      </c>
      <c r="N37" s="97">
        <f>568.43+3282.53</f>
        <v>3850.96</v>
      </c>
      <c r="O37" s="93">
        <f t="shared" si="1"/>
        <v>0</v>
      </c>
      <c r="P37" s="123">
        <v>2</v>
      </c>
      <c r="Q37" s="124">
        <v>1</v>
      </c>
      <c r="R37" s="124">
        <v>1</v>
      </c>
      <c r="S37" s="97">
        <v>552.96</v>
      </c>
      <c r="T37" s="97">
        <v>552.96</v>
      </c>
      <c r="U37" s="97">
        <f t="shared" si="2"/>
        <v>0</v>
      </c>
      <c r="V37" s="142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1" t="s">
        <v>44</v>
      </c>
      <c r="D38" s="100" t="s">
        <v>124</v>
      </c>
      <c r="E38" s="101"/>
      <c r="F38" s="17" t="s">
        <v>105</v>
      </c>
      <c r="G38" s="72" t="s">
        <v>162</v>
      </c>
      <c r="H38" s="77">
        <v>34</v>
      </c>
      <c r="I38" s="75">
        <v>16</v>
      </c>
      <c r="J38" s="75">
        <v>21</v>
      </c>
      <c r="K38" s="75">
        <v>21</v>
      </c>
      <c r="L38" s="75">
        <v>21</v>
      </c>
      <c r="M38" s="97">
        <v>18043.849999999999</v>
      </c>
      <c r="N38" s="97">
        <f>1783.68+344.5+1626.04</f>
        <v>3754.2200000000003</v>
      </c>
      <c r="O38" s="93">
        <f t="shared" si="1"/>
        <v>14289.629999999997</v>
      </c>
      <c r="P38" s="123">
        <v>18</v>
      </c>
      <c r="Q38" s="124">
        <v>18</v>
      </c>
      <c r="R38" s="124">
        <v>18</v>
      </c>
      <c r="S38" s="97">
        <v>22326.77</v>
      </c>
      <c r="T38" s="97">
        <f>13233.81+6471.95</f>
        <v>19705.759999999998</v>
      </c>
      <c r="U38" s="97">
        <f t="shared" si="2"/>
        <v>2621.010000000002</v>
      </c>
      <c r="V38" s="14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1" t="s">
        <v>45</v>
      </c>
      <c r="D39" s="100" t="s">
        <v>124</v>
      </c>
      <c r="E39" s="101"/>
      <c r="F39" s="17" t="s">
        <v>111</v>
      </c>
      <c r="G39" s="72" t="s">
        <v>163</v>
      </c>
      <c r="H39" s="77">
        <v>13</v>
      </c>
      <c r="I39" s="75">
        <v>7</v>
      </c>
      <c r="J39" s="75">
        <v>10</v>
      </c>
      <c r="K39" s="75">
        <v>7</v>
      </c>
      <c r="L39" s="75">
        <v>7</v>
      </c>
      <c r="M39" s="97">
        <v>4309.67</v>
      </c>
      <c r="N39" s="97">
        <f>821.67+1850.17</f>
        <v>2671.84</v>
      </c>
      <c r="O39" s="93">
        <f t="shared" si="1"/>
        <v>1637.83</v>
      </c>
      <c r="P39" s="123">
        <v>3</v>
      </c>
      <c r="Q39" s="124">
        <v>3</v>
      </c>
      <c r="R39" s="124">
        <v>3</v>
      </c>
      <c r="S39" s="97">
        <v>84.92</v>
      </c>
      <c r="T39" s="97"/>
      <c r="U39" s="97">
        <f t="shared" si="2"/>
        <v>84.92</v>
      </c>
      <c r="V39" s="14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0" t="s">
        <v>46</v>
      </c>
      <c r="D40" s="100" t="s">
        <v>124</v>
      </c>
      <c r="E40" s="101"/>
      <c r="F40" s="17" t="s">
        <v>106</v>
      </c>
      <c r="G40" s="72" t="s">
        <v>164</v>
      </c>
      <c r="H40" s="77">
        <v>6</v>
      </c>
      <c r="I40" s="75">
        <v>5</v>
      </c>
      <c r="J40" s="75">
        <v>5</v>
      </c>
      <c r="K40" s="75">
        <v>3</v>
      </c>
      <c r="L40" s="75">
        <v>3</v>
      </c>
      <c r="M40" s="97">
        <f>2273.7+1002.51</f>
        <v>3276.21</v>
      </c>
      <c r="N40" s="97">
        <f>2273.7+1002.51</f>
        <v>3276.21</v>
      </c>
      <c r="O40" s="93">
        <f t="shared" si="1"/>
        <v>0</v>
      </c>
      <c r="P40" s="123">
        <v>4</v>
      </c>
      <c r="Q40" s="12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35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0" t="s">
        <v>47</v>
      </c>
      <c r="D41" s="100" t="s">
        <v>124</v>
      </c>
      <c r="E41" s="101"/>
      <c r="F41" s="17" t="s">
        <v>116</v>
      </c>
      <c r="G41" s="72" t="s">
        <v>165</v>
      </c>
      <c r="H41" s="77">
        <v>9</v>
      </c>
      <c r="I41" s="75">
        <v>7</v>
      </c>
      <c r="J41" s="75">
        <v>8</v>
      </c>
      <c r="K41" s="75">
        <v>7</v>
      </c>
      <c r="L41" s="75">
        <v>3</v>
      </c>
      <c r="M41" s="97">
        <f>1322.88+206.7</f>
        <v>1529.5800000000002</v>
      </c>
      <c r="N41" s="97">
        <f>1322.88+206.7</f>
        <v>1529.5800000000002</v>
      </c>
      <c r="O41" s="93">
        <f t="shared" si="1"/>
        <v>0</v>
      </c>
      <c r="P41" s="123">
        <v>3</v>
      </c>
      <c r="Q41" s="124">
        <v>3</v>
      </c>
      <c r="R41" s="124">
        <v>2</v>
      </c>
      <c r="S41" s="97">
        <v>1016.08</v>
      </c>
      <c r="T41" s="97">
        <v>1016.08</v>
      </c>
      <c r="U41" s="97">
        <f t="shared" si="2"/>
        <v>0</v>
      </c>
      <c r="V41" s="135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3" t="s">
        <v>48</v>
      </c>
      <c r="D42" s="100" t="s">
        <v>124</v>
      </c>
      <c r="E42" s="101"/>
      <c r="F42" s="17" t="s">
        <v>106</v>
      </c>
      <c r="G42" s="72" t="s">
        <v>166</v>
      </c>
      <c r="H42" s="77">
        <v>7</v>
      </c>
      <c r="I42" s="75">
        <v>2</v>
      </c>
      <c r="J42" s="75">
        <v>2</v>
      </c>
      <c r="K42" s="75">
        <v>2</v>
      </c>
      <c r="L42" s="75">
        <v>2</v>
      </c>
      <c r="M42" s="97">
        <v>4681.8900000000003</v>
      </c>
      <c r="N42" s="97">
        <v>4681.8900000000003</v>
      </c>
      <c r="O42" s="93">
        <f t="shared" si="1"/>
        <v>0</v>
      </c>
      <c r="P42" s="123">
        <v>5</v>
      </c>
      <c r="Q42" s="124">
        <v>5</v>
      </c>
      <c r="R42" s="124">
        <v>3</v>
      </c>
      <c r="S42" s="97">
        <f>3907.41+583.58</f>
        <v>4490.99</v>
      </c>
      <c r="T42" s="97">
        <f>3907.41+583.58</f>
        <v>4490.99</v>
      </c>
      <c r="U42" s="97">
        <f t="shared" si="2"/>
        <v>0</v>
      </c>
      <c r="V42" s="142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0" t="s">
        <v>49</v>
      </c>
      <c r="D43" s="100" t="s">
        <v>124</v>
      </c>
      <c r="E43" s="101"/>
      <c r="F43" s="17" t="s">
        <v>106</v>
      </c>
      <c r="G43" s="72" t="s">
        <v>167</v>
      </c>
      <c r="H43" s="77">
        <v>11</v>
      </c>
      <c r="I43" s="75">
        <v>2</v>
      </c>
      <c r="J43" s="75">
        <v>2</v>
      </c>
      <c r="K43" s="75">
        <v>2</v>
      </c>
      <c r="L43" s="75">
        <v>1</v>
      </c>
      <c r="M43" s="97">
        <v>1157.56</v>
      </c>
      <c r="N43" s="97">
        <v>1157.56</v>
      </c>
      <c r="O43" s="93">
        <f t="shared" si="1"/>
        <v>0</v>
      </c>
      <c r="P43" s="123">
        <v>7</v>
      </c>
      <c r="Q43" s="124">
        <v>6</v>
      </c>
      <c r="R43" s="124">
        <v>5</v>
      </c>
      <c r="S43" s="97">
        <v>6437</v>
      </c>
      <c r="T43" s="97">
        <v>6437</v>
      </c>
      <c r="U43" s="97">
        <f t="shared" si="2"/>
        <v>0</v>
      </c>
      <c r="V43" s="135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3" t="s">
        <v>50</v>
      </c>
      <c r="D44" s="100" t="s">
        <v>124</v>
      </c>
      <c r="E44" s="101"/>
      <c r="F44" s="17" t="s">
        <v>106</v>
      </c>
      <c r="G44" s="72" t="s">
        <v>168</v>
      </c>
      <c r="H44" s="77">
        <v>5</v>
      </c>
      <c r="I44" s="75">
        <v>5</v>
      </c>
      <c r="J44" s="75">
        <v>6</v>
      </c>
      <c r="K44" s="75">
        <v>6</v>
      </c>
      <c r="L44" s="75">
        <v>4</v>
      </c>
      <c r="M44" s="97">
        <f>1345.04+387.91</f>
        <v>1732.95</v>
      </c>
      <c r="N44" s="97">
        <f>1345.04+387.91</f>
        <v>1732.95</v>
      </c>
      <c r="O44" s="93">
        <f t="shared" si="1"/>
        <v>0</v>
      </c>
      <c r="P44" s="123">
        <v>4</v>
      </c>
      <c r="Q44" s="124">
        <v>4</v>
      </c>
      <c r="R44" s="124">
        <v>4</v>
      </c>
      <c r="S44" s="97">
        <f>3997.92+850.65</f>
        <v>4848.57</v>
      </c>
      <c r="T44" s="97">
        <f>3997.92+850.65</f>
        <v>4848.57</v>
      </c>
      <c r="U44" s="97">
        <f t="shared" si="2"/>
        <v>0</v>
      </c>
      <c r="V44" s="142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1" t="s">
        <v>51</v>
      </c>
      <c r="D45" s="100" t="s">
        <v>124</v>
      </c>
      <c r="E45" s="101"/>
      <c r="F45" s="22" t="s">
        <v>112</v>
      </c>
      <c r="G45" s="72"/>
      <c r="H45" s="77"/>
      <c r="I45" s="75"/>
      <c r="J45" s="75"/>
      <c r="K45" s="75"/>
      <c r="L45" s="75"/>
      <c r="M45" s="97"/>
      <c r="N45" s="97"/>
      <c r="O45" s="93">
        <f t="shared" si="1"/>
        <v>0</v>
      </c>
      <c r="P45" s="123"/>
      <c r="Q45" s="124"/>
      <c r="R45" s="124"/>
      <c r="S45" s="97"/>
      <c r="T45" s="97"/>
      <c r="U45" s="97">
        <f t="shared" si="2"/>
        <v>0</v>
      </c>
      <c r="V45" s="14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1" t="s">
        <v>131</v>
      </c>
      <c r="D46" s="100" t="s">
        <v>124</v>
      </c>
      <c r="E46" s="101"/>
      <c r="F46" s="22" t="s">
        <v>106</v>
      </c>
      <c r="G46" s="72" t="s">
        <v>171</v>
      </c>
      <c r="H46" s="77">
        <v>7</v>
      </c>
      <c r="I46" s="75"/>
      <c r="J46" s="75"/>
      <c r="K46" s="75"/>
      <c r="L46" s="75"/>
      <c r="M46" s="97"/>
      <c r="N46" s="97"/>
      <c r="O46" s="93">
        <f t="shared" si="1"/>
        <v>0</v>
      </c>
      <c r="P46" s="123">
        <v>2</v>
      </c>
      <c r="Q46" s="124">
        <v>2</v>
      </c>
      <c r="R46" s="124">
        <v>2</v>
      </c>
      <c r="S46" s="97">
        <v>12091.23</v>
      </c>
      <c r="T46" s="97">
        <v>11787.49</v>
      </c>
      <c r="U46" s="97">
        <f t="shared" si="2"/>
        <v>303.73999999999978</v>
      </c>
      <c r="V46" s="14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3" t="s">
        <v>52</v>
      </c>
      <c r="D47" s="100" t="s">
        <v>124</v>
      </c>
      <c r="E47" s="101"/>
      <c r="F47" s="17" t="s">
        <v>106</v>
      </c>
      <c r="G47" s="72" t="s">
        <v>169</v>
      </c>
      <c r="H47" s="77">
        <v>21</v>
      </c>
      <c r="I47" s="75">
        <v>8</v>
      </c>
      <c r="J47" s="75">
        <v>11</v>
      </c>
      <c r="K47" s="75">
        <v>11</v>
      </c>
      <c r="L47" s="75">
        <v>4</v>
      </c>
      <c r="M47" s="97">
        <f>2714.54+272.6</f>
        <v>2987.14</v>
      </c>
      <c r="N47" s="97">
        <f>2714.54+272.6</f>
        <v>2987.14</v>
      </c>
      <c r="O47" s="93">
        <f t="shared" si="1"/>
        <v>0</v>
      </c>
      <c r="P47" s="123">
        <v>2</v>
      </c>
      <c r="Q47" s="124">
        <v>2</v>
      </c>
      <c r="R47" s="124">
        <v>1</v>
      </c>
      <c r="S47" s="97">
        <v>689</v>
      </c>
      <c r="T47" s="97">
        <v>689</v>
      </c>
      <c r="U47" s="97">
        <f t="shared" si="2"/>
        <v>0</v>
      </c>
      <c r="V47" s="142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0" t="s">
        <v>53</v>
      </c>
      <c r="D48" s="100" t="s">
        <v>124</v>
      </c>
      <c r="E48" s="101"/>
      <c r="F48" s="17" t="s">
        <v>105</v>
      </c>
      <c r="G48" s="72" t="s">
        <v>170</v>
      </c>
      <c r="H48" s="77">
        <v>8</v>
      </c>
      <c r="I48" s="75">
        <v>5</v>
      </c>
      <c r="J48" s="75">
        <v>7</v>
      </c>
      <c r="K48" s="75">
        <v>7</v>
      </c>
      <c r="L48" s="75">
        <v>7</v>
      </c>
      <c r="M48" s="97">
        <v>8890.84</v>
      </c>
      <c r="N48" s="97">
        <v>3786.47</v>
      </c>
      <c r="O48" s="93">
        <f t="shared" si="1"/>
        <v>5104.3700000000008</v>
      </c>
      <c r="P48" s="123">
        <v>3</v>
      </c>
      <c r="Q48" s="12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35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0" t="s">
        <v>54</v>
      </c>
      <c r="D49" s="100" t="s">
        <v>124</v>
      </c>
      <c r="E49" s="101"/>
      <c r="F49" s="17" t="s">
        <v>106</v>
      </c>
      <c r="G49" s="72" t="s">
        <v>172</v>
      </c>
      <c r="H49" s="77">
        <v>10</v>
      </c>
      <c r="I49" s="75">
        <v>1</v>
      </c>
      <c r="J49" s="75">
        <v>1</v>
      </c>
      <c r="K49" s="75">
        <v>1</v>
      </c>
      <c r="L49" s="75">
        <v>1</v>
      </c>
      <c r="M49" s="97">
        <v>397.9</v>
      </c>
      <c r="N49" s="97">
        <v>397.9</v>
      </c>
      <c r="O49" s="93">
        <f t="shared" si="1"/>
        <v>0</v>
      </c>
      <c r="P49" s="123">
        <v>6</v>
      </c>
      <c r="Q49" s="124">
        <v>5</v>
      </c>
      <c r="R49" s="124">
        <v>5</v>
      </c>
      <c r="S49" s="97">
        <f>4105.06+1454.92</f>
        <v>5559.9800000000005</v>
      </c>
      <c r="T49" s="97">
        <f>4105.06+1454.92</f>
        <v>5559.9800000000005</v>
      </c>
      <c r="U49" s="97">
        <f t="shared" si="2"/>
        <v>0</v>
      </c>
      <c r="V49" s="135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0" t="s">
        <v>55</v>
      </c>
      <c r="D50" s="100" t="s">
        <v>124</v>
      </c>
      <c r="E50" s="101"/>
      <c r="F50" s="17" t="s">
        <v>106</v>
      </c>
      <c r="G50" s="72" t="s">
        <v>173</v>
      </c>
      <c r="H50" s="77">
        <v>11</v>
      </c>
      <c r="I50" s="75">
        <v>7</v>
      </c>
      <c r="J50" s="75">
        <v>7</v>
      </c>
      <c r="K50" s="75">
        <v>7</v>
      </c>
      <c r="L50" s="75">
        <v>7</v>
      </c>
      <c r="M50" s="97">
        <v>6228.72</v>
      </c>
      <c r="N50" s="97">
        <f>2478.12+2441.5</f>
        <v>4919.62</v>
      </c>
      <c r="O50" s="93">
        <f t="shared" si="1"/>
        <v>1309.1000000000004</v>
      </c>
      <c r="P50" s="123">
        <v>6</v>
      </c>
      <c r="Q50" s="124">
        <v>5</v>
      </c>
      <c r="R50" s="124">
        <v>5</v>
      </c>
      <c r="S50" s="97">
        <f>2457.28+1725.6</f>
        <v>4182.88</v>
      </c>
      <c r="T50" s="97">
        <f>2457.28+1725.6</f>
        <v>4182.88</v>
      </c>
      <c r="U50" s="97">
        <f t="shared" si="2"/>
        <v>0</v>
      </c>
      <c r="V50" s="135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0" t="s">
        <v>56</v>
      </c>
      <c r="D51" s="100" t="s">
        <v>124</v>
      </c>
      <c r="E51" s="101"/>
      <c r="F51" s="17" t="s">
        <v>106</v>
      </c>
      <c r="G51" s="72" t="s">
        <v>174</v>
      </c>
      <c r="H51" s="77">
        <v>11</v>
      </c>
      <c r="I51" s="75">
        <v>5</v>
      </c>
      <c r="J51" s="75">
        <v>6</v>
      </c>
      <c r="K51" s="75">
        <v>6</v>
      </c>
      <c r="L51" s="75">
        <v>3</v>
      </c>
      <c r="M51" s="97">
        <v>1308.27</v>
      </c>
      <c r="N51" s="97">
        <v>1308.27</v>
      </c>
      <c r="O51" s="93">
        <f t="shared" si="1"/>
        <v>0</v>
      </c>
      <c r="P51" s="123">
        <v>1</v>
      </c>
      <c r="Q51" s="124">
        <v>1</v>
      </c>
      <c r="R51" s="124">
        <v>1</v>
      </c>
      <c r="S51" s="97">
        <v>728.15</v>
      </c>
      <c r="T51" s="97">
        <v>728.15</v>
      </c>
      <c r="U51" s="97">
        <f t="shared" si="2"/>
        <v>0</v>
      </c>
      <c r="V51" s="135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3" t="s">
        <v>57</v>
      </c>
      <c r="D52" s="100" t="s">
        <v>124</v>
      </c>
      <c r="E52" s="101"/>
      <c r="F52" s="17" t="s">
        <v>106</v>
      </c>
      <c r="G52" s="72" t="s">
        <v>175</v>
      </c>
      <c r="H52" s="77">
        <v>10</v>
      </c>
      <c r="I52" s="75">
        <v>5</v>
      </c>
      <c r="J52" s="75">
        <v>6</v>
      </c>
      <c r="K52" s="75">
        <v>6</v>
      </c>
      <c r="L52" s="75">
        <v>4</v>
      </c>
      <c r="M52" s="97">
        <f>613.9+1710.26</f>
        <v>2324.16</v>
      </c>
      <c r="N52" s="97">
        <f>613.9+1710.26</f>
        <v>2324.16</v>
      </c>
      <c r="O52" s="93">
        <f t="shared" si="1"/>
        <v>0</v>
      </c>
      <c r="P52" s="123">
        <v>5</v>
      </c>
      <c r="Q52" s="124">
        <v>4</v>
      </c>
      <c r="R52" s="124">
        <v>4</v>
      </c>
      <c r="S52" s="97">
        <f>1535.39+1035.3</f>
        <v>2570.69</v>
      </c>
      <c r="T52" s="97">
        <f>1535.39+1035.3</f>
        <v>2570.69</v>
      </c>
      <c r="U52" s="97">
        <f t="shared" si="2"/>
        <v>0</v>
      </c>
      <c r="V52" s="142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3" t="s">
        <v>58</v>
      </c>
      <c r="D53" s="100" t="s">
        <v>124</v>
      </c>
      <c r="E53" s="101"/>
      <c r="F53" s="17" t="s">
        <v>106</v>
      </c>
      <c r="G53" s="72" t="s">
        <v>260</v>
      </c>
      <c r="H53" s="77">
        <v>4</v>
      </c>
      <c r="I53" s="75"/>
      <c r="J53" s="75"/>
      <c r="K53" s="75"/>
      <c r="L53" s="75"/>
      <c r="M53" s="97"/>
      <c r="N53" s="97"/>
      <c r="O53" s="93">
        <f t="shared" si="1"/>
        <v>0</v>
      </c>
      <c r="P53" s="123">
        <v>2</v>
      </c>
      <c r="Q53" s="12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42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3" t="s">
        <v>59</v>
      </c>
      <c r="D54" s="100" t="s">
        <v>124</v>
      </c>
      <c r="E54" s="101"/>
      <c r="F54" s="17" t="s">
        <v>112</v>
      </c>
      <c r="G54" s="72" t="s">
        <v>176</v>
      </c>
      <c r="H54" s="77">
        <v>36</v>
      </c>
      <c r="I54" s="75">
        <v>19</v>
      </c>
      <c r="J54" s="75">
        <v>25</v>
      </c>
      <c r="K54" s="75">
        <v>17</v>
      </c>
      <c r="L54" s="75">
        <v>17</v>
      </c>
      <c r="M54" s="97">
        <f>575.32+6377.18</f>
        <v>6952.5</v>
      </c>
      <c r="N54" s="97">
        <f>575.32+6377.18</f>
        <v>6952.5</v>
      </c>
      <c r="O54" s="93">
        <f t="shared" si="1"/>
        <v>0</v>
      </c>
      <c r="P54" s="123">
        <v>17</v>
      </c>
      <c r="Q54" s="12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42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3" t="s">
        <v>60</v>
      </c>
      <c r="D55" s="100" t="s">
        <v>125</v>
      </c>
      <c r="E55" s="106" t="s">
        <v>126</v>
      </c>
      <c r="F55" s="17" t="s">
        <v>106</v>
      </c>
      <c r="G55" s="72" t="s">
        <v>177</v>
      </c>
      <c r="H55" s="77">
        <v>4</v>
      </c>
      <c r="I55" s="75">
        <v>1</v>
      </c>
      <c r="J55" s="75">
        <v>1</v>
      </c>
      <c r="K55" s="75">
        <v>1</v>
      </c>
      <c r="L55" s="75">
        <v>1</v>
      </c>
      <c r="M55" s="97">
        <v>4023.8</v>
      </c>
      <c r="N55" s="97">
        <v>1887.9</v>
      </c>
      <c r="O55" s="93">
        <f t="shared" si="1"/>
        <v>2135.9</v>
      </c>
      <c r="P55" s="123">
        <v>3</v>
      </c>
      <c r="Q55" s="12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42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1" t="s">
        <v>61</v>
      </c>
      <c r="D56" s="100" t="s">
        <v>124</v>
      </c>
      <c r="E56" s="101"/>
      <c r="F56" s="17" t="s">
        <v>107</v>
      </c>
      <c r="G56" s="72" t="s">
        <v>178</v>
      </c>
      <c r="H56" s="77">
        <v>29</v>
      </c>
      <c r="I56" s="75">
        <v>16</v>
      </c>
      <c r="J56" s="75">
        <v>18</v>
      </c>
      <c r="K56" s="75">
        <v>18</v>
      </c>
      <c r="L56" s="75">
        <v>13</v>
      </c>
      <c r="M56" s="97">
        <f>2880.54+7232.73</f>
        <v>10113.27</v>
      </c>
      <c r="N56" s="97">
        <f>2880.54+7232.73</f>
        <v>10113.27</v>
      </c>
      <c r="O56" s="93">
        <f t="shared" si="1"/>
        <v>0</v>
      </c>
      <c r="P56" s="123">
        <v>29</v>
      </c>
      <c r="Q56" s="124">
        <v>29</v>
      </c>
      <c r="R56" s="124">
        <v>24</v>
      </c>
      <c r="S56" s="97">
        <f>35028.07+10662.98</f>
        <v>45691.05</v>
      </c>
      <c r="T56" s="97">
        <f>35028.07+10662.98</f>
        <v>45691.05</v>
      </c>
      <c r="U56" s="97">
        <f t="shared" si="2"/>
        <v>0</v>
      </c>
      <c r="V56" s="14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1" t="s">
        <v>134</v>
      </c>
      <c r="D57" s="100" t="s">
        <v>124</v>
      </c>
      <c r="E57" s="101"/>
      <c r="F57" s="17" t="s">
        <v>112</v>
      </c>
      <c r="G57" s="72" t="s">
        <v>179</v>
      </c>
      <c r="H57" s="77">
        <v>14</v>
      </c>
      <c r="I57" s="75">
        <v>4</v>
      </c>
      <c r="J57" s="75">
        <v>4</v>
      </c>
      <c r="K57" s="75">
        <v>3</v>
      </c>
      <c r="L57" s="75">
        <v>3</v>
      </c>
      <c r="M57" s="97">
        <v>1200.96</v>
      </c>
      <c r="N57" s="97"/>
      <c r="O57" s="93">
        <f t="shared" si="1"/>
        <v>1200.96</v>
      </c>
      <c r="P57" s="123"/>
      <c r="Q57" s="124"/>
      <c r="R57" s="124"/>
      <c r="S57" s="97"/>
      <c r="T57" s="97"/>
      <c r="U57" s="97">
        <f t="shared" si="2"/>
        <v>0</v>
      </c>
      <c r="V57" s="14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1" t="s">
        <v>62</v>
      </c>
      <c r="D58" s="100" t="s">
        <v>124</v>
      </c>
      <c r="E58" s="101"/>
      <c r="F58" s="17" t="s">
        <v>106</v>
      </c>
      <c r="G58" s="72" t="s">
        <v>230</v>
      </c>
      <c r="H58" s="77"/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97"/>
      <c r="U58" s="97">
        <f t="shared" si="2"/>
        <v>0</v>
      </c>
      <c r="V58" s="14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1" t="s">
        <v>63</v>
      </c>
      <c r="D59" s="100" t="s">
        <v>124</v>
      </c>
      <c r="E59" s="101"/>
      <c r="F59" s="22" t="s">
        <v>112</v>
      </c>
      <c r="G59" s="72" t="s">
        <v>224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97"/>
      <c r="U59" s="97">
        <f t="shared" si="2"/>
        <v>0</v>
      </c>
      <c r="V59" s="14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1" t="s">
        <v>64</v>
      </c>
      <c r="D60" s="100" t="s">
        <v>124</v>
      </c>
      <c r="E60" s="101"/>
      <c r="F60" s="22" t="s">
        <v>107</v>
      </c>
      <c r="G60" s="72" t="s">
        <v>180</v>
      </c>
      <c r="H60" s="77">
        <v>29</v>
      </c>
      <c r="I60" s="75">
        <v>14</v>
      </c>
      <c r="J60" s="75">
        <v>22</v>
      </c>
      <c r="K60" s="75">
        <v>21</v>
      </c>
      <c r="L60" s="75">
        <v>21</v>
      </c>
      <c r="M60" s="97">
        <v>19367.669999999998</v>
      </c>
      <c r="N60" s="97">
        <f>4967.08+2976.17+4153.2</f>
        <v>12096.45</v>
      </c>
      <c r="O60" s="93">
        <f t="shared" si="1"/>
        <v>7271.2199999999975</v>
      </c>
      <c r="P60" s="123">
        <v>6</v>
      </c>
      <c r="Q60" s="124">
        <v>6</v>
      </c>
      <c r="R60" s="124">
        <v>6</v>
      </c>
      <c r="S60" s="97">
        <v>7737.36</v>
      </c>
      <c r="T60" s="97">
        <v>6524.72</v>
      </c>
      <c r="U60" s="97">
        <f t="shared" si="2"/>
        <v>1212.6399999999994</v>
      </c>
      <c r="V60" s="14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1" t="s">
        <v>135</v>
      </c>
      <c r="D61" s="100" t="s">
        <v>124</v>
      </c>
      <c r="E61" s="101"/>
      <c r="F61" s="22" t="s">
        <v>111</v>
      </c>
      <c r="G61" s="72" t="s">
        <v>181</v>
      </c>
      <c r="H61" s="77">
        <v>9</v>
      </c>
      <c r="I61" s="75">
        <v>5</v>
      </c>
      <c r="J61" s="75">
        <v>6</v>
      </c>
      <c r="K61" s="75">
        <v>4</v>
      </c>
      <c r="L61" s="75">
        <v>4</v>
      </c>
      <c r="M61" s="97">
        <v>2862.11</v>
      </c>
      <c r="N61" s="97">
        <v>1098.6400000000001</v>
      </c>
      <c r="O61" s="93">
        <f t="shared" si="1"/>
        <v>1763.47</v>
      </c>
      <c r="P61" s="123"/>
      <c r="Q61" s="124"/>
      <c r="R61" s="124"/>
      <c r="S61" s="97"/>
      <c r="T61" s="97"/>
      <c r="U61" s="97">
        <f t="shared" si="2"/>
        <v>0</v>
      </c>
      <c r="V61" s="14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3" t="s">
        <v>65</v>
      </c>
      <c r="D62" s="100" t="s">
        <v>124</v>
      </c>
      <c r="E62" s="101"/>
      <c r="F62" s="17" t="s">
        <v>106</v>
      </c>
      <c r="G62" s="72" t="s">
        <v>182</v>
      </c>
      <c r="H62" s="77">
        <v>12</v>
      </c>
      <c r="I62" s="75">
        <v>2</v>
      </c>
      <c r="J62" s="75">
        <v>2</v>
      </c>
      <c r="K62" s="75">
        <v>2</v>
      </c>
      <c r="L62" s="75">
        <v>2</v>
      </c>
      <c r="M62" s="97">
        <f>1263.45+2111.32</f>
        <v>3374.7700000000004</v>
      </c>
      <c r="N62" s="97">
        <f>1263.45+2111.32</f>
        <v>3374.7700000000004</v>
      </c>
      <c r="O62" s="93">
        <f t="shared" si="1"/>
        <v>0</v>
      </c>
      <c r="P62" s="123">
        <v>6</v>
      </c>
      <c r="Q62" s="124">
        <v>6</v>
      </c>
      <c r="R62" s="124">
        <v>6</v>
      </c>
      <c r="S62" s="97">
        <f>740.14+4736.32</f>
        <v>5476.46</v>
      </c>
      <c r="T62" s="97">
        <f>740.14+4736.32</f>
        <v>5476.46</v>
      </c>
      <c r="U62" s="97">
        <f t="shared" si="2"/>
        <v>0</v>
      </c>
    </row>
    <row r="63" spans="1:40" ht="20.100000000000001" customHeight="1" x14ac:dyDescent="0.25">
      <c r="B63" s="99">
        <f t="shared" si="3"/>
        <v>54</v>
      </c>
      <c r="C63" s="13" t="s">
        <v>66</v>
      </c>
      <c r="D63" s="100" t="s">
        <v>124</v>
      </c>
      <c r="E63" s="101"/>
      <c r="F63" s="17" t="s">
        <v>112</v>
      </c>
      <c r="G63" s="72" t="s">
        <v>227</v>
      </c>
      <c r="H63" s="77"/>
      <c r="I63" s="75"/>
      <c r="J63" s="75"/>
      <c r="K63" s="75"/>
      <c r="L63" s="75"/>
      <c r="M63" s="97">
        <v>482.3</v>
      </c>
      <c r="N63" s="97"/>
      <c r="O63" s="93">
        <f t="shared" si="1"/>
        <v>482.3</v>
      </c>
      <c r="P63" s="123">
        <v>28</v>
      </c>
      <c r="Q63" s="124">
        <v>28</v>
      </c>
      <c r="R63" s="124">
        <v>28</v>
      </c>
      <c r="S63" s="97">
        <v>9392.68</v>
      </c>
      <c r="T63" s="97">
        <v>3232.69</v>
      </c>
      <c r="U63" s="97">
        <f t="shared" si="2"/>
        <v>6159.99</v>
      </c>
    </row>
    <row r="64" spans="1:40" ht="20.100000000000001" customHeight="1" x14ac:dyDescent="0.25">
      <c r="A64" s="155">
        <v>50</v>
      </c>
      <c r="B64" s="99">
        <f t="shared" si="3"/>
        <v>55</v>
      </c>
      <c r="C64" s="10" t="s">
        <v>67</v>
      </c>
      <c r="D64" s="100" t="s">
        <v>124</v>
      </c>
      <c r="E64" s="101"/>
      <c r="F64" s="17" t="s">
        <v>106</v>
      </c>
      <c r="G64" s="72" t="s">
        <v>183</v>
      </c>
      <c r="H64" s="77">
        <v>17</v>
      </c>
      <c r="I64" s="75">
        <v>6</v>
      </c>
      <c r="J64" s="75">
        <v>7</v>
      </c>
      <c r="K64" s="75">
        <v>7</v>
      </c>
      <c r="L64" s="75">
        <v>7</v>
      </c>
      <c r="M64" s="97">
        <v>4540.7700000000004</v>
      </c>
      <c r="N64" s="97">
        <v>2495.13</v>
      </c>
      <c r="O64" s="93">
        <f t="shared" si="1"/>
        <v>2045.6400000000003</v>
      </c>
      <c r="P64" s="123">
        <v>8</v>
      </c>
      <c r="Q64" s="124">
        <v>8</v>
      </c>
      <c r="R64" s="124">
        <v>8</v>
      </c>
      <c r="S64" s="97">
        <v>5100.46</v>
      </c>
      <c r="T64" s="97">
        <v>3377.96</v>
      </c>
      <c r="U64" s="97">
        <f t="shared" si="2"/>
        <v>1722.5</v>
      </c>
    </row>
    <row r="65" spans="1:21" ht="20.100000000000001" customHeight="1" x14ac:dyDescent="0.25">
      <c r="A65" s="155">
        <v>51</v>
      </c>
      <c r="B65" s="99">
        <f t="shared" si="3"/>
        <v>56</v>
      </c>
      <c r="C65" s="10" t="s">
        <v>68</v>
      </c>
      <c r="D65" s="100" t="s">
        <v>124</v>
      </c>
      <c r="E65" s="101"/>
      <c r="F65" s="17" t="s">
        <v>111</v>
      </c>
      <c r="G65" s="72" t="s">
        <v>184</v>
      </c>
      <c r="H65" s="77">
        <v>22</v>
      </c>
      <c r="I65" s="75">
        <v>16</v>
      </c>
      <c r="J65" s="75">
        <v>20</v>
      </c>
      <c r="K65" s="75">
        <v>17</v>
      </c>
      <c r="L65" s="75">
        <v>9</v>
      </c>
      <c r="M65" s="97">
        <f>620.1+6964.42</f>
        <v>7584.52</v>
      </c>
      <c r="N65" s="97">
        <f>620.1+6964.42</f>
        <v>7584.52</v>
      </c>
      <c r="O65" s="93">
        <f t="shared" si="1"/>
        <v>0</v>
      </c>
      <c r="P65" s="123">
        <v>10</v>
      </c>
      <c r="Q65" s="124">
        <v>10</v>
      </c>
      <c r="R65" s="124">
        <v>8</v>
      </c>
      <c r="S65" s="97">
        <v>5363.21</v>
      </c>
      <c r="T65" s="97">
        <v>5363.21</v>
      </c>
      <c r="U65" s="97">
        <f t="shared" si="2"/>
        <v>0</v>
      </c>
    </row>
    <row r="66" spans="1:21" ht="20.100000000000001" customHeight="1" x14ac:dyDescent="0.25">
      <c r="A66" s="155">
        <v>52</v>
      </c>
      <c r="B66" s="99">
        <f t="shared" si="3"/>
        <v>57</v>
      </c>
      <c r="C66" s="13" t="s">
        <v>69</v>
      </c>
      <c r="D66" s="100" t="s">
        <v>124</v>
      </c>
      <c r="E66" s="101"/>
      <c r="F66" s="17" t="s">
        <v>106</v>
      </c>
      <c r="G66" s="72" t="s">
        <v>185</v>
      </c>
      <c r="H66" s="77">
        <v>3</v>
      </c>
      <c r="I66" s="75">
        <v>2</v>
      </c>
      <c r="J66" s="75">
        <v>3</v>
      </c>
      <c r="K66" s="75">
        <v>3</v>
      </c>
      <c r="L66" s="75">
        <v>3</v>
      </c>
      <c r="M66" s="97">
        <f>463.83+1653.6</f>
        <v>2117.4299999999998</v>
      </c>
      <c r="N66" s="97">
        <f>463.83+1653.6</f>
        <v>2117.4299999999998</v>
      </c>
      <c r="O66" s="93">
        <f t="shared" si="1"/>
        <v>0</v>
      </c>
      <c r="P66" s="123">
        <v>4</v>
      </c>
      <c r="Q66" s="12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</row>
    <row r="67" spans="1:21" ht="20.100000000000001" customHeight="1" x14ac:dyDescent="0.25">
      <c r="A67" s="155">
        <v>53</v>
      </c>
      <c r="B67" s="99">
        <f t="shared" si="3"/>
        <v>58</v>
      </c>
      <c r="C67" s="11" t="s">
        <v>70</v>
      </c>
      <c r="D67" s="100" t="s">
        <v>124</v>
      </c>
      <c r="E67" s="101"/>
      <c r="F67" s="17" t="s">
        <v>107</v>
      </c>
      <c r="G67" s="72" t="s">
        <v>186</v>
      </c>
      <c r="H67" s="77">
        <v>26</v>
      </c>
      <c r="I67" s="75">
        <v>20</v>
      </c>
      <c r="J67" s="75">
        <v>25</v>
      </c>
      <c r="K67" s="75">
        <v>25</v>
      </c>
      <c r="L67" s="75">
        <v>24</v>
      </c>
      <c r="M67" s="97">
        <v>19710.93</v>
      </c>
      <c r="N67" s="97">
        <f>6122.06+2634.24+3593.96+1078.5</f>
        <v>13428.759999999998</v>
      </c>
      <c r="O67" s="93">
        <f t="shared" si="1"/>
        <v>6282.1700000000019</v>
      </c>
      <c r="P67" s="123">
        <v>8</v>
      </c>
      <c r="Q67" s="124">
        <v>7</v>
      </c>
      <c r="R67" s="124">
        <v>7</v>
      </c>
      <c r="S67" s="97">
        <f>1207.07+5904.8</f>
        <v>7111.87</v>
      </c>
      <c r="T67" s="97">
        <f>1207.07+5904.8</f>
        <v>7111.87</v>
      </c>
      <c r="U67" s="97">
        <f t="shared" si="2"/>
        <v>0</v>
      </c>
    </row>
    <row r="68" spans="1:21" ht="20.100000000000001" customHeight="1" x14ac:dyDescent="0.25">
      <c r="A68" s="155">
        <v>54</v>
      </c>
      <c r="B68" s="99">
        <f t="shared" si="3"/>
        <v>59</v>
      </c>
      <c r="C68" s="11" t="s">
        <v>71</v>
      </c>
      <c r="D68" s="100" t="s">
        <v>124</v>
      </c>
      <c r="E68" s="101"/>
      <c r="F68" s="17" t="s">
        <v>117</v>
      </c>
      <c r="G68" s="72" t="s">
        <v>187</v>
      </c>
      <c r="H68" s="77">
        <v>22</v>
      </c>
      <c r="I68" s="75">
        <v>17</v>
      </c>
      <c r="J68" s="75">
        <v>26</v>
      </c>
      <c r="K68" s="75">
        <v>26</v>
      </c>
      <c r="L68" s="75">
        <v>26</v>
      </c>
      <c r="M68" s="97">
        <v>18750.75</v>
      </c>
      <c r="N68" s="97">
        <f>4665.7+7448.87</f>
        <v>12114.57</v>
      </c>
      <c r="O68" s="93">
        <f t="shared" si="1"/>
        <v>6636.18</v>
      </c>
      <c r="P68" s="123">
        <v>10</v>
      </c>
      <c r="Q68" s="124">
        <v>10</v>
      </c>
      <c r="R68" s="124">
        <v>10</v>
      </c>
      <c r="S68" s="97">
        <v>6249.15</v>
      </c>
      <c r="T68" s="97">
        <v>6249.15</v>
      </c>
      <c r="U68" s="97">
        <f t="shared" si="2"/>
        <v>0</v>
      </c>
    </row>
    <row r="69" spans="1:21" ht="20.100000000000001" customHeight="1" x14ac:dyDescent="0.25">
      <c r="A69" s="155">
        <v>55</v>
      </c>
      <c r="B69" s="99">
        <f t="shared" si="3"/>
        <v>60</v>
      </c>
      <c r="C69" s="11" t="s">
        <v>72</v>
      </c>
      <c r="D69" s="100" t="s">
        <v>125</v>
      </c>
      <c r="E69" s="106" t="s">
        <v>126</v>
      </c>
      <c r="F69" s="17" t="s">
        <v>106</v>
      </c>
      <c r="G69" s="72" t="s">
        <v>188</v>
      </c>
      <c r="H69" s="77">
        <v>5</v>
      </c>
      <c r="I69" s="75">
        <v>2</v>
      </c>
      <c r="J69" s="75">
        <v>2</v>
      </c>
      <c r="K69" s="75">
        <v>2</v>
      </c>
      <c r="L69" s="75">
        <v>2</v>
      </c>
      <c r="M69" s="97">
        <v>1722.5</v>
      </c>
      <c r="N69" s="97"/>
      <c r="O69" s="93">
        <f t="shared" si="1"/>
        <v>1722.5</v>
      </c>
      <c r="P69" s="123"/>
      <c r="Q69" s="124"/>
      <c r="R69" s="124"/>
      <c r="S69" s="97"/>
      <c r="T69" s="97"/>
      <c r="U69" s="97">
        <f t="shared" si="2"/>
        <v>0</v>
      </c>
    </row>
    <row r="70" spans="1:21" ht="20.100000000000001" customHeight="1" x14ac:dyDescent="0.25">
      <c r="A70" s="155">
        <v>56</v>
      </c>
      <c r="B70" s="99">
        <f t="shared" si="3"/>
        <v>61</v>
      </c>
      <c r="C70" s="10" t="s">
        <v>73</v>
      </c>
      <c r="D70" s="100" t="s">
        <v>124</v>
      </c>
      <c r="E70" s="101"/>
      <c r="F70" s="17" t="s">
        <v>106</v>
      </c>
      <c r="G70" s="72" t="s">
        <v>189</v>
      </c>
      <c r="H70" s="77">
        <v>7</v>
      </c>
      <c r="I70" s="75">
        <v>2</v>
      </c>
      <c r="J70" s="75">
        <v>2</v>
      </c>
      <c r="K70" s="75">
        <v>2</v>
      </c>
      <c r="L70" s="75"/>
      <c r="M70" s="97"/>
      <c r="N70" s="97"/>
      <c r="O70" s="93">
        <f t="shared" si="1"/>
        <v>0</v>
      </c>
      <c r="P70" s="123">
        <v>1</v>
      </c>
      <c r="Q70" s="124">
        <v>1</v>
      </c>
      <c r="R70" s="124">
        <v>1</v>
      </c>
      <c r="S70" s="97">
        <v>551.20000000000005</v>
      </c>
      <c r="T70" s="97">
        <v>551.20000000000005</v>
      </c>
      <c r="U70" s="97">
        <f t="shared" si="2"/>
        <v>0</v>
      </c>
    </row>
    <row r="71" spans="1:21" ht="20.100000000000001" customHeight="1" x14ac:dyDescent="0.25">
      <c r="A71" s="155">
        <v>57</v>
      </c>
      <c r="B71" s="99">
        <f t="shared" si="3"/>
        <v>62</v>
      </c>
      <c r="C71" s="11" t="s">
        <v>74</v>
      </c>
      <c r="D71" s="100" t="s">
        <v>124</v>
      </c>
      <c r="E71" s="101"/>
      <c r="F71" s="17" t="s">
        <v>111</v>
      </c>
      <c r="G71" s="72" t="s">
        <v>190</v>
      </c>
      <c r="H71" s="77">
        <v>14</v>
      </c>
      <c r="I71" s="75">
        <v>4</v>
      </c>
      <c r="J71" s="75">
        <v>4</v>
      </c>
      <c r="K71" s="75">
        <v>3</v>
      </c>
      <c r="L71" s="75">
        <v>2</v>
      </c>
      <c r="M71" s="97">
        <v>2228.5</v>
      </c>
      <c r="N71" s="97">
        <v>2228.5</v>
      </c>
      <c r="O71" s="93">
        <f t="shared" si="1"/>
        <v>0</v>
      </c>
      <c r="P71" s="123">
        <v>22</v>
      </c>
      <c r="Q71" s="124">
        <v>21</v>
      </c>
      <c r="R71" s="124">
        <v>17</v>
      </c>
      <c r="S71" s="97">
        <f>27744.56+14819.18</f>
        <v>42563.740000000005</v>
      </c>
      <c r="T71" s="97">
        <f>27744.56+14819.18</f>
        <v>42563.740000000005</v>
      </c>
      <c r="U71" s="97">
        <f t="shared" si="2"/>
        <v>0</v>
      </c>
    </row>
    <row r="72" spans="1:21" ht="20.100000000000001" customHeight="1" x14ac:dyDescent="0.25">
      <c r="A72" s="155">
        <v>58</v>
      </c>
      <c r="B72" s="99">
        <f t="shared" si="3"/>
        <v>63</v>
      </c>
      <c r="C72" s="11" t="s">
        <v>75</v>
      </c>
      <c r="D72" s="100" t="s">
        <v>124</v>
      </c>
      <c r="E72" s="101"/>
      <c r="F72" s="17" t="s">
        <v>118</v>
      </c>
      <c r="G72" s="72" t="s">
        <v>191</v>
      </c>
      <c r="H72" s="77">
        <v>6</v>
      </c>
      <c r="I72" s="75">
        <v>3</v>
      </c>
      <c r="J72" s="75">
        <v>4</v>
      </c>
      <c r="K72" s="75">
        <v>3</v>
      </c>
      <c r="L72" s="75">
        <v>2</v>
      </c>
      <c r="M72" s="97">
        <v>1163.72</v>
      </c>
      <c r="N72" s="97">
        <v>1163.72</v>
      </c>
      <c r="O72" s="93">
        <f t="shared" si="1"/>
        <v>0</v>
      </c>
      <c r="P72" s="123">
        <v>7</v>
      </c>
      <c r="Q72" s="12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</row>
    <row r="73" spans="1:21" ht="20.100000000000001" customHeight="1" x14ac:dyDescent="0.25">
      <c r="A73" s="155">
        <v>59</v>
      </c>
      <c r="B73" s="99">
        <f t="shared" si="3"/>
        <v>64</v>
      </c>
      <c r="C73" s="10" t="s">
        <v>76</v>
      </c>
      <c r="D73" s="100" t="s">
        <v>124</v>
      </c>
      <c r="E73" s="101"/>
      <c r="F73" s="10" t="s">
        <v>105</v>
      </c>
      <c r="G73" s="72" t="s">
        <v>192</v>
      </c>
      <c r="H73" s="77">
        <v>10</v>
      </c>
      <c r="I73" s="75">
        <v>4</v>
      </c>
      <c r="J73" s="75">
        <v>4</v>
      </c>
      <c r="K73" s="75">
        <v>4</v>
      </c>
      <c r="L73" s="75">
        <v>4</v>
      </c>
      <c r="M73" s="97">
        <v>2095.52</v>
      </c>
      <c r="N73" s="97">
        <v>507.1</v>
      </c>
      <c r="O73" s="93">
        <f t="shared" si="1"/>
        <v>1588.42</v>
      </c>
      <c r="P73" s="123">
        <v>3</v>
      </c>
      <c r="Q73" s="124">
        <v>3</v>
      </c>
      <c r="R73" s="124">
        <v>3</v>
      </c>
      <c r="S73" s="97">
        <v>1821.06</v>
      </c>
      <c r="T73" s="97">
        <v>1821.06</v>
      </c>
      <c r="U73" s="97">
        <f t="shared" si="2"/>
        <v>0</v>
      </c>
    </row>
    <row r="74" spans="1:21" ht="20.100000000000001" customHeight="1" x14ac:dyDescent="0.25">
      <c r="B74" s="99">
        <f t="shared" si="3"/>
        <v>65</v>
      </c>
      <c r="C74" s="11" t="s">
        <v>77</v>
      </c>
      <c r="D74" s="100" t="s">
        <v>124</v>
      </c>
      <c r="E74" s="101"/>
      <c r="F74" s="10" t="s">
        <v>111</v>
      </c>
      <c r="G74" s="72" t="s">
        <v>225</v>
      </c>
      <c r="H74" s="77"/>
      <c r="I74" s="75"/>
      <c r="J74" s="75"/>
      <c r="K74" s="75"/>
      <c r="L74" s="75"/>
      <c r="M74" s="97"/>
      <c r="N74" s="97"/>
      <c r="O74" s="93">
        <f t="shared" si="1"/>
        <v>0</v>
      </c>
      <c r="P74" s="123">
        <v>1</v>
      </c>
      <c r="Q74" s="12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</row>
    <row r="75" spans="1:21" ht="20.100000000000001" customHeight="1" x14ac:dyDescent="0.25">
      <c r="A75" s="155">
        <v>60</v>
      </c>
      <c r="B75" s="99">
        <f t="shared" si="3"/>
        <v>66</v>
      </c>
      <c r="C75" s="10" t="s">
        <v>78</v>
      </c>
      <c r="D75" s="100" t="s">
        <v>124</v>
      </c>
      <c r="E75" s="101"/>
      <c r="F75" s="23" t="s">
        <v>119</v>
      </c>
      <c r="G75" s="72" t="s">
        <v>193</v>
      </c>
      <c r="H75" s="77">
        <v>6</v>
      </c>
      <c r="I75" s="75"/>
      <c r="J75" s="75"/>
      <c r="K75" s="75"/>
      <c r="L75" s="75"/>
      <c r="M75" s="97"/>
      <c r="N75" s="97"/>
      <c r="O75" s="93">
        <f t="shared" ref="O75:O104" si="4" xml:space="preserve"> (M75-N75)</f>
        <v>0</v>
      </c>
      <c r="P75" s="123">
        <v>2</v>
      </c>
      <c r="Q75" s="124">
        <v>2</v>
      </c>
      <c r="R75" s="124">
        <v>2</v>
      </c>
      <c r="S75" s="97">
        <v>617.03</v>
      </c>
      <c r="T75" s="97">
        <v>617.03</v>
      </c>
      <c r="U75" s="97">
        <f t="shared" ref="U75:U104" si="5" xml:space="preserve"> (S75-T75)</f>
        <v>0</v>
      </c>
    </row>
    <row r="76" spans="1:21" ht="20.100000000000001" customHeight="1" x14ac:dyDescent="0.25">
      <c r="A76" s="155">
        <v>61</v>
      </c>
      <c r="B76" s="99">
        <f t="shared" ref="B76:B101" si="6">B75+1</f>
        <v>67</v>
      </c>
      <c r="C76" s="11" t="s">
        <v>79</v>
      </c>
      <c r="D76" s="100" t="s">
        <v>124</v>
      </c>
      <c r="E76" s="101"/>
      <c r="F76" s="17" t="s">
        <v>106</v>
      </c>
      <c r="G76" s="72" t="s">
        <v>194</v>
      </c>
      <c r="H76" s="77">
        <v>19</v>
      </c>
      <c r="I76" s="75">
        <v>7</v>
      </c>
      <c r="J76" s="75">
        <v>11</v>
      </c>
      <c r="K76" s="75">
        <v>11</v>
      </c>
      <c r="L76" s="75">
        <v>8</v>
      </c>
      <c r="M76" s="97">
        <f>1065.4+3931.58</f>
        <v>4996.9799999999996</v>
      </c>
      <c r="N76" s="97">
        <f>1065.4+3931.58</f>
        <v>4996.9799999999996</v>
      </c>
      <c r="O76" s="93">
        <f t="shared" si="4"/>
        <v>0</v>
      </c>
      <c r="P76" s="123">
        <v>5</v>
      </c>
      <c r="Q76" s="124">
        <v>5</v>
      </c>
      <c r="R76" s="124">
        <v>4</v>
      </c>
      <c r="S76" s="97">
        <f>2337.1+1182.32</f>
        <v>3519.42</v>
      </c>
      <c r="T76" s="97">
        <f>2337.1+1182.32</f>
        <v>3519.42</v>
      </c>
      <c r="U76" s="97">
        <f t="shared" si="5"/>
        <v>0</v>
      </c>
    </row>
    <row r="77" spans="1:21" ht="20.100000000000001" customHeight="1" x14ac:dyDescent="0.25">
      <c r="A77" s="155">
        <v>62</v>
      </c>
      <c r="B77" s="99">
        <f t="shared" si="6"/>
        <v>68</v>
      </c>
      <c r="C77" s="11" t="s">
        <v>80</v>
      </c>
      <c r="D77" s="100" t="s">
        <v>124</v>
      </c>
      <c r="E77" s="101"/>
      <c r="F77" s="17" t="s">
        <v>106</v>
      </c>
      <c r="G77" s="72" t="s">
        <v>195</v>
      </c>
      <c r="H77" s="77">
        <v>11</v>
      </c>
      <c r="I77" s="75">
        <v>3</v>
      </c>
      <c r="J77" s="75">
        <v>3</v>
      </c>
      <c r="K77" s="75">
        <v>3</v>
      </c>
      <c r="L77" s="75">
        <v>2</v>
      </c>
      <c r="M77" s="97">
        <f>3034.57</f>
        <v>3034.57</v>
      </c>
      <c r="N77" s="97">
        <f>3034.57</f>
        <v>3034.57</v>
      </c>
      <c r="O77" s="93">
        <f t="shared" si="4"/>
        <v>0</v>
      </c>
      <c r="P77" s="123"/>
      <c r="Q77" s="124"/>
      <c r="R77" s="124"/>
      <c r="S77" s="97"/>
      <c r="T77" s="97"/>
      <c r="U77" s="97">
        <f t="shared" si="5"/>
        <v>0</v>
      </c>
    </row>
    <row r="78" spans="1:21" ht="20.100000000000001" customHeight="1" x14ac:dyDescent="0.25">
      <c r="B78" s="99">
        <f t="shared" si="6"/>
        <v>69</v>
      </c>
      <c r="C78" s="14" t="s">
        <v>81</v>
      </c>
      <c r="D78" s="100" t="s">
        <v>124</v>
      </c>
      <c r="E78" s="101"/>
      <c r="F78" s="10" t="s">
        <v>106</v>
      </c>
      <c r="G78" s="72" t="s">
        <v>226</v>
      </c>
      <c r="H78" s="77"/>
      <c r="I78" s="75"/>
      <c r="J78" s="75"/>
      <c r="K78" s="75"/>
      <c r="L78" s="75"/>
      <c r="M78" s="97"/>
      <c r="N78" s="97"/>
      <c r="O78" s="93">
        <f t="shared" si="4"/>
        <v>0</v>
      </c>
      <c r="P78" s="123">
        <v>8</v>
      </c>
      <c r="Q78" s="12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</row>
    <row r="79" spans="1:21" ht="20.100000000000001" customHeight="1" x14ac:dyDescent="0.25">
      <c r="A79" s="155">
        <v>63</v>
      </c>
      <c r="B79" s="99">
        <f t="shared" si="6"/>
        <v>70</v>
      </c>
      <c r="C79" s="14" t="s">
        <v>82</v>
      </c>
      <c r="D79" s="100" t="s">
        <v>124</v>
      </c>
      <c r="E79" s="101"/>
      <c r="F79" s="10" t="s">
        <v>106</v>
      </c>
      <c r="G79" s="72" t="s">
        <v>196</v>
      </c>
      <c r="H79" s="77">
        <v>13</v>
      </c>
      <c r="I79" s="75">
        <v>6</v>
      </c>
      <c r="J79" s="75">
        <v>8</v>
      </c>
      <c r="K79" s="75">
        <v>8</v>
      </c>
      <c r="L79" s="75">
        <v>8</v>
      </c>
      <c r="M79" s="97">
        <v>7843.78</v>
      </c>
      <c r="N79" s="97">
        <f>272.84+664.75</f>
        <v>937.58999999999992</v>
      </c>
      <c r="O79" s="93">
        <f t="shared" si="4"/>
        <v>6906.19</v>
      </c>
      <c r="P79" s="123">
        <v>1</v>
      </c>
      <c r="Q79" s="124">
        <v>1</v>
      </c>
      <c r="R79" s="124">
        <v>1</v>
      </c>
      <c r="S79" s="97">
        <v>275.60000000000002</v>
      </c>
      <c r="T79" s="97">
        <v>275.60000000000002</v>
      </c>
      <c r="U79" s="97">
        <f t="shared" si="5"/>
        <v>0</v>
      </c>
    </row>
    <row r="80" spans="1:21" ht="20.100000000000001" customHeight="1" x14ac:dyDescent="0.25">
      <c r="A80" s="155">
        <v>64</v>
      </c>
      <c r="B80" s="99">
        <f t="shared" si="6"/>
        <v>71</v>
      </c>
      <c r="C80" s="14" t="s">
        <v>83</v>
      </c>
      <c r="D80" s="100" t="s">
        <v>124</v>
      </c>
      <c r="E80" s="101"/>
      <c r="F80" s="10" t="s">
        <v>106</v>
      </c>
      <c r="G80" s="72" t="s">
        <v>197</v>
      </c>
      <c r="H80" s="77">
        <v>13</v>
      </c>
      <c r="I80" s="75">
        <v>6</v>
      </c>
      <c r="J80" s="75">
        <v>6</v>
      </c>
      <c r="K80" s="75">
        <v>6</v>
      </c>
      <c r="L80" s="75">
        <v>6</v>
      </c>
      <c r="M80" s="97">
        <v>6798.08</v>
      </c>
      <c r="N80" s="97">
        <f>531.74+1660.98</f>
        <v>2192.7200000000003</v>
      </c>
      <c r="O80" s="93">
        <f t="shared" si="4"/>
        <v>4605.3599999999997</v>
      </c>
      <c r="P80" s="123">
        <v>7</v>
      </c>
      <c r="Q80" s="124">
        <v>7</v>
      </c>
      <c r="R80" s="124">
        <v>7</v>
      </c>
      <c r="S80" s="97">
        <v>13554.7</v>
      </c>
      <c r="T80" s="97">
        <f>12327.43+413.4</f>
        <v>12740.83</v>
      </c>
      <c r="U80" s="97">
        <f t="shared" si="5"/>
        <v>813.8700000000008</v>
      </c>
    </row>
    <row r="81" spans="1:21" ht="20.100000000000001" customHeight="1" x14ac:dyDescent="0.25">
      <c r="A81" s="155">
        <v>65</v>
      </c>
      <c r="B81" s="99">
        <f t="shared" si="6"/>
        <v>72</v>
      </c>
      <c r="C81" s="11" t="s">
        <v>84</v>
      </c>
      <c r="D81" s="100" t="s">
        <v>124</v>
      </c>
      <c r="E81" s="101"/>
      <c r="F81" s="10" t="s">
        <v>120</v>
      </c>
      <c r="G81" s="72" t="s">
        <v>198</v>
      </c>
      <c r="H81" s="77">
        <v>1</v>
      </c>
      <c r="I81" s="75"/>
      <c r="J81" s="75"/>
      <c r="K81" s="75"/>
      <c r="L81" s="75"/>
      <c r="M81" s="97"/>
      <c r="N81" s="97"/>
      <c r="O81" s="93">
        <f t="shared" si="4"/>
        <v>0</v>
      </c>
      <c r="P81" s="123"/>
      <c r="Q81" s="124"/>
      <c r="R81" s="124"/>
      <c r="S81" s="97"/>
      <c r="T81" s="97"/>
      <c r="U81" s="97">
        <f t="shared" si="5"/>
        <v>0</v>
      </c>
    </row>
    <row r="82" spans="1:21" ht="20.100000000000001" customHeight="1" x14ac:dyDescent="0.25">
      <c r="A82" s="155">
        <v>66</v>
      </c>
      <c r="B82" s="99">
        <f t="shared" si="6"/>
        <v>73</v>
      </c>
      <c r="C82" s="13" t="s">
        <v>85</v>
      </c>
      <c r="D82" s="100" t="s">
        <v>124</v>
      </c>
      <c r="E82" s="101"/>
      <c r="F82" s="19" t="s">
        <v>106</v>
      </c>
      <c r="G82" s="72" t="s">
        <v>199</v>
      </c>
      <c r="H82" s="77">
        <v>14</v>
      </c>
      <c r="I82" s="75">
        <v>5</v>
      </c>
      <c r="J82" s="75">
        <v>5</v>
      </c>
      <c r="K82" s="75">
        <v>5</v>
      </c>
      <c r="L82" s="75">
        <v>4</v>
      </c>
      <c r="M82" s="97">
        <v>2282.25</v>
      </c>
      <c r="N82" s="97">
        <v>2282.25</v>
      </c>
      <c r="O82" s="93">
        <f t="shared" si="4"/>
        <v>0</v>
      </c>
      <c r="P82" s="123">
        <v>6</v>
      </c>
      <c r="Q82" s="124">
        <v>6</v>
      </c>
      <c r="R82" s="124">
        <v>6</v>
      </c>
      <c r="S82" s="97">
        <f>15935.59+881.06</f>
        <v>16816.650000000001</v>
      </c>
      <c r="T82" s="97">
        <f>15935.59+881.06</f>
        <v>16816.650000000001</v>
      </c>
      <c r="U82" s="97">
        <f t="shared" si="5"/>
        <v>0</v>
      </c>
    </row>
    <row r="83" spans="1:21" ht="20.100000000000001" customHeight="1" x14ac:dyDescent="0.25">
      <c r="A83" s="155">
        <v>67</v>
      </c>
      <c r="B83" s="99">
        <f t="shared" si="6"/>
        <v>74</v>
      </c>
      <c r="C83" s="10" t="s">
        <v>86</v>
      </c>
      <c r="D83" s="100" t="s">
        <v>124</v>
      </c>
      <c r="E83" s="101"/>
      <c r="F83" s="22" t="s">
        <v>118</v>
      </c>
      <c r="G83" s="72" t="s">
        <v>200</v>
      </c>
      <c r="H83" s="77">
        <v>12</v>
      </c>
      <c r="I83" s="75">
        <v>11</v>
      </c>
      <c r="J83" s="75">
        <v>11</v>
      </c>
      <c r="K83" s="75">
        <v>7</v>
      </c>
      <c r="L83" s="75">
        <v>7</v>
      </c>
      <c r="M83" s="97">
        <f>2803.04+5035.5</f>
        <v>7838.54</v>
      </c>
      <c r="N83" s="97">
        <f>2803.04+5035.5</f>
        <v>7838.54</v>
      </c>
      <c r="O83" s="93">
        <f t="shared" si="4"/>
        <v>0</v>
      </c>
      <c r="P83" s="123">
        <v>9</v>
      </c>
      <c r="Q83" s="124">
        <v>6</v>
      </c>
      <c r="R83" s="124">
        <v>6</v>
      </c>
      <c r="S83" s="97">
        <f>6465.89+3406.65</f>
        <v>9872.5400000000009</v>
      </c>
      <c r="T83" s="97">
        <f>6465.89+3406.65</f>
        <v>9872.5400000000009</v>
      </c>
      <c r="U83" s="97">
        <f t="shared" si="5"/>
        <v>0</v>
      </c>
    </row>
    <row r="84" spans="1:21" ht="20.100000000000001" customHeight="1" x14ac:dyDescent="0.25">
      <c r="A84" s="155">
        <v>68</v>
      </c>
      <c r="B84" s="99">
        <f t="shared" si="6"/>
        <v>75</v>
      </c>
      <c r="C84" s="10" t="s">
        <v>87</v>
      </c>
      <c r="D84" s="100" t="s">
        <v>124</v>
      </c>
      <c r="E84" s="101"/>
      <c r="F84" s="22" t="s">
        <v>115</v>
      </c>
      <c r="G84" s="72" t="s">
        <v>201</v>
      </c>
      <c r="H84" s="77">
        <v>11</v>
      </c>
      <c r="I84" s="75">
        <v>5</v>
      </c>
      <c r="J84" s="75">
        <v>8</v>
      </c>
      <c r="K84" s="75">
        <v>4</v>
      </c>
      <c r="L84" s="75">
        <v>4</v>
      </c>
      <c r="M84" s="97">
        <v>4678.72</v>
      </c>
      <c r="N84" s="97">
        <f>409.27+3438.52</f>
        <v>3847.79</v>
      </c>
      <c r="O84" s="93">
        <f t="shared" si="4"/>
        <v>830.93000000000029</v>
      </c>
      <c r="P84" s="123">
        <v>1</v>
      </c>
      <c r="Q84" s="12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</row>
    <row r="85" spans="1:21" ht="20.100000000000001" customHeight="1" x14ac:dyDescent="0.25">
      <c r="A85" s="155">
        <v>70</v>
      </c>
      <c r="B85" s="99">
        <f t="shared" si="6"/>
        <v>76</v>
      </c>
      <c r="C85" s="11" t="s">
        <v>88</v>
      </c>
      <c r="D85" s="100" t="s">
        <v>124</v>
      </c>
      <c r="E85" s="101"/>
      <c r="F85" s="17" t="s">
        <v>121</v>
      </c>
      <c r="G85" s="72" t="s">
        <v>203</v>
      </c>
      <c r="H85" s="77">
        <v>18</v>
      </c>
      <c r="I85" s="75">
        <v>13</v>
      </c>
      <c r="J85" s="75">
        <v>21</v>
      </c>
      <c r="K85" s="75">
        <v>18</v>
      </c>
      <c r="L85" s="75">
        <v>13</v>
      </c>
      <c r="M85" s="97">
        <f>4781.94+3598.27</f>
        <v>8380.2099999999991</v>
      </c>
      <c r="N85" s="97">
        <f>4781.94+3598.27</f>
        <v>8380.2099999999991</v>
      </c>
      <c r="O85" s="93">
        <f t="shared" si="4"/>
        <v>0</v>
      </c>
      <c r="P85" s="123">
        <v>6</v>
      </c>
      <c r="Q85" s="12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</row>
    <row r="86" spans="1:21" ht="20.100000000000001" customHeight="1" x14ac:dyDescent="0.25">
      <c r="A86" s="155">
        <v>69</v>
      </c>
      <c r="B86" s="99">
        <f t="shared" si="6"/>
        <v>77</v>
      </c>
      <c r="C86" s="14" t="s">
        <v>89</v>
      </c>
      <c r="D86" s="100" t="s">
        <v>124</v>
      </c>
      <c r="E86" s="101"/>
      <c r="F86" s="19" t="s">
        <v>106</v>
      </c>
      <c r="G86" s="72" t="s">
        <v>202</v>
      </c>
      <c r="H86" s="77">
        <v>7</v>
      </c>
      <c r="I86" s="75"/>
      <c r="J86" s="75"/>
      <c r="K86" s="75"/>
      <c r="L86" s="75"/>
      <c r="M86" s="97"/>
      <c r="N86" s="97"/>
      <c r="O86" s="93">
        <f t="shared" si="4"/>
        <v>0</v>
      </c>
      <c r="P86" s="123">
        <v>2</v>
      </c>
      <c r="Q86" s="12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</row>
    <row r="87" spans="1:21" ht="20.100000000000001" customHeight="1" x14ac:dyDescent="0.25">
      <c r="A87" s="155">
        <v>71</v>
      </c>
      <c r="B87" s="99">
        <f t="shared" si="6"/>
        <v>78</v>
      </c>
      <c r="C87" s="14" t="s">
        <v>90</v>
      </c>
      <c r="D87" s="100" t="s">
        <v>124</v>
      </c>
      <c r="E87" s="101"/>
      <c r="F87" s="19" t="s">
        <v>106</v>
      </c>
      <c r="G87" s="72" t="s">
        <v>204</v>
      </c>
      <c r="H87" s="77">
        <v>4</v>
      </c>
      <c r="I87" s="75">
        <v>4</v>
      </c>
      <c r="J87" s="75">
        <v>4</v>
      </c>
      <c r="K87" s="75">
        <v>4</v>
      </c>
      <c r="L87" s="75">
        <v>4</v>
      </c>
      <c r="M87" s="97">
        <f>795.8+4099.92</f>
        <v>4895.72</v>
      </c>
      <c r="N87" s="97">
        <f>795.8+4099.92</f>
        <v>4895.72</v>
      </c>
      <c r="O87" s="93">
        <f t="shared" si="4"/>
        <v>0</v>
      </c>
      <c r="P87" s="123">
        <v>5</v>
      </c>
      <c r="Q87" s="124">
        <v>4</v>
      </c>
      <c r="R87" s="124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</row>
    <row r="88" spans="1:21" ht="20.100000000000001" customHeight="1" x14ac:dyDescent="0.25">
      <c r="B88" s="99">
        <f t="shared" si="6"/>
        <v>79</v>
      </c>
      <c r="C88" s="10" t="s">
        <v>91</v>
      </c>
      <c r="D88" s="100" t="s">
        <v>124</v>
      </c>
      <c r="E88" s="101"/>
      <c r="F88" s="17" t="s">
        <v>111</v>
      </c>
      <c r="G88" s="72" t="s">
        <v>231</v>
      </c>
      <c r="H88" s="77">
        <v>1</v>
      </c>
      <c r="I88" s="75"/>
      <c r="J88" s="75"/>
      <c r="K88" s="75"/>
      <c r="L88" s="75"/>
      <c r="M88" s="97"/>
      <c r="N88" s="97"/>
      <c r="O88" s="93">
        <f t="shared" si="4"/>
        <v>0</v>
      </c>
      <c r="P88" s="123">
        <v>6</v>
      </c>
      <c r="Q88" s="12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</row>
    <row r="89" spans="1:21" ht="20.100000000000001" customHeight="1" x14ac:dyDescent="0.25">
      <c r="A89" s="155">
        <v>72</v>
      </c>
      <c r="B89" s="99">
        <f t="shared" si="6"/>
        <v>80</v>
      </c>
      <c r="C89" s="10" t="s">
        <v>92</v>
      </c>
      <c r="D89" s="100" t="s">
        <v>124</v>
      </c>
      <c r="E89" s="101"/>
      <c r="F89" s="19" t="s">
        <v>106</v>
      </c>
      <c r="G89" s="72" t="s">
        <v>205</v>
      </c>
      <c r="H89" s="77">
        <v>6</v>
      </c>
      <c r="I89" s="75">
        <v>2</v>
      </c>
      <c r="J89" s="75">
        <v>3</v>
      </c>
      <c r="K89" s="75">
        <v>3</v>
      </c>
      <c r="L89" s="75">
        <v>2</v>
      </c>
      <c r="M89" s="97">
        <f>725.77+1768.23</f>
        <v>2494</v>
      </c>
      <c r="N89" s="97">
        <f>725.77+1768.23</f>
        <v>2494</v>
      </c>
      <c r="O89" s="93">
        <f t="shared" si="4"/>
        <v>0</v>
      </c>
      <c r="P89" s="123">
        <v>4</v>
      </c>
      <c r="Q89" s="124">
        <v>4</v>
      </c>
      <c r="R89" s="124">
        <v>4</v>
      </c>
      <c r="S89" s="97">
        <f>8161.92+1118.75</f>
        <v>9280.67</v>
      </c>
      <c r="T89" s="97">
        <f>8161.92+1118.75</f>
        <v>9280.67</v>
      </c>
      <c r="U89" s="97">
        <f t="shared" si="5"/>
        <v>0</v>
      </c>
    </row>
    <row r="90" spans="1:21" ht="20.100000000000001" customHeight="1" x14ac:dyDescent="0.25">
      <c r="A90" s="155">
        <v>73</v>
      </c>
      <c r="B90" s="99">
        <f t="shared" si="6"/>
        <v>81</v>
      </c>
      <c r="C90" s="11" t="s">
        <v>93</v>
      </c>
      <c r="D90" s="100" t="s">
        <v>124</v>
      </c>
      <c r="E90" s="101"/>
      <c r="F90" s="17" t="s">
        <v>122</v>
      </c>
      <c r="G90" s="72" t="s">
        <v>206</v>
      </c>
      <c r="H90" s="77">
        <v>20</v>
      </c>
      <c r="I90" s="75">
        <v>12</v>
      </c>
      <c r="J90" s="75">
        <v>22</v>
      </c>
      <c r="K90" s="75">
        <v>22</v>
      </c>
      <c r="L90" s="75">
        <v>22</v>
      </c>
      <c r="M90" s="97">
        <v>14303.46</v>
      </c>
      <c r="N90" s="97">
        <f>2814.78+10694.95</f>
        <v>13509.730000000001</v>
      </c>
      <c r="O90" s="93">
        <f t="shared" si="4"/>
        <v>793.72999999999774</v>
      </c>
      <c r="P90" s="123">
        <v>8</v>
      </c>
      <c r="Q90" s="124">
        <v>7</v>
      </c>
      <c r="R90" s="124">
        <v>7</v>
      </c>
      <c r="S90" s="97">
        <v>3130.8</v>
      </c>
      <c r="T90" s="97">
        <f>2624.93</f>
        <v>2624.93</v>
      </c>
      <c r="U90" s="97">
        <f t="shared" si="5"/>
        <v>505.87000000000035</v>
      </c>
    </row>
    <row r="91" spans="1:21" ht="20.100000000000001" customHeight="1" x14ac:dyDescent="0.25">
      <c r="A91" s="155">
        <v>74</v>
      </c>
      <c r="B91" s="99">
        <f t="shared" si="6"/>
        <v>82</v>
      </c>
      <c r="C91" s="11" t="s">
        <v>94</v>
      </c>
      <c r="D91" s="100" t="s">
        <v>124</v>
      </c>
      <c r="E91" s="101"/>
      <c r="F91" s="19" t="s">
        <v>106</v>
      </c>
      <c r="G91" s="72" t="s">
        <v>218</v>
      </c>
      <c r="H91" s="77">
        <v>11</v>
      </c>
      <c r="I91" s="75">
        <v>5</v>
      </c>
      <c r="J91" s="75">
        <v>10</v>
      </c>
      <c r="K91" s="75">
        <v>10</v>
      </c>
      <c r="L91" s="75">
        <v>10</v>
      </c>
      <c r="M91" s="97">
        <v>5384.83</v>
      </c>
      <c r="N91" s="97">
        <f>1255.05+1986.57</f>
        <v>3241.62</v>
      </c>
      <c r="O91" s="93">
        <f t="shared" si="4"/>
        <v>2143.21</v>
      </c>
      <c r="P91" s="123">
        <v>6</v>
      </c>
      <c r="Q91" s="124">
        <v>6</v>
      </c>
      <c r="R91" s="124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</row>
    <row r="92" spans="1:21" ht="20.100000000000001" customHeight="1" x14ac:dyDescent="0.25">
      <c r="A92" s="155">
        <v>75</v>
      </c>
      <c r="B92" s="99">
        <f t="shared" si="6"/>
        <v>83</v>
      </c>
      <c r="C92" s="11" t="s">
        <v>95</v>
      </c>
      <c r="D92" s="100" t="s">
        <v>124</v>
      </c>
      <c r="E92" s="101"/>
      <c r="F92" s="19" t="s">
        <v>123</v>
      </c>
      <c r="G92" s="72" t="s">
        <v>217</v>
      </c>
      <c r="H92" s="77">
        <v>13</v>
      </c>
      <c r="I92" s="75">
        <v>10</v>
      </c>
      <c r="J92" s="75">
        <v>12</v>
      </c>
      <c r="K92" s="75">
        <v>9</v>
      </c>
      <c r="L92" s="75">
        <v>9</v>
      </c>
      <c r="M92" s="97">
        <f>2301.54+4352.56</f>
        <v>6654.1</v>
      </c>
      <c r="N92" s="97">
        <f>2301.54+4352.56</f>
        <v>6654.1</v>
      </c>
      <c r="O92" s="93">
        <f t="shared" si="4"/>
        <v>0</v>
      </c>
      <c r="P92" s="123">
        <v>1</v>
      </c>
      <c r="Q92" s="12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</row>
    <row r="93" spans="1:21" ht="20.100000000000001" customHeight="1" x14ac:dyDescent="0.25">
      <c r="A93" s="155">
        <v>76</v>
      </c>
      <c r="B93" s="99">
        <f t="shared" si="6"/>
        <v>84</v>
      </c>
      <c r="C93" s="11" t="s">
        <v>96</v>
      </c>
      <c r="D93" s="100" t="s">
        <v>124</v>
      </c>
      <c r="E93" s="101"/>
      <c r="F93" s="22" t="s">
        <v>112</v>
      </c>
      <c r="G93" s="72" t="s">
        <v>216</v>
      </c>
      <c r="H93" s="77">
        <v>36</v>
      </c>
      <c r="I93" s="75">
        <v>17</v>
      </c>
      <c r="J93" s="75">
        <v>21</v>
      </c>
      <c r="K93" s="75">
        <v>18</v>
      </c>
      <c r="L93" s="75">
        <v>18</v>
      </c>
      <c r="M93" s="97">
        <v>13626.75</v>
      </c>
      <c r="N93" s="97">
        <v>4236.8100000000004</v>
      </c>
      <c r="O93" s="93">
        <f t="shared" si="4"/>
        <v>9389.9399999999987</v>
      </c>
      <c r="P93" s="123">
        <v>8</v>
      </c>
      <c r="Q93" s="124">
        <v>8</v>
      </c>
      <c r="R93" s="124">
        <v>8</v>
      </c>
      <c r="S93" s="97">
        <v>11083.64</v>
      </c>
      <c r="T93" s="97">
        <f>5838.31+135.69</f>
        <v>5974</v>
      </c>
      <c r="U93" s="97">
        <f t="shared" si="5"/>
        <v>5109.6399999999994</v>
      </c>
    </row>
    <row r="94" spans="1:21" ht="20.100000000000001" customHeight="1" x14ac:dyDescent="0.25">
      <c r="A94" s="155">
        <v>77</v>
      </c>
      <c r="B94" s="99">
        <f t="shared" si="6"/>
        <v>85</v>
      </c>
      <c r="C94" s="11" t="s">
        <v>97</v>
      </c>
      <c r="D94" s="100" t="s">
        <v>124</v>
      </c>
      <c r="E94" s="101"/>
      <c r="F94" s="17" t="s">
        <v>111</v>
      </c>
      <c r="G94" s="72" t="s">
        <v>215</v>
      </c>
      <c r="H94" s="77">
        <v>17</v>
      </c>
      <c r="I94" s="75">
        <v>9</v>
      </c>
      <c r="J94" s="75">
        <v>10</v>
      </c>
      <c r="K94" s="75">
        <v>6</v>
      </c>
      <c r="L94" s="75">
        <v>4</v>
      </c>
      <c r="M94" s="97">
        <v>3291.36</v>
      </c>
      <c r="N94" s="97">
        <v>3291.36</v>
      </c>
      <c r="O94" s="93">
        <f t="shared" si="4"/>
        <v>0</v>
      </c>
      <c r="P94" s="123">
        <v>19</v>
      </c>
      <c r="Q94" s="124">
        <v>19</v>
      </c>
      <c r="R94" s="124">
        <v>19</v>
      </c>
      <c r="S94" s="97">
        <f>18253.04+4245.2</f>
        <v>22498.240000000002</v>
      </c>
      <c r="T94" s="97">
        <f>18253.04+4245.2</f>
        <v>22498.240000000002</v>
      </c>
      <c r="U94" s="97">
        <f t="shared" si="5"/>
        <v>0</v>
      </c>
    </row>
    <row r="95" spans="1:21" ht="20.100000000000001" customHeight="1" x14ac:dyDescent="0.25">
      <c r="A95" s="155">
        <v>78</v>
      </c>
      <c r="B95" s="99">
        <f t="shared" si="6"/>
        <v>86</v>
      </c>
      <c r="C95" s="10" t="s">
        <v>98</v>
      </c>
      <c r="D95" s="100" t="s">
        <v>124</v>
      </c>
      <c r="E95" s="101"/>
      <c r="F95" s="19" t="s">
        <v>106</v>
      </c>
      <c r="G95" s="72" t="s">
        <v>214</v>
      </c>
      <c r="H95" s="77">
        <v>22</v>
      </c>
      <c r="I95" s="75">
        <v>6</v>
      </c>
      <c r="J95" s="75">
        <v>6</v>
      </c>
      <c r="K95" s="75">
        <v>6</v>
      </c>
      <c r="L95" s="75">
        <v>6</v>
      </c>
      <c r="M95" s="97">
        <v>2362.3200000000002</v>
      </c>
      <c r="N95" s="97">
        <f>413.4+1061.4</f>
        <v>1474.8000000000002</v>
      </c>
      <c r="O95" s="93">
        <f t="shared" si="4"/>
        <v>887.52</v>
      </c>
      <c r="P95" s="123">
        <v>11</v>
      </c>
      <c r="Q95" s="124">
        <v>11</v>
      </c>
      <c r="R95" s="124">
        <v>11</v>
      </c>
      <c r="S95" s="97">
        <v>24552.240000000002</v>
      </c>
      <c r="T95" s="97">
        <f>22276.25+1366.6</f>
        <v>23642.85</v>
      </c>
      <c r="U95" s="97">
        <f t="shared" si="5"/>
        <v>909.39000000000306</v>
      </c>
    </row>
    <row r="96" spans="1:21" ht="20.100000000000001" customHeight="1" x14ac:dyDescent="0.25">
      <c r="A96" s="155">
        <v>80</v>
      </c>
      <c r="B96" s="99">
        <f t="shared" si="6"/>
        <v>87</v>
      </c>
      <c r="C96" s="10" t="s">
        <v>129</v>
      </c>
      <c r="D96" s="100" t="s">
        <v>124</v>
      </c>
      <c r="E96" s="101"/>
      <c r="F96" s="19" t="s">
        <v>106</v>
      </c>
      <c r="G96" s="72" t="s">
        <v>212</v>
      </c>
      <c r="H96" s="77">
        <v>8</v>
      </c>
      <c r="I96" s="75">
        <v>1</v>
      </c>
      <c r="J96" s="75">
        <v>2</v>
      </c>
      <c r="K96" s="75">
        <v>2</v>
      </c>
      <c r="L96" s="75"/>
      <c r="M96" s="97"/>
      <c r="N96" s="97"/>
      <c r="O96" s="93">
        <f t="shared" si="4"/>
        <v>0</v>
      </c>
      <c r="P96" s="123"/>
      <c r="Q96" s="124"/>
      <c r="R96" s="124"/>
      <c r="S96" s="97"/>
      <c r="T96" s="97"/>
      <c r="U96" s="97">
        <f t="shared" si="5"/>
        <v>0</v>
      </c>
    </row>
    <row r="97" spans="1:33" ht="20.100000000000001" customHeight="1" x14ac:dyDescent="0.25">
      <c r="A97" s="155">
        <v>79</v>
      </c>
      <c r="B97" s="99">
        <f t="shared" si="6"/>
        <v>88</v>
      </c>
      <c r="C97" s="10" t="s">
        <v>99</v>
      </c>
      <c r="D97" s="100" t="s">
        <v>124</v>
      </c>
      <c r="E97" s="101"/>
      <c r="F97" s="19" t="s">
        <v>106</v>
      </c>
      <c r="G97" s="72" t="s">
        <v>213</v>
      </c>
      <c r="H97" s="77">
        <v>7</v>
      </c>
      <c r="I97" s="75">
        <v>5</v>
      </c>
      <c r="J97" s="75">
        <v>5</v>
      </c>
      <c r="K97" s="75">
        <v>4</v>
      </c>
      <c r="L97" s="75">
        <v>4</v>
      </c>
      <c r="M97" s="97">
        <f>1545.67+969.43</f>
        <v>2515.1</v>
      </c>
      <c r="N97" s="97">
        <f>1545.67+969.43</f>
        <v>2515.1</v>
      </c>
      <c r="O97" s="93">
        <f t="shared" si="4"/>
        <v>0</v>
      </c>
      <c r="P97" s="123">
        <v>4</v>
      </c>
      <c r="Q97" s="12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</row>
    <row r="98" spans="1:33" ht="20.100000000000001" customHeight="1" x14ac:dyDescent="0.25">
      <c r="A98" s="155">
        <v>81</v>
      </c>
      <c r="B98" s="99">
        <f t="shared" si="6"/>
        <v>89</v>
      </c>
      <c r="C98" s="13" t="s">
        <v>100</v>
      </c>
      <c r="D98" s="100" t="s">
        <v>124</v>
      </c>
      <c r="E98" s="101"/>
      <c r="F98" s="19" t="s">
        <v>106</v>
      </c>
      <c r="G98" s="72" t="s">
        <v>211</v>
      </c>
      <c r="H98" s="77">
        <v>10</v>
      </c>
      <c r="I98" s="75">
        <v>3</v>
      </c>
      <c r="J98" s="75">
        <v>3</v>
      </c>
      <c r="K98" s="75">
        <v>3</v>
      </c>
      <c r="L98" s="75">
        <v>2</v>
      </c>
      <c r="M98" s="97">
        <v>482.3</v>
      </c>
      <c r="N98" s="97">
        <v>482.3</v>
      </c>
      <c r="O98" s="93">
        <f t="shared" si="4"/>
        <v>0</v>
      </c>
      <c r="P98" s="123">
        <v>7</v>
      </c>
      <c r="Q98" s="124">
        <v>7</v>
      </c>
      <c r="R98" s="124">
        <v>6</v>
      </c>
      <c r="S98" s="97">
        <f>6457+964.6</f>
        <v>7421.6</v>
      </c>
      <c r="T98" s="97">
        <f>6457+964.6</f>
        <v>7421.6</v>
      </c>
      <c r="U98" s="97">
        <f t="shared" si="5"/>
        <v>0</v>
      </c>
    </row>
    <row r="99" spans="1:33" ht="20.100000000000001" customHeight="1" x14ac:dyDescent="0.25">
      <c r="A99" s="155">
        <v>82</v>
      </c>
      <c r="B99" s="99">
        <f t="shared" si="6"/>
        <v>90</v>
      </c>
      <c r="C99" s="13" t="s">
        <v>101</v>
      </c>
      <c r="D99" s="100" t="s">
        <v>124</v>
      </c>
      <c r="E99" s="101"/>
      <c r="F99" s="17" t="s">
        <v>106</v>
      </c>
      <c r="G99" s="72" t="s">
        <v>210</v>
      </c>
      <c r="H99" s="77">
        <v>15</v>
      </c>
      <c r="I99" s="75">
        <v>4</v>
      </c>
      <c r="J99" s="75">
        <v>5</v>
      </c>
      <c r="K99" s="75">
        <v>5</v>
      </c>
      <c r="L99" s="75">
        <v>1</v>
      </c>
      <c r="M99" s="97">
        <v>545.69000000000005</v>
      </c>
      <c r="N99" s="97">
        <v>545.69000000000005</v>
      </c>
      <c r="O99" s="93">
        <f t="shared" si="4"/>
        <v>0</v>
      </c>
      <c r="P99" s="123">
        <v>8</v>
      </c>
      <c r="Q99" s="124">
        <v>8</v>
      </c>
      <c r="R99" s="124">
        <v>6</v>
      </c>
      <c r="S99" s="97">
        <v>5077.71</v>
      </c>
      <c r="T99" s="97">
        <v>5077.71</v>
      </c>
      <c r="U99" s="97">
        <f t="shared" si="5"/>
        <v>0</v>
      </c>
    </row>
    <row r="100" spans="1:33" ht="20.100000000000001" customHeight="1" x14ac:dyDescent="0.25">
      <c r="A100" s="155">
        <v>83</v>
      </c>
      <c r="B100" s="99">
        <f t="shared" si="6"/>
        <v>91</v>
      </c>
      <c r="C100" s="13" t="s">
        <v>102</v>
      </c>
      <c r="D100" s="100" t="s">
        <v>124</v>
      </c>
      <c r="E100" s="101"/>
      <c r="F100" s="17" t="s">
        <v>106</v>
      </c>
      <c r="G100" s="72" t="s">
        <v>209</v>
      </c>
      <c r="H100" s="77">
        <v>14</v>
      </c>
      <c r="I100" s="75">
        <v>5</v>
      </c>
      <c r="J100" s="75">
        <v>6</v>
      </c>
      <c r="K100" s="75">
        <v>6</v>
      </c>
      <c r="L100" s="75">
        <v>6</v>
      </c>
      <c r="M100" s="97">
        <f>4459.37+1998.1</f>
        <v>6457.4699999999993</v>
      </c>
      <c r="N100" s="97">
        <f>4459.37+1998.1</f>
        <v>6457.4699999999993</v>
      </c>
      <c r="O100" s="93">
        <f t="shared" si="4"/>
        <v>0</v>
      </c>
      <c r="P100" s="123">
        <v>7</v>
      </c>
      <c r="Q100" s="124">
        <v>7</v>
      </c>
      <c r="R100" s="124">
        <v>7</v>
      </c>
      <c r="S100" s="97">
        <v>4232.91</v>
      </c>
      <c r="T100" s="97">
        <v>4232.91</v>
      </c>
      <c r="U100" s="97">
        <f t="shared" si="5"/>
        <v>0</v>
      </c>
    </row>
    <row r="101" spans="1:33" ht="20.100000000000001" customHeight="1" x14ac:dyDescent="0.25">
      <c r="A101" s="155">
        <v>84</v>
      </c>
      <c r="B101" s="99">
        <f t="shared" si="6"/>
        <v>92</v>
      </c>
      <c r="C101" s="11" t="s">
        <v>103</v>
      </c>
      <c r="D101" s="100" t="s">
        <v>124</v>
      </c>
      <c r="E101" s="101"/>
      <c r="F101" s="22" t="s">
        <v>112</v>
      </c>
      <c r="G101" s="72" t="s">
        <v>208</v>
      </c>
      <c r="H101" s="77">
        <v>36</v>
      </c>
      <c r="I101" s="75">
        <v>19</v>
      </c>
      <c r="J101" s="75">
        <v>20</v>
      </c>
      <c r="K101" s="75">
        <v>13</v>
      </c>
      <c r="L101" s="75">
        <v>13</v>
      </c>
      <c r="M101" s="97">
        <v>16276.16</v>
      </c>
      <c r="N101" s="97">
        <f>234.26+3190.4</f>
        <v>3424.66</v>
      </c>
      <c r="O101" s="93">
        <f t="shared" si="4"/>
        <v>12851.5</v>
      </c>
      <c r="P101" s="123">
        <v>23</v>
      </c>
      <c r="Q101" s="124">
        <v>22</v>
      </c>
      <c r="R101" s="124">
        <v>22</v>
      </c>
      <c r="S101" s="97">
        <v>21329.45</v>
      </c>
      <c r="T101" s="97">
        <f>16946.83+3092.58</f>
        <v>20039.410000000003</v>
      </c>
      <c r="U101" s="97">
        <f t="shared" si="5"/>
        <v>1290.0399999999972</v>
      </c>
    </row>
    <row r="102" spans="1:33" ht="20.100000000000001" customHeight="1" x14ac:dyDescent="0.25">
      <c r="A102" s="155">
        <v>85</v>
      </c>
      <c r="B102" s="115">
        <f>B101+1</f>
        <v>93</v>
      </c>
      <c r="C102" s="116" t="s">
        <v>104</v>
      </c>
      <c r="D102" s="111" t="s">
        <v>124</v>
      </c>
      <c r="E102" s="112"/>
      <c r="F102" s="117" t="s">
        <v>106</v>
      </c>
      <c r="G102" s="118" t="s">
        <v>207</v>
      </c>
      <c r="H102" s="113">
        <v>6</v>
      </c>
      <c r="I102" s="114">
        <v>2</v>
      </c>
      <c r="J102" s="114">
        <v>2</v>
      </c>
      <c r="K102" s="114">
        <v>2</v>
      </c>
      <c r="L102" s="114">
        <v>2</v>
      </c>
      <c r="M102" s="147">
        <v>649.38</v>
      </c>
      <c r="N102" s="147">
        <v>137.80000000000001</v>
      </c>
      <c r="O102" s="148">
        <f t="shared" si="4"/>
        <v>511.58</v>
      </c>
      <c r="P102" s="149">
        <v>3</v>
      </c>
      <c r="Q102" s="150">
        <v>3</v>
      </c>
      <c r="R102" s="150">
        <v>3</v>
      </c>
      <c r="S102" s="147">
        <v>1193.3</v>
      </c>
      <c r="T102" s="147">
        <v>1193.3</v>
      </c>
      <c r="U102" s="148">
        <f t="shared" si="5"/>
        <v>0</v>
      </c>
      <c r="V102" s="145"/>
    </row>
    <row r="103" spans="1:33" ht="20.100000000000001" customHeight="1" x14ac:dyDescent="0.25">
      <c r="A103" s="155">
        <v>88</v>
      </c>
      <c r="B103" s="106">
        <v>94</v>
      </c>
      <c r="C103" s="10" t="s">
        <v>258</v>
      </c>
      <c r="D103" s="111" t="s">
        <v>124</v>
      </c>
      <c r="E103" s="101"/>
      <c r="F103" s="12" t="s">
        <v>106</v>
      </c>
      <c r="G103" s="118" t="s">
        <v>261</v>
      </c>
      <c r="H103" s="75">
        <v>3</v>
      </c>
      <c r="I103" s="75"/>
      <c r="J103" s="75"/>
      <c r="K103" s="75"/>
      <c r="L103" s="75"/>
      <c r="M103" s="97"/>
      <c r="N103" s="97"/>
      <c r="O103" s="148">
        <f t="shared" si="4"/>
        <v>0</v>
      </c>
      <c r="P103" s="124"/>
      <c r="Q103" s="124"/>
      <c r="R103" s="124"/>
      <c r="S103" s="97"/>
      <c r="T103" s="97"/>
      <c r="U103" s="148">
        <f t="shared" si="5"/>
        <v>0</v>
      </c>
      <c r="V103" s="145"/>
    </row>
    <row r="104" spans="1:33" ht="20.100000000000001" customHeight="1" x14ac:dyDescent="0.25">
      <c r="B104" s="106">
        <v>95</v>
      </c>
      <c r="C104" s="10" t="s">
        <v>242</v>
      </c>
      <c r="D104" s="100" t="s">
        <v>124</v>
      </c>
      <c r="E104" s="101"/>
      <c r="F104" s="17" t="s">
        <v>117</v>
      </c>
      <c r="G104" s="72" t="s">
        <v>259</v>
      </c>
      <c r="H104" s="77">
        <v>3</v>
      </c>
      <c r="I104" s="75">
        <v>2</v>
      </c>
      <c r="J104" s="75">
        <v>2</v>
      </c>
      <c r="K104" s="75">
        <v>2</v>
      </c>
      <c r="L104" s="75">
        <v>2</v>
      </c>
      <c r="M104" s="97">
        <v>2252.12</v>
      </c>
      <c r="N104" s="97"/>
      <c r="O104" s="148">
        <f t="shared" si="4"/>
        <v>2252.12</v>
      </c>
      <c r="P104" s="124"/>
      <c r="Q104" s="124"/>
      <c r="R104" s="124"/>
      <c r="S104" s="97"/>
      <c r="T104" s="97"/>
      <c r="U104" s="148">
        <f t="shared" si="5"/>
        <v>0</v>
      </c>
      <c r="V104" s="145"/>
    </row>
    <row r="105" spans="1:33" ht="20.100000000000001" customHeight="1" x14ac:dyDescent="0.25">
      <c r="B105" s="362"/>
      <c r="C105" s="362"/>
      <c r="D105" s="362"/>
      <c r="E105" s="362"/>
      <c r="F105" s="362"/>
      <c r="G105" s="362"/>
      <c r="H105" s="119">
        <f>SUM(H10:H104)</f>
        <v>1112</v>
      </c>
      <c r="I105" s="119">
        <f>SUM(I10:I104)</f>
        <v>537</v>
      </c>
      <c r="J105" s="119">
        <f>SUM(J10:J104)</f>
        <v>694</v>
      </c>
      <c r="K105" s="119">
        <f>SUM(K10:K104)</f>
        <v>604</v>
      </c>
      <c r="L105" s="119">
        <f>SUM(L10:L104)</f>
        <v>524</v>
      </c>
      <c r="M105" s="151">
        <f>SUM(M10:M102)</f>
        <v>400200.12999999977</v>
      </c>
      <c r="N105" s="151">
        <f>SUM(N10:N104)</f>
        <v>267855.3</v>
      </c>
      <c r="O105" s="151">
        <f>SUM(O10:O104)</f>
        <v>134596.94999999998</v>
      </c>
      <c r="P105" s="152">
        <f>SUM(P10:P104)</f>
        <v>600</v>
      </c>
      <c r="Q105" s="152">
        <f>SUM(Q10:Q104)</f>
        <v>575</v>
      </c>
      <c r="R105" s="152">
        <f>SUM(R11:R104)</f>
        <v>538</v>
      </c>
      <c r="S105" s="151">
        <f>SUM(S10:S104)</f>
        <v>687798.40000000014</v>
      </c>
      <c r="T105" s="146">
        <f>SUM(T10:T104)</f>
        <v>652971.25000000012</v>
      </c>
      <c r="U105" s="120">
        <f>SUM(U10:U104)</f>
        <v>34827.149999999994</v>
      </c>
      <c r="V105" s="156"/>
      <c r="W105" s="156"/>
      <c r="X105" s="157"/>
      <c r="Y105" s="156"/>
      <c r="Z105" s="157"/>
      <c r="AA105" s="156"/>
      <c r="AB105" s="157"/>
      <c r="AC105" s="157"/>
      <c r="AD105" s="157"/>
      <c r="AE105" s="157"/>
      <c r="AF105" s="156"/>
      <c r="AG105" s="156"/>
    </row>
    <row r="107" spans="1:33" x14ac:dyDescent="0.25">
      <c r="V107" s="145"/>
      <c r="W107" s="14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423" priority="3" stopIfTrue="1" operator="equal">
      <formula>0</formula>
    </cfRule>
  </conditionalFormatting>
  <conditionalFormatting sqref="AL45">
    <cfRule type="cellIs" dxfId="422" priority="2" stopIfTrue="1" operator="equal">
      <formula>0</formula>
    </cfRule>
  </conditionalFormatting>
  <conditionalFormatting sqref="T45">
    <cfRule type="cellIs" dxfId="421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7"/>
  <sheetViews>
    <sheetView topLeftCell="B55" zoomScale="75" zoomScaleNormal="75" workbookViewId="0">
      <selection activeCell="K8" sqref="K8"/>
    </sheetView>
  </sheetViews>
  <sheetFormatPr defaultRowHeight="15.75" x14ac:dyDescent="0.25"/>
  <cols>
    <col min="1" max="1" width="9.140625" style="155" hidden="1" customWidth="1"/>
    <col min="2" max="2" width="9.140625" style="55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12.42578125" style="109" customWidth="1"/>
    <col min="15" max="15" width="12.28515625" style="109" customWidth="1"/>
    <col min="16" max="18" width="9.140625" style="109" customWidth="1"/>
    <col min="19" max="19" width="16.85546875" style="109" customWidth="1"/>
    <col min="20" max="20" width="10.7109375" style="109" customWidth="1"/>
    <col min="21" max="21" width="10.7109375" style="133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9.140625" style="134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272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273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22</v>
      </c>
      <c r="I10" s="75">
        <v>9</v>
      </c>
      <c r="J10" s="75">
        <v>11</v>
      </c>
      <c r="K10" s="75">
        <v>11</v>
      </c>
      <c r="L10" s="75">
        <v>11</v>
      </c>
      <c r="M10" s="97">
        <v>8818.6299999999992</v>
      </c>
      <c r="N10" s="97">
        <v>8818.6299999999992</v>
      </c>
      <c r="O10" s="93">
        <f xml:space="preserve"> (M10-N10)</f>
        <v>0</v>
      </c>
      <c r="P10" s="123">
        <v>6</v>
      </c>
      <c r="Q10" s="124">
        <v>6</v>
      </c>
      <c r="R10" s="124">
        <v>6</v>
      </c>
      <c r="S10" s="97">
        <v>4246.75</v>
      </c>
      <c r="T10" s="97">
        <v>4246.75</v>
      </c>
      <c r="U10" s="97">
        <f xml:space="preserve"> (S10-T10)</f>
        <v>0</v>
      </c>
      <c r="V10" s="135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5</v>
      </c>
      <c r="I11" s="75">
        <v>5</v>
      </c>
      <c r="J11" s="75">
        <v>5</v>
      </c>
      <c r="K11" s="75">
        <v>5</v>
      </c>
      <c r="L11" s="75">
        <v>1</v>
      </c>
      <c r="M11" s="97">
        <v>275.60000000000002</v>
      </c>
      <c r="N11" s="97">
        <v>275.60000000000002</v>
      </c>
      <c r="O11" s="93">
        <f t="shared" ref="O11:O74" si="1" xml:space="preserve"> (M11-N11)</f>
        <v>0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35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3</v>
      </c>
      <c r="S12" s="97">
        <v>8035.44</v>
      </c>
      <c r="T12" s="97">
        <v>8035.44</v>
      </c>
      <c r="U12" s="97">
        <f t="shared" si="2"/>
        <v>0</v>
      </c>
      <c r="V12" s="14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14</v>
      </c>
      <c r="I13" s="75">
        <v>8</v>
      </c>
      <c r="J13" s="75">
        <v>11</v>
      </c>
      <c r="K13" s="75">
        <v>5</v>
      </c>
      <c r="L13" s="75">
        <v>5</v>
      </c>
      <c r="M13" s="97">
        <f>272.84+2699.54</f>
        <v>2972.38</v>
      </c>
      <c r="N13" s="97">
        <f>272.84+2699.54</f>
        <v>2972.38</v>
      </c>
      <c r="O13" s="93">
        <f t="shared" si="1"/>
        <v>0</v>
      </c>
      <c r="P13" s="123">
        <v>5</v>
      </c>
      <c r="Q13" s="124">
        <v>4</v>
      </c>
      <c r="R13" s="124">
        <v>4</v>
      </c>
      <c r="S13" s="97">
        <f>7385.53+1228.66</f>
        <v>8614.19</v>
      </c>
      <c r="T13" s="97">
        <f>7385.53+1228.66</f>
        <v>8614.19</v>
      </c>
      <c r="U13" s="97">
        <f t="shared" si="2"/>
        <v>0</v>
      </c>
      <c r="V13" s="14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17</v>
      </c>
      <c r="I14" s="75">
        <v>10</v>
      </c>
      <c r="J14" s="75">
        <v>11</v>
      </c>
      <c r="K14" s="75">
        <v>10</v>
      </c>
      <c r="L14" s="75">
        <v>7</v>
      </c>
      <c r="M14" s="97">
        <f>2277.13+1033.5</f>
        <v>3310.63</v>
      </c>
      <c r="N14" s="97">
        <f>2277.13+1033.5</f>
        <v>3310.63</v>
      </c>
      <c r="O14" s="93">
        <f t="shared" si="1"/>
        <v>0</v>
      </c>
      <c r="P14" s="123">
        <v>5</v>
      </c>
      <c r="Q14" s="124">
        <v>5</v>
      </c>
      <c r="R14" s="124">
        <v>4</v>
      </c>
      <c r="S14" s="97">
        <f>1800.7+633</f>
        <v>2433.6999999999998</v>
      </c>
      <c r="T14" s="97">
        <f>1800.7+633</f>
        <v>2433.6999999999998</v>
      </c>
      <c r="U14" s="97">
        <f t="shared" si="2"/>
        <v>0</v>
      </c>
      <c r="V14" s="135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19</v>
      </c>
      <c r="I15" s="75">
        <v>13</v>
      </c>
      <c r="J15" s="75">
        <v>18</v>
      </c>
      <c r="K15" s="75">
        <v>18</v>
      </c>
      <c r="L15" s="75">
        <v>14</v>
      </c>
      <c r="M15" s="97">
        <v>15468.06</v>
      </c>
      <c r="N15" s="97">
        <v>15468.06</v>
      </c>
      <c r="O15" s="93">
        <f t="shared" si="1"/>
        <v>0</v>
      </c>
      <c r="P15" s="123">
        <v>13</v>
      </c>
      <c r="Q15" s="124">
        <v>13</v>
      </c>
      <c r="R15" s="124">
        <v>12</v>
      </c>
      <c r="S15" s="97">
        <v>13259.94</v>
      </c>
      <c r="T15" s="97">
        <v>13259.94</v>
      </c>
      <c r="U15" s="97">
        <f t="shared" si="2"/>
        <v>0</v>
      </c>
      <c r="V15" s="135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97"/>
      <c r="U16" s="97">
        <f t="shared" si="2"/>
        <v>0</v>
      </c>
      <c r="V16" s="135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11</v>
      </c>
      <c r="I17" s="75">
        <v>6</v>
      </c>
      <c r="J17" s="75">
        <v>9</v>
      </c>
      <c r="K17" s="75">
        <v>9</v>
      </c>
      <c r="L17" s="75">
        <v>8</v>
      </c>
      <c r="M17" s="97">
        <v>6821.74</v>
      </c>
      <c r="N17" s="97">
        <v>6821.74</v>
      </c>
      <c r="O17" s="93">
        <f t="shared" si="1"/>
        <v>0</v>
      </c>
      <c r="P17" s="123">
        <v>1</v>
      </c>
      <c r="Q17" s="124">
        <v>1</v>
      </c>
      <c r="R17" s="124">
        <v>1</v>
      </c>
      <c r="S17" s="97">
        <v>1033.5</v>
      </c>
      <c r="T17" s="97">
        <v>1033.5</v>
      </c>
      <c r="U17" s="97">
        <f t="shared" si="2"/>
        <v>0</v>
      </c>
      <c r="V17" s="135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6</v>
      </c>
      <c r="I18" s="75"/>
      <c r="J18" s="75"/>
      <c r="K18" s="75"/>
      <c r="L18" s="75"/>
      <c r="M18" s="97">
        <v>2118.92</v>
      </c>
      <c r="N18" s="97">
        <v>2118.92</v>
      </c>
      <c r="O18" s="93">
        <f t="shared" si="1"/>
        <v>0</v>
      </c>
      <c r="P18" s="123">
        <v>5</v>
      </c>
      <c r="Q18" s="124">
        <v>5</v>
      </c>
      <c r="R18" s="124">
        <v>5</v>
      </c>
      <c r="S18" s="97">
        <v>14748.55</v>
      </c>
      <c r="T18" s="97">
        <v>14748.55</v>
      </c>
      <c r="U18" s="97">
        <f t="shared" si="2"/>
        <v>0</v>
      </c>
      <c r="V18" s="135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18</v>
      </c>
      <c r="I19" s="75">
        <v>10</v>
      </c>
      <c r="J19" s="75">
        <v>15</v>
      </c>
      <c r="K19" s="75">
        <v>14</v>
      </c>
      <c r="L19" s="75">
        <v>11</v>
      </c>
      <c r="M19" s="97">
        <v>5345.36</v>
      </c>
      <c r="N19" s="97">
        <v>5345.36</v>
      </c>
      <c r="O19" s="93">
        <f t="shared" si="1"/>
        <v>0</v>
      </c>
      <c r="P19" s="123">
        <v>13</v>
      </c>
      <c r="Q19" s="124">
        <v>13</v>
      </c>
      <c r="R19" s="124">
        <v>12</v>
      </c>
      <c r="S19" s="97">
        <f>12589.36+4299.58+3922.41</f>
        <v>20811.350000000002</v>
      </c>
      <c r="T19" s="97">
        <f>12589.36+4299.58+3922.41</f>
        <v>20811.350000000002</v>
      </c>
      <c r="U19" s="97">
        <f t="shared" si="2"/>
        <v>0</v>
      </c>
      <c r="V19" s="143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21</v>
      </c>
      <c r="I20" s="75">
        <v>7</v>
      </c>
      <c r="J20" s="75">
        <v>11</v>
      </c>
      <c r="K20" s="75">
        <v>9</v>
      </c>
      <c r="L20" s="75">
        <v>3</v>
      </c>
      <c r="M20" s="97">
        <v>1581.26</v>
      </c>
      <c r="N20" s="97">
        <v>1581.26</v>
      </c>
      <c r="O20" s="93">
        <f t="shared" si="1"/>
        <v>0</v>
      </c>
      <c r="P20" s="123">
        <v>23</v>
      </c>
      <c r="Q20" s="124">
        <v>23</v>
      </c>
      <c r="R20" s="124">
        <v>19</v>
      </c>
      <c r="S20" s="97">
        <f>14391.07+12609.01</f>
        <v>27000.080000000002</v>
      </c>
      <c r="T20" s="97">
        <f>14391.07+12609.01</f>
        <v>27000.080000000002</v>
      </c>
      <c r="U20" s="97">
        <f t="shared" si="2"/>
        <v>0</v>
      </c>
      <c r="V20" s="14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11</v>
      </c>
      <c r="I21" s="75">
        <v>3</v>
      </c>
      <c r="J21" s="75">
        <v>4</v>
      </c>
      <c r="K21" s="75">
        <v>4</v>
      </c>
      <c r="L21" s="75">
        <v>2</v>
      </c>
      <c r="M21" s="97">
        <f>427.18+831.61</f>
        <v>1258.79</v>
      </c>
      <c r="N21" s="97">
        <f>427.18+831.61</f>
        <v>1258.79</v>
      </c>
      <c r="O21" s="93">
        <f t="shared" si="1"/>
        <v>0</v>
      </c>
      <c r="P21" s="123">
        <v>5</v>
      </c>
      <c r="Q21" s="124">
        <v>5</v>
      </c>
      <c r="R21" s="124">
        <v>4</v>
      </c>
      <c r="S21" s="97">
        <f>5005.45+1729.9</f>
        <v>6735.35</v>
      </c>
      <c r="T21" s="97">
        <f>5005.45+1729.9</f>
        <v>6735.35</v>
      </c>
      <c r="U21" s="97">
        <f t="shared" si="2"/>
        <v>0</v>
      </c>
      <c r="V21" s="135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43</v>
      </c>
      <c r="I22" s="75">
        <v>22</v>
      </c>
      <c r="J22" s="75">
        <v>31</v>
      </c>
      <c r="K22" s="75">
        <v>25</v>
      </c>
      <c r="L22" s="75">
        <v>25</v>
      </c>
      <c r="M22" s="97">
        <v>18961.91</v>
      </c>
      <c r="N22" s="97">
        <v>18961.91</v>
      </c>
      <c r="O22" s="93">
        <f t="shared" si="1"/>
        <v>0</v>
      </c>
      <c r="P22" s="123">
        <v>20</v>
      </c>
      <c r="Q22" s="124">
        <v>19</v>
      </c>
      <c r="R22" s="124">
        <v>18</v>
      </c>
      <c r="S22" s="97">
        <v>24103.23</v>
      </c>
      <c r="T22" s="97">
        <v>24103.23</v>
      </c>
      <c r="U22" s="97">
        <f t="shared" si="2"/>
        <v>0</v>
      </c>
      <c r="V22" s="135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9</v>
      </c>
      <c r="I23" s="75">
        <v>5</v>
      </c>
      <c r="J23" s="75">
        <v>7</v>
      </c>
      <c r="K23" s="75">
        <v>5</v>
      </c>
      <c r="L23" s="75">
        <v>3</v>
      </c>
      <c r="M23" s="97">
        <v>4920.5</v>
      </c>
      <c r="N23" s="97">
        <v>4920.5</v>
      </c>
      <c r="O23" s="93">
        <f t="shared" si="1"/>
        <v>0</v>
      </c>
      <c r="P23" s="123">
        <v>11</v>
      </c>
      <c r="Q23" s="124">
        <v>11</v>
      </c>
      <c r="R23" s="124">
        <v>10</v>
      </c>
      <c r="S23" s="97">
        <v>25884.66</v>
      </c>
      <c r="T23" s="97">
        <v>25884.66</v>
      </c>
      <c r="U23" s="97">
        <f t="shared" si="2"/>
        <v>0</v>
      </c>
      <c r="V23" s="143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12</v>
      </c>
      <c r="I24" s="75">
        <v>8</v>
      </c>
      <c r="J24" s="75">
        <v>10</v>
      </c>
      <c r="K24" s="75">
        <v>10</v>
      </c>
      <c r="L24" s="75">
        <v>10</v>
      </c>
      <c r="M24" s="97">
        <v>1515.11</v>
      </c>
      <c r="N24" s="97">
        <v>1515.11</v>
      </c>
      <c r="O24" s="93">
        <f t="shared" si="1"/>
        <v>0</v>
      </c>
      <c r="P24" s="123">
        <v>8</v>
      </c>
      <c r="Q24" s="124">
        <v>7</v>
      </c>
      <c r="R24" s="124">
        <v>7</v>
      </c>
      <c r="S24" s="97">
        <v>4998.37</v>
      </c>
      <c r="T24" s="97">
        <v>4998.37</v>
      </c>
      <c r="U24" s="97">
        <f t="shared" si="2"/>
        <v>0</v>
      </c>
      <c r="V24" s="135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16</v>
      </c>
      <c r="I25" s="75">
        <v>9</v>
      </c>
      <c r="J25" s="75">
        <v>14</v>
      </c>
      <c r="K25" s="75">
        <v>12</v>
      </c>
      <c r="L25" s="75">
        <v>8</v>
      </c>
      <c r="M25" s="97">
        <f>2255.39+2419.13</f>
        <v>4674.5200000000004</v>
      </c>
      <c r="N25" s="97">
        <f>2255.39+2419.13</f>
        <v>4674.5200000000004</v>
      </c>
      <c r="O25" s="93">
        <f t="shared" si="1"/>
        <v>0</v>
      </c>
      <c r="P25" s="123">
        <v>21</v>
      </c>
      <c r="Q25" s="124">
        <v>20</v>
      </c>
      <c r="R25" s="124">
        <v>18</v>
      </c>
      <c r="S25" s="97">
        <f>17792.25+4619.68</f>
        <v>22411.93</v>
      </c>
      <c r="T25" s="97">
        <f>17792.25+4619.68</f>
        <v>22411.93</v>
      </c>
      <c r="U25" s="97">
        <f t="shared" si="2"/>
        <v>0</v>
      </c>
      <c r="V25" s="142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17</v>
      </c>
      <c r="I26" s="75">
        <v>3</v>
      </c>
      <c r="J26" s="75">
        <v>4</v>
      </c>
      <c r="K26" s="75">
        <v>4</v>
      </c>
      <c r="L26" s="75"/>
      <c r="M26" s="97"/>
      <c r="N26" s="97"/>
      <c r="O26" s="93">
        <f t="shared" si="1"/>
        <v>0</v>
      </c>
      <c r="P26" s="123">
        <v>10</v>
      </c>
      <c r="Q26" s="124">
        <v>10</v>
      </c>
      <c r="R26" s="124"/>
      <c r="S26" s="97"/>
      <c r="T26" s="97"/>
      <c r="U26" s="97">
        <f t="shared" si="2"/>
        <v>0</v>
      </c>
      <c r="V26" s="135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20</v>
      </c>
      <c r="I27" s="75">
        <v>7</v>
      </c>
      <c r="J27" s="75">
        <v>14</v>
      </c>
      <c r="K27" s="75">
        <v>14</v>
      </c>
      <c r="L27" s="75">
        <v>9</v>
      </c>
      <c r="M27" s="97">
        <f>2738.38+1698.1</f>
        <v>4436.4799999999996</v>
      </c>
      <c r="N27" s="97">
        <f>2738.38+1698.1</f>
        <v>4436.4799999999996</v>
      </c>
      <c r="O27" s="93">
        <f t="shared" si="1"/>
        <v>0</v>
      </c>
      <c r="P27" s="123">
        <v>14</v>
      </c>
      <c r="Q27" s="124">
        <v>14</v>
      </c>
      <c r="R27" s="124">
        <v>12</v>
      </c>
      <c r="S27" s="97">
        <f>11399.36+591.16</f>
        <v>11990.52</v>
      </c>
      <c r="T27" s="97">
        <f>11399.36+591.16</f>
        <v>11990.52</v>
      </c>
      <c r="U27" s="97">
        <f t="shared" si="2"/>
        <v>0</v>
      </c>
      <c r="V27" s="135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97"/>
      <c r="U28" s="97">
        <f t="shared" si="2"/>
        <v>0</v>
      </c>
      <c r="V28" s="135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15</v>
      </c>
      <c r="I29" s="75">
        <v>12</v>
      </c>
      <c r="J29" s="75">
        <v>15</v>
      </c>
      <c r="K29" s="75">
        <v>15</v>
      </c>
      <c r="L29" s="75">
        <v>11</v>
      </c>
      <c r="M29" s="97">
        <f>2023.14+2605.8+1307.38</f>
        <v>5936.3200000000006</v>
      </c>
      <c r="N29" s="97">
        <f>2023.14+2605.8+1307.38</f>
        <v>5936.3200000000006</v>
      </c>
      <c r="O29" s="93">
        <f t="shared" si="1"/>
        <v>0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43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20</v>
      </c>
      <c r="I30" s="75">
        <v>12</v>
      </c>
      <c r="J30" s="75">
        <v>13</v>
      </c>
      <c r="K30" s="75">
        <v>10</v>
      </c>
      <c r="L30" s="75">
        <v>8</v>
      </c>
      <c r="M30" s="97">
        <f>2487.52+2349.38</f>
        <v>4836.8999999999996</v>
      </c>
      <c r="N30" s="97">
        <f>2487.52+2349.38</f>
        <v>4836.8999999999996</v>
      </c>
      <c r="O30" s="93">
        <f t="shared" si="1"/>
        <v>0</v>
      </c>
      <c r="P30" s="123">
        <v>17</v>
      </c>
      <c r="Q30" s="124">
        <v>16</v>
      </c>
      <c r="R30" s="124">
        <v>14</v>
      </c>
      <c r="S30" s="97">
        <f>7176.8+21702.37</f>
        <v>28879.17</v>
      </c>
      <c r="T30" s="97">
        <f>7176.8+21702.37</f>
        <v>28879.17</v>
      </c>
      <c r="U30" s="97">
        <f t="shared" si="2"/>
        <v>0</v>
      </c>
      <c r="V30" s="14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1" t="s">
        <v>38</v>
      </c>
      <c r="D31" s="100" t="s">
        <v>124</v>
      </c>
      <c r="E31" s="101"/>
      <c r="F31" s="17" t="s">
        <v>106</v>
      </c>
      <c r="G31" s="72" t="s">
        <v>157</v>
      </c>
      <c r="H31" s="77">
        <v>4</v>
      </c>
      <c r="I31" s="75">
        <v>1</v>
      </c>
      <c r="J31" s="75">
        <v>2</v>
      </c>
      <c r="K31" s="75">
        <v>2</v>
      </c>
      <c r="L31" s="75">
        <v>2</v>
      </c>
      <c r="M31" s="97">
        <v>859.25</v>
      </c>
      <c r="N31" s="97">
        <v>859.25</v>
      </c>
      <c r="O31" s="93">
        <f t="shared" si="1"/>
        <v>0</v>
      </c>
      <c r="P31" s="123">
        <v>2</v>
      </c>
      <c r="Q31" s="12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4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0" t="s">
        <v>39</v>
      </c>
      <c r="D32" s="100" t="s">
        <v>124</v>
      </c>
      <c r="E32" s="101"/>
      <c r="F32" s="10" t="s">
        <v>105</v>
      </c>
      <c r="G32" s="72" t="s">
        <v>220</v>
      </c>
      <c r="H32" s="77"/>
      <c r="I32" s="75"/>
      <c r="J32" s="75"/>
      <c r="K32" s="75"/>
      <c r="L32" s="75"/>
      <c r="M32" s="97"/>
      <c r="N32" s="97"/>
      <c r="O32" s="93">
        <f t="shared" si="1"/>
        <v>0</v>
      </c>
      <c r="P32" s="123"/>
      <c r="Q32" s="124"/>
      <c r="R32" s="124"/>
      <c r="S32" s="97"/>
      <c r="T32" s="97"/>
      <c r="U32" s="97">
        <f t="shared" si="2"/>
        <v>0</v>
      </c>
      <c r="V32" s="135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0" t="s">
        <v>137</v>
      </c>
      <c r="D33" s="100" t="s">
        <v>124</v>
      </c>
      <c r="E33" s="101"/>
      <c r="F33" s="17" t="s">
        <v>106</v>
      </c>
      <c r="G33" s="72" t="s">
        <v>158</v>
      </c>
      <c r="H33" s="77">
        <v>9</v>
      </c>
      <c r="I33" s="75">
        <v>4</v>
      </c>
      <c r="J33" s="75">
        <v>4</v>
      </c>
      <c r="K33" s="75">
        <v>4</v>
      </c>
      <c r="L33" s="75">
        <v>3</v>
      </c>
      <c r="M33" s="97">
        <f>1929.2</f>
        <v>1929.2</v>
      </c>
      <c r="N33" s="97">
        <f>1929.2</f>
        <v>1929.2</v>
      </c>
      <c r="O33" s="93">
        <f t="shared" si="1"/>
        <v>0</v>
      </c>
      <c r="P33" s="123"/>
      <c r="Q33" s="124"/>
      <c r="R33" s="124"/>
      <c r="S33" s="97"/>
      <c r="T33" s="97"/>
      <c r="U33" s="97">
        <f t="shared" si="2"/>
        <v>0</v>
      </c>
      <c r="V33" s="135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2" t="s">
        <v>40</v>
      </c>
      <c r="D34" s="100" t="s">
        <v>124</v>
      </c>
      <c r="E34" s="101"/>
      <c r="F34" s="19" t="s">
        <v>115</v>
      </c>
      <c r="G34" s="72" t="s">
        <v>159</v>
      </c>
      <c r="H34" s="77">
        <v>12</v>
      </c>
      <c r="I34" s="75">
        <v>9</v>
      </c>
      <c r="J34" s="75">
        <v>14</v>
      </c>
      <c r="K34" s="75">
        <v>14</v>
      </c>
      <c r="L34" s="75">
        <v>11</v>
      </c>
      <c r="M34" s="97">
        <f>1580.26+3633.22+2321.45</f>
        <v>7534.9299999999994</v>
      </c>
      <c r="N34" s="97">
        <f>1580.26+3633.22+2321.45</f>
        <v>7534.9299999999994</v>
      </c>
      <c r="O34" s="93">
        <f t="shared" si="1"/>
        <v>0</v>
      </c>
      <c r="P34" s="123">
        <v>2</v>
      </c>
      <c r="Q34" s="12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43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1" t="s">
        <v>41</v>
      </c>
      <c r="D35" s="100" t="s">
        <v>124</v>
      </c>
      <c r="E35" s="101"/>
      <c r="F35" s="17" t="s">
        <v>106</v>
      </c>
      <c r="G35" s="72" t="s">
        <v>160</v>
      </c>
      <c r="H35" s="77">
        <v>9</v>
      </c>
      <c r="I35" s="75">
        <v>6</v>
      </c>
      <c r="J35" s="75">
        <v>9</v>
      </c>
      <c r="K35" s="75">
        <v>9</v>
      </c>
      <c r="L35" s="75">
        <v>3</v>
      </c>
      <c r="M35" s="97">
        <f>738.32+1081.83</f>
        <v>1820.15</v>
      </c>
      <c r="N35" s="97">
        <f>738.32+1081.83</f>
        <v>1820.15</v>
      </c>
      <c r="O35" s="93">
        <f t="shared" si="1"/>
        <v>0</v>
      </c>
      <c r="P35" s="123">
        <v>8</v>
      </c>
      <c r="Q35" s="124">
        <v>8</v>
      </c>
      <c r="R35" s="124">
        <v>7</v>
      </c>
      <c r="S35" s="97">
        <f>7876.12+900.18</f>
        <v>8776.2999999999993</v>
      </c>
      <c r="T35" s="97">
        <f>7876.12+900.18</f>
        <v>8776.2999999999993</v>
      </c>
      <c r="U35" s="97">
        <f t="shared" si="2"/>
        <v>0</v>
      </c>
      <c r="V35" s="141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3" t="s">
        <v>42</v>
      </c>
      <c r="D36" s="100" t="s">
        <v>124</v>
      </c>
      <c r="E36" s="101"/>
      <c r="F36" s="17" t="s">
        <v>106</v>
      </c>
      <c r="G36" s="72" t="s">
        <v>221</v>
      </c>
      <c r="H36" s="77">
        <v>9</v>
      </c>
      <c r="I36" s="75">
        <v>2</v>
      </c>
      <c r="J36" s="75">
        <v>2</v>
      </c>
      <c r="K36" s="75">
        <v>2</v>
      </c>
      <c r="L36" s="75"/>
      <c r="M36" s="97"/>
      <c r="N36" s="97"/>
      <c r="O36" s="93">
        <f t="shared" si="1"/>
        <v>0</v>
      </c>
      <c r="P36" s="123">
        <v>4</v>
      </c>
      <c r="Q36" s="124">
        <v>4</v>
      </c>
      <c r="R36" s="124">
        <v>4</v>
      </c>
      <c r="S36" s="97">
        <f>1436.08+3433.93</f>
        <v>4870.01</v>
      </c>
      <c r="T36" s="97">
        <f>1436.08+3433.93</f>
        <v>4870.01</v>
      </c>
      <c r="U36" s="97">
        <f t="shared" si="2"/>
        <v>0</v>
      </c>
      <c r="V36" s="142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3" t="s">
        <v>43</v>
      </c>
      <c r="D37" s="100" t="s">
        <v>124</v>
      </c>
      <c r="E37" s="101"/>
      <c r="F37" s="17" t="s">
        <v>106</v>
      </c>
      <c r="G37" s="72" t="s">
        <v>161</v>
      </c>
      <c r="H37" s="77">
        <v>8</v>
      </c>
      <c r="I37" s="75">
        <v>6</v>
      </c>
      <c r="J37" s="75">
        <v>6</v>
      </c>
      <c r="K37" s="75">
        <v>6</v>
      </c>
      <c r="L37" s="75">
        <v>5</v>
      </c>
      <c r="M37" s="97">
        <f>568.43+3282.53</f>
        <v>3850.96</v>
      </c>
      <c r="N37" s="97">
        <f>568.43+3282.53</f>
        <v>3850.96</v>
      </c>
      <c r="O37" s="93">
        <f t="shared" si="1"/>
        <v>0</v>
      </c>
      <c r="P37" s="123">
        <v>2</v>
      </c>
      <c r="Q37" s="124">
        <v>1</v>
      </c>
      <c r="R37" s="124">
        <v>1</v>
      </c>
      <c r="S37" s="97">
        <v>552.96</v>
      </c>
      <c r="T37" s="97">
        <v>552.96</v>
      </c>
      <c r="U37" s="97">
        <f t="shared" si="2"/>
        <v>0</v>
      </c>
      <c r="V37" s="142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1" t="s">
        <v>44</v>
      </c>
      <c r="D38" s="100" t="s">
        <v>124</v>
      </c>
      <c r="E38" s="101"/>
      <c r="F38" s="17" t="s">
        <v>105</v>
      </c>
      <c r="G38" s="72" t="s">
        <v>162</v>
      </c>
      <c r="H38" s="77">
        <v>36</v>
      </c>
      <c r="I38" s="75">
        <v>16</v>
      </c>
      <c r="J38" s="75">
        <v>21</v>
      </c>
      <c r="K38" s="75">
        <v>21</v>
      </c>
      <c r="L38" s="75">
        <v>21</v>
      </c>
      <c r="M38" s="97">
        <v>18043.849999999999</v>
      </c>
      <c r="N38" s="97">
        <v>18043.849999999999</v>
      </c>
      <c r="O38" s="93">
        <f t="shared" si="1"/>
        <v>0</v>
      </c>
      <c r="P38" s="123">
        <v>18</v>
      </c>
      <c r="Q38" s="124">
        <v>18</v>
      </c>
      <c r="R38" s="124">
        <v>18</v>
      </c>
      <c r="S38" s="97">
        <v>22326.77</v>
      </c>
      <c r="T38" s="97">
        <v>22326.77</v>
      </c>
      <c r="U38" s="97">
        <f t="shared" si="2"/>
        <v>0</v>
      </c>
      <c r="V38" s="14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1" t="s">
        <v>45</v>
      </c>
      <c r="D39" s="100" t="s">
        <v>124</v>
      </c>
      <c r="E39" s="101"/>
      <c r="F39" s="17" t="s">
        <v>111</v>
      </c>
      <c r="G39" s="72" t="s">
        <v>163</v>
      </c>
      <c r="H39" s="77">
        <v>15</v>
      </c>
      <c r="I39" s="75">
        <v>8</v>
      </c>
      <c r="J39" s="75">
        <v>11</v>
      </c>
      <c r="K39" s="75">
        <v>10</v>
      </c>
      <c r="L39" s="75">
        <v>7</v>
      </c>
      <c r="M39" s="97">
        <v>4309.67</v>
      </c>
      <c r="N39" s="97">
        <v>4309.67</v>
      </c>
      <c r="O39" s="93">
        <f t="shared" si="1"/>
        <v>0</v>
      </c>
      <c r="P39" s="123">
        <v>3</v>
      </c>
      <c r="Q39" s="124">
        <v>3</v>
      </c>
      <c r="R39" s="124">
        <v>3</v>
      </c>
      <c r="S39" s="97">
        <v>84.92</v>
      </c>
      <c r="T39" s="97">
        <v>84.92</v>
      </c>
      <c r="U39" s="97">
        <f t="shared" si="2"/>
        <v>0</v>
      </c>
      <c r="V39" s="14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0" t="s">
        <v>46</v>
      </c>
      <c r="D40" s="100" t="s">
        <v>124</v>
      </c>
      <c r="E40" s="101"/>
      <c r="F40" s="17" t="s">
        <v>106</v>
      </c>
      <c r="G40" s="72" t="s">
        <v>164</v>
      </c>
      <c r="H40" s="77">
        <v>6</v>
      </c>
      <c r="I40" s="75">
        <v>5</v>
      </c>
      <c r="J40" s="75">
        <v>5</v>
      </c>
      <c r="K40" s="75">
        <v>5</v>
      </c>
      <c r="L40" s="75">
        <v>3</v>
      </c>
      <c r="M40" s="97">
        <f>2273.7+1002.51</f>
        <v>3276.21</v>
      </c>
      <c r="N40" s="97">
        <f>2273.7+1002.51</f>
        <v>3276.21</v>
      </c>
      <c r="O40" s="93">
        <f t="shared" si="1"/>
        <v>0</v>
      </c>
      <c r="P40" s="123">
        <v>4</v>
      </c>
      <c r="Q40" s="12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35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0" t="s">
        <v>47</v>
      </c>
      <c r="D41" s="100" t="s">
        <v>124</v>
      </c>
      <c r="E41" s="101"/>
      <c r="F41" s="17" t="s">
        <v>116</v>
      </c>
      <c r="G41" s="72" t="s">
        <v>165</v>
      </c>
      <c r="H41" s="77">
        <v>9</v>
      </c>
      <c r="I41" s="75">
        <v>7</v>
      </c>
      <c r="J41" s="75">
        <v>8</v>
      </c>
      <c r="K41" s="75">
        <v>8</v>
      </c>
      <c r="L41" s="75">
        <v>3</v>
      </c>
      <c r="M41" s="97">
        <f>1322.88+206.7</f>
        <v>1529.5800000000002</v>
      </c>
      <c r="N41" s="97">
        <f>1322.88+206.7</f>
        <v>1529.5800000000002</v>
      </c>
      <c r="O41" s="93">
        <f t="shared" si="1"/>
        <v>0</v>
      </c>
      <c r="P41" s="123">
        <v>3</v>
      </c>
      <c r="Q41" s="124">
        <v>3</v>
      </c>
      <c r="R41" s="124">
        <v>2</v>
      </c>
      <c r="S41" s="97">
        <v>1016.08</v>
      </c>
      <c r="T41" s="97">
        <v>1016.08</v>
      </c>
      <c r="U41" s="97">
        <f t="shared" si="2"/>
        <v>0</v>
      </c>
      <c r="V41" s="135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3" t="s">
        <v>48</v>
      </c>
      <c r="D42" s="100" t="s">
        <v>124</v>
      </c>
      <c r="E42" s="101"/>
      <c r="F42" s="17" t="s">
        <v>106</v>
      </c>
      <c r="G42" s="72" t="s">
        <v>166</v>
      </c>
      <c r="H42" s="77">
        <v>9</v>
      </c>
      <c r="I42" s="75">
        <v>4</v>
      </c>
      <c r="J42" s="75">
        <v>4</v>
      </c>
      <c r="K42" s="75">
        <v>4</v>
      </c>
      <c r="L42" s="75">
        <v>2</v>
      </c>
      <c r="M42" s="97">
        <v>4681.8900000000003</v>
      </c>
      <c r="N42" s="97">
        <v>4681.8900000000003</v>
      </c>
      <c r="O42" s="93">
        <f t="shared" si="1"/>
        <v>0</v>
      </c>
      <c r="P42" s="123">
        <v>5</v>
      </c>
      <c r="Q42" s="124">
        <v>5</v>
      </c>
      <c r="R42" s="124">
        <v>3</v>
      </c>
      <c r="S42" s="97">
        <f>3907.41+583.58</f>
        <v>4490.99</v>
      </c>
      <c r="T42" s="97">
        <f>3907.41+583.58</f>
        <v>4490.99</v>
      </c>
      <c r="U42" s="97">
        <f t="shared" si="2"/>
        <v>0</v>
      </c>
      <c r="V42" s="142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0" t="s">
        <v>49</v>
      </c>
      <c r="D43" s="100" t="s">
        <v>124</v>
      </c>
      <c r="E43" s="101"/>
      <c r="F43" s="17" t="s">
        <v>106</v>
      </c>
      <c r="G43" s="72" t="s">
        <v>167</v>
      </c>
      <c r="H43" s="77">
        <v>12</v>
      </c>
      <c r="I43" s="75">
        <v>4</v>
      </c>
      <c r="J43" s="75">
        <v>4</v>
      </c>
      <c r="K43" s="75">
        <v>4</v>
      </c>
      <c r="L43" s="75">
        <v>1</v>
      </c>
      <c r="M43" s="97">
        <v>1157.56</v>
      </c>
      <c r="N43" s="97">
        <v>1157.56</v>
      </c>
      <c r="O43" s="93">
        <f t="shared" si="1"/>
        <v>0</v>
      </c>
      <c r="P43" s="123">
        <v>7</v>
      </c>
      <c r="Q43" s="124">
        <v>6</v>
      </c>
      <c r="R43" s="124">
        <v>5</v>
      </c>
      <c r="S43" s="97">
        <v>6437</v>
      </c>
      <c r="T43" s="97">
        <v>6437</v>
      </c>
      <c r="U43" s="97">
        <f t="shared" si="2"/>
        <v>0</v>
      </c>
      <c r="V43" s="135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3" t="s">
        <v>50</v>
      </c>
      <c r="D44" s="100" t="s">
        <v>124</v>
      </c>
      <c r="E44" s="101"/>
      <c r="F44" s="17" t="s">
        <v>106</v>
      </c>
      <c r="G44" s="72" t="s">
        <v>168</v>
      </c>
      <c r="H44" s="77">
        <v>5</v>
      </c>
      <c r="I44" s="75">
        <v>5</v>
      </c>
      <c r="J44" s="75">
        <v>8</v>
      </c>
      <c r="K44" s="75">
        <v>8</v>
      </c>
      <c r="L44" s="75">
        <v>4</v>
      </c>
      <c r="M44" s="97">
        <f>1345.04+387.91</f>
        <v>1732.95</v>
      </c>
      <c r="N44" s="97">
        <f>1345.04+387.91</f>
        <v>1732.95</v>
      </c>
      <c r="O44" s="93">
        <f t="shared" si="1"/>
        <v>0</v>
      </c>
      <c r="P44" s="123">
        <v>4</v>
      </c>
      <c r="Q44" s="124">
        <v>4</v>
      </c>
      <c r="R44" s="124">
        <v>4</v>
      </c>
      <c r="S44" s="97">
        <f>3997.92+850.65</f>
        <v>4848.57</v>
      </c>
      <c r="T44" s="97">
        <f>3997.92+850.65</f>
        <v>4848.57</v>
      </c>
      <c r="U44" s="97">
        <f t="shared" si="2"/>
        <v>0</v>
      </c>
      <c r="V44" s="142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1" t="s">
        <v>51</v>
      </c>
      <c r="D45" s="100" t="s">
        <v>124</v>
      </c>
      <c r="E45" s="101"/>
      <c r="F45" s="22" t="s">
        <v>112</v>
      </c>
      <c r="G45" s="72"/>
      <c r="H45" s="77"/>
      <c r="I45" s="75"/>
      <c r="J45" s="75"/>
      <c r="K45" s="75"/>
      <c r="L45" s="75"/>
      <c r="M45" s="97"/>
      <c r="N45" s="97"/>
      <c r="O45" s="93">
        <f t="shared" si="1"/>
        <v>0</v>
      </c>
      <c r="P45" s="123"/>
      <c r="Q45" s="124"/>
      <c r="R45" s="124"/>
      <c r="S45" s="97"/>
      <c r="T45" s="97"/>
      <c r="U45" s="97">
        <f t="shared" si="2"/>
        <v>0</v>
      </c>
      <c r="V45" s="14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1" t="s">
        <v>131</v>
      </c>
      <c r="D46" s="100" t="s">
        <v>124</v>
      </c>
      <c r="E46" s="101"/>
      <c r="F46" s="22" t="s">
        <v>106</v>
      </c>
      <c r="G46" s="72" t="s">
        <v>171</v>
      </c>
      <c r="H46" s="77">
        <v>7</v>
      </c>
      <c r="I46" s="75"/>
      <c r="J46" s="75"/>
      <c r="K46" s="75"/>
      <c r="L46" s="75"/>
      <c r="M46" s="97"/>
      <c r="N46" s="97"/>
      <c r="O46" s="93">
        <f t="shared" si="1"/>
        <v>0</v>
      </c>
      <c r="P46" s="123">
        <v>2</v>
      </c>
      <c r="Q46" s="124">
        <v>2</v>
      </c>
      <c r="R46" s="124">
        <v>2</v>
      </c>
      <c r="S46" s="97">
        <v>12091.23</v>
      </c>
      <c r="T46" s="97">
        <v>12091.23</v>
      </c>
      <c r="U46" s="97">
        <f t="shared" si="2"/>
        <v>0</v>
      </c>
      <c r="V46" s="14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3" t="s">
        <v>52</v>
      </c>
      <c r="D47" s="100" t="s">
        <v>124</v>
      </c>
      <c r="E47" s="101"/>
      <c r="F47" s="17" t="s">
        <v>106</v>
      </c>
      <c r="G47" s="72" t="s">
        <v>169</v>
      </c>
      <c r="H47" s="77">
        <v>22</v>
      </c>
      <c r="I47" s="75">
        <v>8</v>
      </c>
      <c r="J47" s="75">
        <v>12</v>
      </c>
      <c r="K47" s="75">
        <v>12</v>
      </c>
      <c r="L47" s="75">
        <v>4</v>
      </c>
      <c r="M47" s="97">
        <f>2714.54+272.6</f>
        <v>2987.14</v>
      </c>
      <c r="N47" s="97">
        <f>2714.54+272.6</f>
        <v>2987.14</v>
      </c>
      <c r="O47" s="93">
        <f t="shared" si="1"/>
        <v>0</v>
      </c>
      <c r="P47" s="123">
        <v>2</v>
      </c>
      <c r="Q47" s="124">
        <v>2</v>
      </c>
      <c r="R47" s="124">
        <v>1</v>
      </c>
      <c r="S47" s="97">
        <v>689</v>
      </c>
      <c r="T47" s="97">
        <v>689</v>
      </c>
      <c r="U47" s="97">
        <f t="shared" si="2"/>
        <v>0</v>
      </c>
      <c r="V47" s="142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0" t="s">
        <v>53</v>
      </c>
      <c r="D48" s="100" t="s">
        <v>124</v>
      </c>
      <c r="E48" s="101"/>
      <c r="F48" s="17" t="s">
        <v>105</v>
      </c>
      <c r="G48" s="72" t="s">
        <v>170</v>
      </c>
      <c r="H48" s="77">
        <v>8</v>
      </c>
      <c r="I48" s="75">
        <v>5</v>
      </c>
      <c r="J48" s="75">
        <v>7</v>
      </c>
      <c r="K48" s="75">
        <v>7</v>
      </c>
      <c r="L48" s="75">
        <v>7</v>
      </c>
      <c r="M48" s="97">
        <v>8890.84</v>
      </c>
      <c r="N48" s="97">
        <v>8890.84</v>
      </c>
      <c r="O48" s="93">
        <f t="shared" si="1"/>
        <v>0</v>
      </c>
      <c r="P48" s="123">
        <v>3</v>
      </c>
      <c r="Q48" s="12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35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0" t="s">
        <v>54</v>
      </c>
      <c r="D49" s="100" t="s">
        <v>124</v>
      </c>
      <c r="E49" s="101"/>
      <c r="F49" s="17" t="s">
        <v>106</v>
      </c>
      <c r="G49" s="72" t="s">
        <v>172</v>
      </c>
      <c r="H49" s="77">
        <v>10</v>
      </c>
      <c r="I49" s="75">
        <v>4</v>
      </c>
      <c r="J49" s="75">
        <v>4</v>
      </c>
      <c r="K49" s="75">
        <v>4</v>
      </c>
      <c r="L49" s="75">
        <v>1</v>
      </c>
      <c r="M49" s="97">
        <v>397.9</v>
      </c>
      <c r="N49" s="97">
        <v>397.9</v>
      </c>
      <c r="O49" s="93">
        <f t="shared" si="1"/>
        <v>0</v>
      </c>
      <c r="P49" s="123">
        <v>7</v>
      </c>
      <c r="Q49" s="124">
        <v>7</v>
      </c>
      <c r="R49" s="124">
        <v>5</v>
      </c>
      <c r="S49" s="97">
        <f>4105.06+1454.92</f>
        <v>5559.9800000000005</v>
      </c>
      <c r="T49" s="97">
        <f>4105.06+1454.92</f>
        <v>5559.9800000000005</v>
      </c>
      <c r="U49" s="97">
        <f t="shared" si="2"/>
        <v>0</v>
      </c>
      <c r="V49" s="135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0" t="s">
        <v>55</v>
      </c>
      <c r="D50" s="100" t="s">
        <v>124</v>
      </c>
      <c r="E50" s="101"/>
      <c r="F50" s="17" t="s">
        <v>106</v>
      </c>
      <c r="G50" s="72" t="s">
        <v>173</v>
      </c>
      <c r="H50" s="77">
        <v>11</v>
      </c>
      <c r="I50" s="75">
        <v>9</v>
      </c>
      <c r="J50" s="75">
        <v>10</v>
      </c>
      <c r="K50" s="75">
        <v>10</v>
      </c>
      <c r="L50" s="75">
        <v>7</v>
      </c>
      <c r="M50" s="97">
        <v>6228.72</v>
      </c>
      <c r="N50" s="97">
        <v>6228.72</v>
      </c>
      <c r="O50" s="93">
        <f t="shared" si="1"/>
        <v>0</v>
      </c>
      <c r="P50" s="123">
        <v>6</v>
      </c>
      <c r="Q50" s="124">
        <v>5</v>
      </c>
      <c r="R50" s="124">
        <v>5</v>
      </c>
      <c r="S50" s="97">
        <f>2457.28+1725.6</f>
        <v>4182.88</v>
      </c>
      <c r="T50" s="97">
        <f>2457.28+1725.6</f>
        <v>4182.88</v>
      </c>
      <c r="U50" s="97">
        <f t="shared" si="2"/>
        <v>0</v>
      </c>
      <c r="V50" s="135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0" t="s">
        <v>56</v>
      </c>
      <c r="D51" s="100" t="s">
        <v>124</v>
      </c>
      <c r="E51" s="101"/>
      <c r="F51" s="17" t="s">
        <v>106</v>
      </c>
      <c r="G51" s="72" t="s">
        <v>174</v>
      </c>
      <c r="H51" s="77">
        <v>12</v>
      </c>
      <c r="I51" s="75">
        <v>5</v>
      </c>
      <c r="J51" s="75">
        <v>6</v>
      </c>
      <c r="K51" s="75">
        <v>6</v>
      </c>
      <c r="L51" s="75">
        <v>3</v>
      </c>
      <c r="M51" s="97">
        <v>1308.27</v>
      </c>
      <c r="N51" s="97">
        <v>1308.27</v>
      </c>
      <c r="O51" s="93">
        <f t="shared" si="1"/>
        <v>0</v>
      </c>
      <c r="P51" s="123">
        <v>1</v>
      </c>
      <c r="Q51" s="124">
        <v>1</v>
      </c>
      <c r="R51" s="124">
        <v>1</v>
      </c>
      <c r="S51" s="97">
        <v>728.15</v>
      </c>
      <c r="T51" s="97">
        <v>728.15</v>
      </c>
      <c r="U51" s="97">
        <f t="shared" si="2"/>
        <v>0</v>
      </c>
      <c r="V51" s="135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3" t="s">
        <v>57</v>
      </c>
      <c r="D52" s="100" t="s">
        <v>124</v>
      </c>
      <c r="E52" s="101"/>
      <c r="F52" s="17" t="s">
        <v>106</v>
      </c>
      <c r="G52" s="72" t="s">
        <v>175</v>
      </c>
      <c r="H52" s="77">
        <v>11</v>
      </c>
      <c r="I52" s="75">
        <v>6</v>
      </c>
      <c r="J52" s="75">
        <v>7</v>
      </c>
      <c r="K52" s="75">
        <v>7</v>
      </c>
      <c r="L52" s="75">
        <v>4</v>
      </c>
      <c r="M52" s="97">
        <f>613.9+1710.26</f>
        <v>2324.16</v>
      </c>
      <c r="N52" s="97">
        <f>613.9+1710.26</f>
        <v>2324.16</v>
      </c>
      <c r="O52" s="93">
        <f t="shared" si="1"/>
        <v>0</v>
      </c>
      <c r="P52" s="123">
        <v>5</v>
      </c>
      <c r="Q52" s="124">
        <v>4</v>
      </c>
      <c r="R52" s="124">
        <v>4</v>
      </c>
      <c r="S52" s="97">
        <f>1535.39+1035.3</f>
        <v>2570.69</v>
      </c>
      <c r="T52" s="97">
        <f>1535.39+1035.3</f>
        <v>2570.69</v>
      </c>
      <c r="U52" s="97">
        <f t="shared" si="2"/>
        <v>0</v>
      </c>
      <c r="V52" s="142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3" t="s">
        <v>58</v>
      </c>
      <c r="D53" s="100" t="s">
        <v>124</v>
      </c>
      <c r="E53" s="101"/>
      <c r="F53" s="17" t="s">
        <v>106</v>
      </c>
      <c r="G53" s="72" t="s">
        <v>260</v>
      </c>
      <c r="H53" s="77">
        <v>4</v>
      </c>
      <c r="I53" s="75"/>
      <c r="J53" s="75"/>
      <c r="K53" s="75"/>
      <c r="L53" s="75"/>
      <c r="M53" s="97"/>
      <c r="N53" s="97"/>
      <c r="O53" s="93">
        <f t="shared" si="1"/>
        <v>0</v>
      </c>
      <c r="P53" s="123">
        <v>2</v>
      </c>
      <c r="Q53" s="12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42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3" t="s">
        <v>59</v>
      </c>
      <c r="D54" s="100" t="s">
        <v>124</v>
      </c>
      <c r="E54" s="101"/>
      <c r="F54" s="17" t="s">
        <v>112</v>
      </c>
      <c r="G54" s="72" t="s">
        <v>176</v>
      </c>
      <c r="H54" s="77">
        <v>41</v>
      </c>
      <c r="I54" s="75">
        <v>19</v>
      </c>
      <c r="J54" s="75">
        <v>25</v>
      </c>
      <c r="K54" s="75">
        <v>25</v>
      </c>
      <c r="L54" s="75">
        <v>17</v>
      </c>
      <c r="M54" s="97">
        <f>575.32+6377.18</f>
        <v>6952.5</v>
      </c>
      <c r="N54" s="97">
        <f>575.32+6377.18</f>
        <v>6952.5</v>
      </c>
      <c r="O54" s="93">
        <f t="shared" si="1"/>
        <v>0</v>
      </c>
      <c r="P54" s="123">
        <v>17</v>
      </c>
      <c r="Q54" s="12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42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3" t="s">
        <v>60</v>
      </c>
      <c r="D55" s="100" t="s">
        <v>125</v>
      </c>
      <c r="E55" s="106" t="s">
        <v>126</v>
      </c>
      <c r="F55" s="17" t="s">
        <v>106</v>
      </c>
      <c r="G55" s="72" t="s">
        <v>177</v>
      </c>
      <c r="H55" s="77">
        <v>5</v>
      </c>
      <c r="I55" s="75">
        <v>2</v>
      </c>
      <c r="J55" s="75">
        <v>2</v>
      </c>
      <c r="K55" s="75">
        <v>2</v>
      </c>
      <c r="L55" s="75">
        <v>1</v>
      </c>
      <c r="M55" s="97">
        <v>4023.8</v>
      </c>
      <c r="N55" s="97">
        <v>4023.8</v>
      </c>
      <c r="O55" s="93">
        <f t="shared" si="1"/>
        <v>0</v>
      </c>
      <c r="P55" s="123">
        <v>3</v>
      </c>
      <c r="Q55" s="12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42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1" t="s">
        <v>61</v>
      </c>
      <c r="D56" s="100" t="s">
        <v>124</v>
      </c>
      <c r="E56" s="101"/>
      <c r="F56" s="17" t="s">
        <v>107</v>
      </c>
      <c r="G56" s="72" t="s">
        <v>178</v>
      </c>
      <c r="H56" s="77">
        <v>33</v>
      </c>
      <c r="I56" s="75">
        <v>18</v>
      </c>
      <c r="J56" s="75">
        <v>20</v>
      </c>
      <c r="K56" s="75">
        <v>18</v>
      </c>
      <c r="L56" s="75">
        <v>13</v>
      </c>
      <c r="M56" s="97">
        <f>2880.54+7232.73</f>
        <v>10113.27</v>
      </c>
      <c r="N56" s="97">
        <f>2880.54+7232.73</f>
        <v>10113.27</v>
      </c>
      <c r="O56" s="93">
        <f t="shared" si="1"/>
        <v>0</v>
      </c>
      <c r="P56" s="123">
        <v>30</v>
      </c>
      <c r="Q56" s="124">
        <v>29</v>
      </c>
      <c r="R56" s="124">
        <v>24</v>
      </c>
      <c r="S56" s="97">
        <f>35028.07+10662.98</f>
        <v>45691.05</v>
      </c>
      <c r="T56" s="97">
        <f>35028.07+10662.98</f>
        <v>45691.05</v>
      </c>
      <c r="U56" s="97">
        <f t="shared" si="2"/>
        <v>0</v>
      </c>
      <c r="V56" s="14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1" t="s">
        <v>134</v>
      </c>
      <c r="D57" s="100" t="s">
        <v>124</v>
      </c>
      <c r="E57" s="101"/>
      <c r="F57" s="17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75">
        <v>3</v>
      </c>
      <c r="L57" s="75">
        <v>3</v>
      </c>
      <c r="M57" s="97">
        <v>1200.96</v>
      </c>
      <c r="N57" s="97">
        <v>1200.96</v>
      </c>
      <c r="O57" s="93">
        <f t="shared" si="1"/>
        <v>0</v>
      </c>
      <c r="P57" s="123"/>
      <c r="Q57" s="124"/>
      <c r="R57" s="124"/>
      <c r="S57" s="97"/>
      <c r="T57" s="97"/>
      <c r="U57" s="97">
        <f t="shared" si="2"/>
        <v>0</v>
      </c>
      <c r="V57" s="14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1" t="s">
        <v>62</v>
      </c>
      <c r="D58" s="100" t="s">
        <v>124</v>
      </c>
      <c r="E58" s="101"/>
      <c r="F58" s="17" t="s">
        <v>106</v>
      </c>
      <c r="G58" s="72" t="s">
        <v>230</v>
      </c>
      <c r="H58" s="77"/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97"/>
      <c r="U58" s="97">
        <f t="shared" si="2"/>
        <v>0</v>
      </c>
      <c r="V58" s="14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1" t="s">
        <v>63</v>
      </c>
      <c r="D59" s="100" t="s">
        <v>124</v>
      </c>
      <c r="E59" s="101"/>
      <c r="F59" s="22" t="s">
        <v>112</v>
      </c>
      <c r="G59" s="72" t="s">
        <v>224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97"/>
      <c r="U59" s="97">
        <f t="shared" si="2"/>
        <v>0</v>
      </c>
      <c r="V59" s="14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1" t="s">
        <v>64</v>
      </c>
      <c r="D60" s="100" t="s">
        <v>124</v>
      </c>
      <c r="E60" s="101"/>
      <c r="F60" s="22" t="s">
        <v>107</v>
      </c>
      <c r="G60" s="72" t="s">
        <v>180</v>
      </c>
      <c r="H60" s="77">
        <v>32</v>
      </c>
      <c r="I60" s="75">
        <v>18</v>
      </c>
      <c r="J60" s="75">
        <v>27</v>
      </c>
      <c r="K60" s="75">
        <v>22</v>
      </c>
      <c r="L60" s="75">
        <v>21</v>
      </c>
      <c r="M60" s="97">
        <v>19367.669999999998</v>
      </c>
      <c r="N60" s="97">
        <v>19367.669999999998</v>
      </c>
      <c r="O60" s="93">
        <f t="shared" si="1"/>
        <v>0</v>
      </c>
      <c r="P60" s="123">
        <v>6</v>
      </c>
      <c r="Q60" s="124">
        <v>6</v>
      </c>
      <c r="R60" s="124">
        <v>6</v>
      </c>
      <c r="S60" s="97">
        <v>7737.36</v>
      </c>
      <c r="T60" s="97">
        <v>7737.36</v>
      </c>
      <c r="U60" s="97">
        <f t="shared" si="2"/>
        <v>0</v>
      </c>
      <c r="V60" s="14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1" t="s">
        <v>135</v>
      </c>
      <c r="D61" s="100" t="s">
        <v>124</v>
      </c>
      <c r="E61" s="101"/>
      <c r="F61" s="22" t="s">
        <v>111</v>
      </c>
      <c r="G61" s="72" t="s">
        <v>181</v>
      </c>
      <c r="H61" s="77">
        <v>10</v>
      </c>
      <c r="I61" s="75">
        <v>7</v>
      </c>
      <c r="J61" s="75">
        <v>8</v>
      </c>
      <c r="K61" s="75">
        <v>6</v>
      </c>
      <c r="L61" s="75">
        <v>4</v>
      </c>
      <c r="M61" s="97">
        <v>2862.11</v>
      </c>
      <c r="N61" s="97">
        <v>2862.11</v>
      </c>
      <c r="O61" s="93">
        <f t="shared" si="1"/>
        <v>0</v>
      </c>
      <c r="P61" s="123"/>
      <c r="Q61" s="124"/>
      <c r="R61" s="124"/>
      <c r="S61" s="97"/>
      <c r="T61" s="97"/>
      <c r="U61" s="97">
        <f t="shared" si="2"/>
        <v>0</v>
      </c>
      <c r="V61" s="14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3" t="s">
        <v>65</v>
      </c>
      <c r="D62" s="100" t="s">
        <v>124</v>
      </c>
      <c r="E62" s="101"/>
      <c r="F62" s="17" t="s">
        <v>106</v>
      </c>
      <c r="G62" s="72" t="s">
        <v>182</v>
      </c>
      <c r="H62" s="77">
        <v>12</v>
      </c>
      <c r="I62" s="75">
        <v>2</v>
      </c>
      <c r="J62" s="75">
        <v>2</v>
      </c>
      <c r="K62" s="75">
        <v>2</v>
      </c>
      <c r="L62" s="75">
        <v>2</v>
      </c>
      <c r="M62" s="97">
        <f>1263.45+2111.32</f>
        <v>3374.7700000000004</v>
      </c>
      <c r="N62" s="97">
        <f>1263.45+2111.32</f>
        <v>3374.7700000000004</v>
      </c>
      <c r="O62" s="93">
        <f t="shared" si="1"/>
        <v>0</v>
      </c>
      <c r="P62" s="123">
        <v>6</v>
      </c>
      <c r="Q62" s="124">
        <v>6</v>
      </c>
      <c r="R62" s="124">
        <v>6</v>
      </c>
      <c r="S62" s="97">
        <f>740.14+4736.32</f>
        <v>5476.46</v>
      </c>
      <c r="T62" s="97">
        <f>740.14+4736.32</f>
        <v>5476.46</v>
      </c>
      <c r="U62" s="97">
        <f t="shared" si="2"/>
        <v>0</v>
      </c>
    </row>
    <row r="63" spans="1:40" ht="20.100000000000001" customHeight="1" x14ac:dyDescent="0.25">
      <c r="B63" s="99">
        <f t="shared" si="3"/>
        <v>54</v>
      </c>
      <c r="C63" s="13" t="s">
        <v>66</v>
      </c>
      <c r="D63" s="100" t="s">
        <v>124</v>
      </c>
      <c r="E63" s="101"/>
      <c r="F63" s="17" t="s">
        <v>112</v>
      </c>
      <c r="G63" s="72" t="s">
        <v>227</v>
      </c>
      <c r="H63" s="77"/>
      <c r="I63" s="75"/>
      <c r="J63" s="75"/>
      <c r="K63" s="75"/>
      <c r="L63" s="75"/>
      <c r="M63" s="97">
        <v>482.3</v>
      </c>
      <c r="N63" s="97">
        <v>482.3</v>
      </c>
      <c r="O63" s="93">
        <f t="shared" si="1"/>
        <v>0</v>
      </c>
      <c r="P63" s="123">
        <v>28</v>
      </c>
      <c r="Q63" s="124">
        <v>28</v>
      </c>
      <c r="R63" s="124">
        <v>28</v>
      </c>
      <c r="S63" s="97">
        <v>9392.68</v>
      </c>
      <c r="T63" s="97">
        <v>9392.68</v>
      </c>
      <c r="U63" s="97">
        <f t="shared" si="2"/>
        <v>0</v>
      </c>
    </row>
    <row r="64" spans="1:40" ht="20.100000000000001" customHeight="1" x14ac:dyDescent="0.25">
      <c r="A64" s="155">
        <v>50</v>
      </c>
      <c r="B64" s="99">
        <f t="shared" si="3"/>
        <v>55</v>
      </c>
      <c r="C64" s="10" t="s">
        <v>67</v>
      </c>
      <c r="D64" s="100" t="s">
        <v>124</v>
      </c>
      <c r="E64" s="101"/>
      <c r="F64" s="17" t="s">
        <v>106</v>
      </c>
      <c r="G64" s="72" t="s">
        <v>183</v>
      </c>
      <c r="H64" s="77">
        <v>18</v>
      </c>
      <c r="I64" s="75">
        <v>9</v>
      </c>
      <c r="J64" s="75">
        <v>11</v>
      </c>
      <c r="K64" s="75">
        <v>11</v>
      </c>
      <c r="L64" s="75">
        <v>7</v>
      </c>
      <c r="M64" s="97">
        <v>4540.7700000000004</v>
      </c>
      <c r="N64" s="97">
        <v>4540.7700000000004</v>
      </c>
      <c r="O64" s="93">
        <f t="shared" si="1"/>
        <v>0</v>
      </c>
      <c r="P64" s="123">
        <v>9</v>
      </c>
      <c r="Q64" s="124">
        <v>9</v>
      </c>
      <c r="R64" s="124">
        <v>8</v>
      </c>
      <c r="S64" s="97">
        <v>5100.46</v>
      </c>
      <c r="T64" s="97">
        <v>5100.46</v>
      </c>
      <c r="U64" s="97">
        <f t="shared" si="2"/>
        <v>0</v>
      </c>
    </row>
    <row r="65" spans="1:21" ht="20.100000000000001" customHeight="1" x14ac:dyDescent="0.25">
      <c r="A65" s="155">
        <v>51</v>
      </c>
      <c r="B65" s="99">
        <f t="shared" si="3"/>
        <v>56</v>
      </c>
      <c r="C65" s="10" t="s">
        <v>68</v>
      </c>
      <c r="D65" s="100" t="s">
        <v>124</v>
      </c>
      <c r="E65" s="101"/>
      <c r="F65" s="17" t="s">
        <v>111</v>
      </c>
      <c r="G65" s="72" t="s">
        <v>184</v>
      </c>
      <c r="H65" s="77">
        <v>23</v>
      </c>
      <c r="I65" s="75">
        <v>19</v>
      </c>
      <c r="J65" s="75">
        <v>24</v>
      </c>
      <c r="K65" s="75">
        <v>20</v>
      </c>
      <c r="L65" s="75">
        <v>9</v>
      </c>
      <c r="M65" s="97">
        <f>620.1+6964.42</f>
        <v>7584.52</v>
      </c>
      <c r="N65" s="97">
        <f>620.1+6964.42</f>
        <v>7584.52</v>
      </c>
      <c r="O65" s="93">
        <f t="shared" si="1"/>
        <v>0</v>
      </c>
      <c r="P65" s="123">
        <v>10</v>
      </c>
      <c r="Q65" s="124">
        <v>10</v>
      </c>
      <c r="R65" s="124">
        <v>8</v>
      </c>
      <c r="S65" s="97">
        <v>5363.21</v>
      </c>
      <c r="T65" s="97">
        <v>5363.21</v>
      </c>
      <c r="U65" s="97">
        <f t="shared" si="2"/>
        <v>0</v>
      </c>
    </row>
    <row r="66" spans="1:21" ht="20.100000000000001" customHeight="1" x14ac:dyDescent="0.25">
      <c r="A66" s="155">
        <v>52</v>
      </c>
      <c r="B66" s="99">
        <f t="shared" si="3"/>
        <v>57</v>
      </c>
      <c r="C66" s="13" t="s">
        <v>69</v>
      </c>
      <c r="D66" s="100" t="s">
        <v>124</v>
      </c>
      <c r="E66" s="101"/>
      <c r="F66" s="17" t="s">
        <v>106</v>
      </c>
      <c r="G66" s="72" t="s">
        <v>185</v>
      </c>
      <c r="H66" s="77">
        <v>3</v>
      </c>
      <c r="I66" s="75">
        <v>2</v>
      </c>
      <c r="J66" s="75">
        <v>3</v>
      </c>
      <c r="K66" s="75">
        <v>3</v>
      </c>
      <c r="L66" s="75">
        <v>3</v>
      </c>
      <c r="M66" s="97">
        <f>463.83+1653.6</f>
        <v>2117.4299999999998</v>
      </c>
      <c r="N66" s="97">
        <f>463.83+1653.6</f>
        <v>2117.4299999999998</v>
      </c>
      <c r="O66" s="93">
        <f t="shared" si="1"/>
        <v>0</v>
      </c>
      <c r="P66" s="123">
        <v>4</v>
      </c>
      <c r="Q66" s="12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</row>
    <row r="67" spans="1:21" ht="20.100000000000001" customHeight="1" x14ac:dyDescent="0.25">
      <c r="A67" s="155">
        <v>53</v>
      </c>
      <c r="B67" s="99">
        <f t="shared" si="3"/>
        <v>58</v>
      </c>
      <c r="C67" s="11" t="s">
        <v>70</v>
      </c>
      <c r="D67" s="100" t="s">
        <v>124</v>
      </c>
      <c r="E67" s="101"/>
      <c r="F67" s="17" t="s">
        <v>107</v>
      </c>
      <c r="G67" s="72" t="s">
        <v>186</v>
      </c>
      <c r="H67" s="77">
        <v>27</v>
      </c>
      <c r="I67" s="75">
        <v>23</v>
      </c>
      <c r="J67" s="75">
        <v>29</v>
      </c>
      <c r="K67" s="75">
        <v>26</v>
      </c>
      <c r="L67" s="75">
        <v>24</v>
      </c>
      <c r="M67" s="97">
        <v>19710.93</v>
      </c>
      <c r="N67" s="97">
        <v>19710.93</v>
      </c>
      <c r="O67" s="93">
        <f t="shared" si="1"/>
        <v>0</v>
      </c>
      <c r="P67" s="123">
        <v>8</v>
      </c>
      <c r="Q67" s="124">
        <v>7</v>
      </c>
      <c r="R67" s="124">
        <v>7</v>
      </c>
      <c r="S67" s="97">
        <f>1207.07+5904.8</f>
        <v>7111.87</v>
      </c>
      <c r="T67" s="97">
        <f>1207.07+5904.8</f>
        <v>7111.87</v>
      </c>
      <c r="U67" s="97">
        <f t="shared" si="2"/>
        <v>0</v>
      </c>
    </row>
    <row r="68" spans="1:21" ht="20.100000000000001" customHeight="1" x14ac:dyDescent="0.25">
      <c r="A68" s="155">
        <v>54</v>
      </c>
      <c r="B68" s="99">
        <f t="shared" si="3"/>
        <v>59</v>
      </c>
      <c r="C68" s="11" t="s">
        <v>71</v>
      </c>
      <c r="D68" s="100" t="s">
        <v>124</v>
      </c>
      <c r="E68" s="101"/>
      <c r="F68" s="17" t="s">
        <v>117</v>
      </c>
      <c r="G68" s="72" t="s">
        <v>187</v>
      </c>
      <c r="H68" s="77">
        <v>26</v>
      </c>
      <c r="I68" s="75">
        <v>17</v>
      </c>
      <c r="J68" s="75">
        <v>26</v>
      </c>
      <c r="K68" s="75">
        <v>26</v>
      </c>
      <c r="L68" s="75">
        <v>26</v>
      </c>
      <c r="M68" s="97">
        <v>18750.75</v>
      </c>
      <c r="N68" s="97">
        <v>18750.75</v>
      </c>
      <c r="O68" s="93">
        <f t="shared" si="1"/>
        <v>0</v>
      </c>
      <c r="P68" s="123">
        <v>10</v>
      </c>
      <c r="Q68" s="124">
        <v>10</v>
      </c>
      <c r="R68" s="124">
        <v>10</v>
      </c>
      <c r="S68" s="97">
        <v>6249.15</v>
      </c>
      <c r="T68" s="97">
        <v>6249.15</v>
      </c>
      <c r="U68" s="97">
        <f t="shared" si="2"/>
        <v>0</v>
      </c>
    </row>
    <row r="69" spans="1:21" ht="20.100000000000001" customHeight="1" x14ac:dyDescent="0.25">
      <c r="A69" s="155">
        <v>55</v>
      </c>
      <c r="B69" s="99">
        <f t="shared" si="3"/>
        <v>60</v>
      </c>
      <c r="C69" s="11" t="s">
        <v>72</v>
      </c>
      <c r="D69" s="100" t="s">
        <v>125</v>
      </c>
      <c r="E69" s="106" t="s">
        <v>126</v>
      </c>
      <c r="F69" s="17" t="s">
        <v>106</v>
      </c>
      <c r="G69" s="72" t="s">
        <v>188</v>
      </c>
      <c r="H69" s="77">
        <v>6</v>
      </c>
      <c r="I69" s="75">
        <v>3</v>
      </c>
      <c r="J69" s="75">
        <v>3</v>
      </c>
      <c r="K69" s="75">
        <v>3</v>
      </c>
      <c r="L69" s="75">
        <v>2</v>
      </c>
      <c r="M69" s="97">
        <v>1722.5</v>
      </c>
      <c r="N69" s="97">
        <v>1722.5</v>
      </c>
      <c r="O69" s="93">
        <f t="shared" si="1"/>
        <v>0</v>
      </c>
      <c r="P69" s="123"/>
      <c r="Q69" s="124"/>
      <c r="R69" s="124"/>
      <c r="S69" s="97"/>
      <c r="T69" s="97"/>
      <c r="U69" s="97">
        <f t="shared" si="2"/>
        <v>0</v>
      </c>
    </row>
    <row r="70" spans="1:21" ht="20.100000000000001" customHeight="1" x14ac:dyDescent="0.25">
      <c r="A70" s="155">
        <v>56</v>
      </c>
      <c r="B70" s="99">
        <f t="shared" si="3"/>
        <v>61</v>
      </c>
      <c r="C70" s="10" t="s">
        <v>73</v>
      </c>
      <c r="D70" s="100" t="s">
        <v>124</v>
      </c>
      <c r="E70" s="101"/>
      <c r="F70" s="17" t="s">
        <v>106</v>
      </c>
      <c r="G70" s="72" t="s">
        <v>189</v>
      </c>
      <c r="H70" s="77">
        <v>7</v>
      </c>
      <c r="I70" s="75">
        <v>4</v>
      </c>
      <c r="J70" s="75">
        <v>4</v>
      </c>
      <c r="K70" s="75">
        <v>4</v>
      </c>
      <c r="L70" s="75"/>
      <c r="M70" s="97"/>
      <c r="N70" s="97"/>
      <c r="O70" s="93">
        <f t="shared" si="1"/>
        <v>0</v>
      </c>
      <c r="P70" s="123">
        <v>4</v>
      </c>
      <c r="Q70" s="124">
        <v>4</v>
      </c>
      <c r="R70" s="124">
        <v>1</v>
      </c>
      <c r="S70" s="97">
        <v>551.20000000000005</v>
      </c>
      <c r="T70" s="97">
        <v>551.20000000000005</v>
      </c>
      <c r="U70" s="97">
        <f t="shared" si="2"/>
        <v>0</v>
      </c>
    </row>
    <row r="71" spans="1:21" ht="20.100000000000001" customHeight="1" x14ac:dyDescent="0.25">
      <c r="A71" s="155">
        <v>57</v>
      </c>
      <c r="B71" s="99">
        <f t="shared" si="3"/>
        <v>62</v>
      </c>
      <c r="C71" s="11" t="s">
        <v>74</v>
      </c>
      <c r="D71" s="100" t="s">
        <v>124</v>
      </c>
      <c r="E71" s="101"/>
      <c r="F71" s="17" t="s">
        <v>111</v>
      </c>
      <c r="G71" s="72" t="s">
        <v>190</v>
      </c>
      <c r="H71" s="77">
        <v>15</v>
      </c>
      <c r="I71" s="75">
        <v>4</v>
      </c>
      <c r="J71" s="75">
        <v>4</v>
      </c>
      <c r="K71" s="75">
        <v>3</v>
      </c>
      <c r="L71" s="75">
        <v>2</v>
      </c>
      <c r="M71" s="97">
        <v>2228.5</v>
      </c>
      <c r="N71" s="97">
        <v>2228.5</v>
      </c>
      <c r="O71" s="93">
        <f t="shared" si="1"/>
        <v>0</v>
      </c>
      <c r="P71" s="123">
        <v>22</v>
      </c>
      <c r="Q71" s="124">
        <v>22</v>
      </c>
      <c r="R71" s="124">
        <v>17</v>
      </c>
      <c r="S71" s="97">
        <f>27744.56+14819.18</f>
        <v>42563.740000000005</v>
      </c>
      <c r="T71" s="97">
        <f>27744.56+14819.18</f>
        <v>42563.740000000005</v>
      </c>
      <c r="U71" s="97">
        <f t="shared" si="2"/>
        <v>0</v>
      </c>
    </row>
    <row r="72" spans="1:21" ht="20.100000000000001" customHeight="1" x14ac:dyDescent="0.25">
      <c r="A72" s="155">
        <v>58</v>
      </c>
      <c r="B72" s="99">
        <f t="shared" si="3"/>
        <v>63</v>
      </c>
      <c r="C72" s="11" t="s">
        <v>75</v>
      </c>
      <c r="D72" s="100" t="s">
        <v>124</v>
      </c>
      <c r="E72" s="101"/>
      <c r="F72" s="17" t="s">
        <v>118</v>
      </c>
      <c r="G72" s="72" t="s">
        <v>191</v>
      </c>
      <c r="H72" s="77">
        <v>7</v>
      </c>
      <c r="I72" s="75">
        <v>3</v>
      </c>
      <c r="J72" s="75">
        <v>4</v>
      </c>
      <c r="K72" s="75">
        <v>4</v>
      </c>
      <c r="L72" s="75">
        <v>2</v>
      </c>
      <c r="M72" s="97">
        <v>1163.72</v>
      </c>
      <c r="N72" s="97">
        <v>1163.72</v>
      </c>
      <c r="O72" s="93">
        <f t="shared" si="1"/>
        <v>0</v>
      </c>
      <c r="P72" s="123">
        <v>7</v>
      </c>
      <c r="Q72" s="12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</row>
    <row r="73" spans="1:21" ht="20.100000000000001" customHeight="1" x14ac:dyDescent="0.25">
      <c r="A73" s="155">
        <v>59</v>
      </c>
      <c r="B73" s="99">
        <f t="shared" si="3"/>
        <v>64</v>
      </c>
      <c r="C73" s="10" t="s">
        <v>76</v>
      </c>
      <c r="D73" s="100" t="s">
        <v>124</v>
      </c>
      <c r="E73" s="101"/>
      <c r="F73" s="10" t="s">
        <v>105</v>
      </c>
      <c r="G73" s="72" t="s">
        <v>192</v>
      </c>
      <c r="H73" s="77">
        <v>10</v>
      </c>
      <c r="I73" s="75">
        <v>4</v>
      </c>
      <c r="J73" s="75">
        <v>4</v>
      </c>
      <c r="K73" s="75">
        <v>4</v>
      </c>
      <c r="L73" s="75">
        <v>4</v>
      </c>
      <c r="M73" s="97">
        <v>2095.52</v>
      </c>
      <c r="N73" s="97">
        <v>2095.52</v>
      </c>
      <c r="O73" s="93">
        <f t="shared" si="1"/>
        <v>0</v>
      </c>
      <c r="P73" s="123">
        <v>3</v>
      </c>
      <c r="Q73" s="124">
        <v>3</v>
      </c>
      <c r="R73" s="124">
        <v>3</v>
      </c>
      <c r="S73" s="97">
        <v>1821.06</v>
      </c>
      <c r="T73" s="97">
        <v>1821.06</v>
      </c>
      <c r="U73" s="97">
        <f t="shared" si="2"/>
        <v>0</v>
      </c>
    </row>
    <row r="74" spans="1:21" ht="20.100000000000001" customHeight="1" x14ac:dyDescent="0.25">
      <c r="B74" s="99">
        <f t="shared" si="3"/>
        <v>65</v>
      </c>
      <c r="C74" s="11" t="s">
        <v>77</v>
      </c>
      <c r="D74" s="100" t="s">
        <v>124</v>
      </c>
      <c r="E74" s="101"/>
      <c r="F74" s="10" t="s">
        <v>111</v>
      </c>
      <c r="G74" s="72" t="s">
        <v>225</v>
      </c>
      <c r="H74" s="77"/>
      <c r="I74" s="75"/>
      <c r="J74" s="75"/>
      <c r="K74" s="75"/>
      <c r="L74" s="75"/>
      <c r="M74" s="97"/>
      <c r="N74" s="97"/>
      <c r="O74" s="93">
        <f t="shared" si="1"/>
        <v>0</v>
      </c>
      <c r="P74" s="123">
        <v>1</v>
      </c>
      <c r="Q74" s="12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</row>
    <row r="75" spans="1:21" ht="20.100000000000001" customHeight="1" x14ac:dyDescent="0.25">
      <c r="A75" s="155">
        <v>60</v>
      </c>
      <c r="B75" s="99">
        <f t="shared" si="3"/>
        <v>66</v>
      </c>
      <c r="C75" s="10" t="s">
        <v>78</v>
      </c>
      <c r="D75" s="100" t="s">
        <v>124</v>
      </c>
      <c r="E75" s="101"/>
      <c r="F75" s="23" t="s">
        <v>119</v>
      </c>
      <c r="G75" s="72" t="s">
        <v>193</v>
      </c>
      <c r="H75" s="77">
        <v>6</v>
      </c>
      <c r="I75" s="75">
        <v>1</v>
      </c>
      <c r="J75" s="75">
        <v>1</v>
      </c>
      <c r="K75" s="75">
        <v>1</v>
      </c>
      <c r="L75" s="75"/>
      <c r="M75" s="97"/>
      <c r="N75" s="97"/>
      <c r="O75" s="93">
        <f t="shared" ref="O75:O104" si="4" xml:space="preserve"> (M75-N75)</f>
        <v>0</v>
      </c>
      <c r="P75" s="123">
        <v>2</v>
      </c>
      <c r="Q75" s="124">
        <v>2</v>
      </c>
      <c r="R75" s="124">
        <v>2</v>
      </c>
      <c r="S75" s="97">
        <v>617.03</v>
      </c>
      <c r="T75" s="97">
        <v>617.03</v>
      </c>
      <c r="U75" s="97">
        <f t="shared" ref="U75:U104" si="5" xml:space="preserve"> (S75-T75)</f>
        <v>0</v>
      </c>
    </row>
    <row r="76" spans="1:21" ht="20.100000000000001" customHeight="1" x14ac:dyDescent="0.25">
      <c r="A76" s="155">
        <v>61</v>
      </c>
      <c r="B76" s="99">
        <f t="shared" si="3"/>
        <v>67</v>
      </c>
      <c r="C76" s="11" t="s">
        <v>79</v>
      </c>
      <c r="D76" s="100" t="s">
        <v>124</v>
      </c>
      <c r="E76" s="101"/>
      <c r="F76" s="17" t="s">
        <v>106</v>
      </c>
      <c r="G76" s="72" t="s">
        <v>194</v>
      </c>
      <c r="H76" s="77">
        <v>19</v>
      </c>
      <c r="I76" s="75">
        <v>10</v>
      </c>
      <c r="J76" s="75">
        <v>14</v>
      </c>
      <c r="K76" s="75">
        <v>14</v>
      </c>
      <c r="L76" s="75">
        <v>8</v>
      </c>
      <c r="M76" s="97">
        <f>1065.4+3931.58</f>
        <v>4996.9799999999996</v>
      </c>
      <c r="N76" s="97">
        <f>1065.4+3931.58</f>
        <v>4996.9799999999996</v>
      </c>
      <c r="O76" s="93">
        <f t="shared" si="4"/>
        <v>0</v>
      </c>
      <c r="P76" s="123">
        <v>5</v>
      </c>
      <c r="Q76" s="124">
        <v>5</v>
      </c>
      <c r="R76" s="124">
        <v>4</v>
      </c>
      <c r="S76" s="97">
        <f>2337.1+1182.32</f>
        <v>3519.42</v>
      </c>
      <c r="T76" s="97">
        <f>2337.1+1182.32</f>
        <v>3519.42</v>
      </c>
      <c r="U76" s="97">
        <f t="shared" si="5"/>
        <v>0</v>
      </c>
    </row>
    <row r="77" spans="1:21" ht="20.100000000000001" customHeight="1" x14ac:dyDescent="0.25">
      <c r="A77" s="155">
        <v>62</v>
      </c>
      <c r="B77" s="99">
        <f t="shared" ref="B77:B101" si="6">B76+1</f>
        <v>68</v>
      </c>
      <c r="C77" s="11" t="s">
        <v>80</v>
      </c>
      <c r="D77" s="100" t="s">
        <v>124</v>
      </c>
      <c r="E77" s="101"/>
      <c r="F77" s="17" t="s">
        <v>106</v>
      </c>
      <c r="G77" s="72" t="s">
        <v>195</v>
      </c>
      <c r="H77" s="77">
        <v>11</v>
      </c>
      <c r="I77" s="75">
        <v>5</v>
      </c>
      <c r="J77" s="75">
        <v>5</v>
      </c>
      <c r="K77" s="75">
        <v>5</v>
      </c>
      <c r="L77" s="75">
        <v>2</v>
      </c>
      <c r="M77" s="97">
        <f>3034.57</f>
        <v>3034.57</v>
      </c>
      <c r="N77" s="97">
        <f>3034.57</f>
        <v>3034.57</v>
      </c>
      <c r="O77" s="93">
        <f t="shared" si="4"/>
        <v>0</v>
      </c>
      <c r="P77" s="123"/>
      <c r="Q77" s="124"/>
      <c r="R77" s="124"/>
      <c r="S77" s="97"/>
      <c r="T77" s="97"/>
      <c r="U77" s="97">
        <f t="shared" si="5"/>
        <v>0</v>
      </c>
    </row>
    <row r="78" spans="1:21" ht="20.100000000000001" customHeight="1" x14ac:dyDescent="0.25">
      <c r="B78" s="99">
        <f t="shared" si="6"/>
        <v>69</v>
      </c>
      <c r="C78" s="14" t="s">
        <v>81</v>
      </c>
      <c r="D78" s="100" t="s">
        <v>124</v>
      </c>
      <c r="E78" s="101"/>
      <c r="F78" s="10" t="s">
        <v>106</v>
      </c>
      <c r="G78" s="72" t="s">
        <v>226</v>
      </c>
      <c r="H78" s="77"/>
      <c r="I78" s="75"/>
      <c r="J78" s="75"/>
      <c r="K78" s="75"/>
      <c r="L78" s="75"/>
      <c r="M78" s="97"/>
      <c r="N78" s="97"/>
      <c r="O78" s="93">
        <f t="shared" si="4"/>
        <v>0</v>
      </c>
      <c r="P78" s="123">
        <v>8</v>
      </c>
      <c r="Q78" s="12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</row>
    <row r="79" spans="1:21" ht="20.100000000000001" customHeight="1" x14ac:dyDescent="0.25">
      <c r="A79" s="155">
        <v>63</v>
      </c>
      <c r="B79" s="99">
        <f t="shared" si="6"/>
        <v>70</v>
      </c>
      <c r="C79" s="14" t="s">
        <v>82</v>
      </c>
      <c r="D79" s="100" t="s">
        <v>124</v>
      </c>
      <c r="E79" s="101"/>
      <c r="F79" s="10" t="s">
        <v>106</v>
      </c>
      <c r="G79" s="72" t="s">
        <v>196</v>
      </c>
      <c r="H79" s="77">
        <v>13</v>
      </c>
      <c r="I79" s="75">
        <v>8</v>
      </c>
      <c r="J79" s="75">
        <v>11</v>
      </c>
      <c r="K79" s="75">
        <v>11</v>
      </c>
      <c r="L79" s="75">
        <v>8</v>
      </c>
      <c r="M79" s="97">
        <v>7843.78</v>
      </c>
      <c r="N79" s="97">
        <v>7843.78</v>
      </c>
      <c r="O79" s="93">
        <f t="shared" si="4"/>
        <v>0</v>
      </c>
      <c r="P79" s="123">
        <v>1</v>
      </c>
      <c r="Q79" s="124">
        <v>1</v>
      </c>
      <c r="R79" s="124">
        <v>1</v>
      </c>
      <c r="S79" s="97">
        <v>275.60000000000002</v>
      </c>
      <c r="T79" s="97">
        <v>275.60000000000002</v>
      </c>
      <c r="U79" s="97">
        <f t="shared" si="5"/>
        <v>0</v>
      </c>
    </row>
    <row r="80" spans="1:21" ht="20.100000000000001" customHeight="1" x14ac:dyDescent="0.25">
      <c r="A80" s="155">
        <v>64</v>
      </c>
      <c r="B80" s="99">
        <f t="shared" si="6"/>
        <v>71</v>
      </c>
      <c r="C80" s="14" t="s">
        <v>83</v>
      </c>
      <c r="D80" s="100" t="s">
        <v>124</v>
      </c>
      <c r="E80" s="101"/>
      <c r="F80" s="10" t="s">
        <v>106</v>
      </c>
      <c r="G80" s="72" t="s">
        <v>197</v>
      </c>
      <c r="H80" s="77">
        <v>14</v>
      </c>
      <c r="I80" s="75">
        <v>9</v>
      </c>
      <c r="J80" s="75">
        <v>9</v>
      </c>
      <c r="K80" s="75">
        <v>9</v>
      </c>
      <c r="L80" s="75">
        <v>6</v>
      </c>
      <c r="M80" s="97">
        <v>6798.08</v>
      </c>
      <c r="N80" s="97">
        <v>6798.08</v>
      </c>
      <c r="O80" s="93">
        <f t="shared" si="4"/>
        <v>0</v>
      </c>
      <c r="P80" s="123">
        <v>7</v>
      </c>
      <c r="Q80" s="124">
        <v>7</v>
      </c>
      <c r="R80" s="124">
        <v>7</v>
      </c>
      <c r="S80" s="97">
        <v>13554.7</v>
      </c>
      <c r="T80" s="97">
        <v>13554.7</v>
      </c>
      <c r="U80" s="97">
        <f t="shared" si="5"/>
        <v>0</v>
      </c>
    </row>
    <row r="81" spans="1:21" ht="20.100000000000001" customHeight="1" x14ac:dyDescent="0.25">
      <c r="A81" s="155">
        <v>65</v>
      </c>
      <c r="B81" s="99">
        <f t="shared" si="6"/>
        <v>72</v>
      </c>
      <c r="C81" s="11" t="s">
        <v>84</v>
      </c>
      <c r="D81" s="100" t="s">
        <v>124</v>
      </c>
      <c r="E81" s="101"/>
      <c r="F81" s="10" t="s">
        <v>120</v>
      </c>
      <c r="G81" s="72" t="s">
        <v>198</v>
      </c>
      <c r="H81" s="77">
        <v>1</v>
      </c>
      <c r="I81" s="75"/>
      <c r="J81" s="75"/>
      <c r="K81" s="75"/>
      <c r="L81" s="75"/>
      <c r="M81" s="97"/>
      <c r="N81" s="97"/>
      <c r="O81" s="93">
        <f t="shared" si="4"/>
        <v>0</v>
      </c>
      <c r="P81" s="123"/>
      <c r="Q81" s="124"/>
      <c r="R81" s="124"/>
      <c r="S81" s="97"/>
      <c r="T81" s="97"/>
      <c r="U81" s="97">
        <f t="shared" si="5"/>
        <v>0</v>
      </c>
    </row>
    <row r="82" spans="1:21" ht="20.100000000000001" customHeight="1" x14ac:dyDescent="0.25">
      <c r="A82" s="155">
        <v>66</v>
      </c>
      <c r="B82" s="99">
        <f t="shared" si="6"/>
        <v>73</v>
      </c>
      <c r="C82" s="13" t="s">
        <v>85</v>
      </c>
      <c r="D82" s="100" t="s">
        <v>124</v>
      </c>
      <c r="E82" s="101"/>
      <c r="F82" s="19" t="s">
        <v>106</v>
      </c>
      <c r="G82" s="72" t="s">
        <v>199</v>
      </c>
      <c r="H82" s="77">
        <v>15</v>
      </c>
      <c r="I82" s="75">
        <v>5</v>
      </c>
      <c r="J82" s="75">
        <v>5</v>
      </c>
      <c r="K82" s="75">
        <v>5</v>
      </c>
      <c r="L82" s="75">
        <v>4</v>
      </c>
      <c r="M82" s="97">
        <v>2282.25</v>
      </c>
      <c r="N82" s="97">
        <v>2282.25</v>
      </c>
      <c r="O82" s="93">
        <f t="shared" si="4"/>
        <v>0</v>
      </c>
      <c r="P82" s="123">
        <v>6</v>
      </c>
      <c r="Q82" s="124">
        <v>6</v>
      </c>
      <c r="R82" s="124">
        <v>6</v>
      </c>
      <c r="S82" s="97">
        <f>15935.59+881.06</f>
        <v>16816.650000000001</v>
      </c>
      <c r="T82" s="97">
        <f>15935.59+881.06</f>
        <v>16816.650000000001</v>
      </c>
      <c r="U82" s="97">
        <f t="shared" si="5"/>
        <v>0</v>
      </c>
    </row>
    <row r="83" spans="1:21" ht="20.100000000000001" customHeight="1" x14ac:dyDescent="0.25">
      <c r="A83" s="155">
        <v>67</v>
      </c>
      <c r="B83" s="99">
        <f t="shared" si="6"/>
        <v>74</v>
      </c>
      <c r="C83" s="10" t="s">
        <v>86</v>
      </c>
      <c r="D83" s="100" t="s">
        <v>124</v>
      </c>
      <c r="E83" s="101"/>
      <c r="F83" s="22" t="s">
        <v>118</v>
      </c>
      <c r="G83" s="72" t="s">
        <v>200</v>
      </c>
      <c r="H83" s="77">
        <v>12</v>
      </c>
      <c r="I83" s="75">
        <v>11</v>
      </c>
      <c r="J83" s="75">
        <v>11</v>
      </c>
      <c r="K83" s="75">
        <v>9</v>
      </c>
      <c r="L83" s="75">
        <v>7</v>
      </c>
      <c r="M83" s="97">
        <f>2803.04+5035.5</f>
        <v>7838.54</v>
      </c>
      <c r="N83" s="97">
        <f>2803.04+5035.5</f>
        <v>7838.54</v>
      </c>
      <c r="O83" s="93">
        <f t="shared" si="4"/>
        <v>0</v>
      </c>
      <c r="P83" s="123">
        <v>9</v>
      </c>
      <c r="Q83" s="124">
        <v>6</v>
      </c>
      <c r="R83" s="124">
        <v>6</v>
      </c>
      <c r="S83" s="97">
        <f>6465.89+3406.65</f>
        <v>9872.5400000000009</v>
      </c>
      <c r="T83" s="97">
        <f>6465.89+3406.65</f>
        <v>9872.5400000000009</v>
      </c>
      <c r="U83" s="97">
        <f t="shared" si="5"/>
        <v>0</v>
      </c>
    </row>
    <row r="84" spans="1:21" ht="20.100000000000001" customHeight="1" x14ac:dyDescent="0.25">
      <c r="A84" s="155">
        <v>68</v>
      </c>
      <c r="B84" s="99">
        <f t="shared" si="6"/>
        <v>75</v>
      </c>
      <c r="C84" s="10" t="s">
        <v>87</v>
      </c>
      <c r="D84" s="100" t="s">
        <v>124</v>
      </c>
      <c r="E84" s="101"/>
      <c r="F84" s="22" t="s">
        <v>115</v>
      </c>
      <c r="G84" s="72" t="s">
        <v>201</v>
      </c>
      <c r="H84" s="77">
        <v>12</v>
      </c>
      <c r="I84" s="75">
        <v>5</v>
      </c>
      <c r="J84" s="75">
        <v>8</v>
      </c>
      <c r="K84" s="75">
        <v>8</v>
      </c>
      <c r="L84" s="75">
        <v>4</v>
      </c>
      <c r="M84" s="97">
        <v>4678.72</v>
      </c>
      <c r="N84" s="97">
        <v>4678.72</v>
      </c>
      <c r="O84" s="93">
        <f t="shared" si="4"/>
        <v>0</v>
      </c>
      <c r="P84" s="123">
        <v>1</v>
      </c>
      <c r="Q84" s="12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</row>
    <row r="85" spans="1:21" ht="20.100000000000001" customHeight="1" x14ac:dyDescent="0.25">
      <c r="A85" s="155">
        <v>70</v>
      </c>
      <c r="B85" s="99">
        <f t="shared" si="6"/>
        <v>76</v>
      </c>
      <c r="C85" s="11" t="s">
        <v>88</v>
      </c>
      <c r="D85" s="100" t="s">
        <v>124</v>
      </c>
      <c r="E85" s="101"/>
      <c r="F85" s="17" t="s">
        <v>121</v>
      </c>
      <c r="G85" s="72" t="s">
        <v>203</v>
      </c>
      <c r="H85" s="77">
        <v>20</v>
      </c>
      <c r="I85" s="75">
        <v>16</v>
      </c>
      <c r="J85" s="75">
        <v>28</v>
      </c>
      <c r="K85" s="75">
        <v>21</v>
      </c>
      <c r="L85" s="75">
        <v>13</v>
      </c>
      <c r="M85" s="97">
        <f>4781.94+3598.27</f>
        <v>8380.2099999999991</v>
      </c>
      <c r="N85" s="97">
        <f>4781.94+3598.27</f>
        <v>8380.2099999999991</v>
      </c>
      <c r="O85" s="93">
        <f t="shared" si="4"/>
        <v>0</v>
      </c>
      <c r="P85" s="123">
        <v>6</v>
      </c>
      <c r="Q85" s="12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</row>
    <row r="86" spans="1:21" ht="20.100000000000001" customHeight="1" x14ac:dyDescent="0.25">
      <c r="A86" s="155">
        <v>69</v>
      </c>
      <c r="B86" s="99">
        <f t="shared" si="6"/>
        <v>77</v>
      </c>
      <c r="C86" s="14" t="s">
        <v>89</v>
      </c>
      <c r="D86" s="100" t="s">
        <v>124</v>
      </c>
      <c r="E86" s="101"/>
      <c r="F86" s="19" t="s">
        <v>106</v>
      </c>
      <c r="G86" s="72" t="s">
        <v>202</v>
      </c>
      <c r="H86" s="77">
        <v>9</v>
      </c>
      <c r="I86" s="75"/>
      <c r="J86" s="75"/>
      <c r="K86" s="75"/>
      <c r="L86" s="75"/>
      <c r="M86" s="97"/>
      <c r="N86" s="97"/>
      <c r="O86" s="93">
        <f t="shared" si="4"/>
        <v>0</v>
      </c>
      <c r="P86" s="123">
        <v>2</v>
      </c>
      <c r="Q86" s="12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</row>
    <row r="87" spans="1:21" ht="20.100000000000001" customHeight="1" x14ac:dyDescent="0.25">
      <c r="A87" s="155">
        <v>71</v>
      </c>
      <c r="B87" s="99">
        <f t="shared" si="6"/>
        <v>78</v>
      </c>
      <c r="C87" s="14" t="s">
        <v>90</v>
      </c>
      <c r="D87" s="100" t="s">
        <v>124</v>
      </c>
      <c r="E87" s="101"/>
      <c r="F87" s="19" t="s">
        <v>106</v>
      </c>
      <c r="G87" s="72" t="s">
        <v>204</v>
      </c>
      <c r="H87" s="77">
        <v>5</v>
      </c>
      <c r="I87" s="75">
        <v>4</v>
      </c>
      <c r="J87" s="75">
        <v>4</v>
      </c>
      <c r="K87" s="75">
        <v>4</v>
      </c>
      <c r="L87" s="75">
        <v>4</v>
      </c>
      <c r="M87" s="97">
        <f>795.8+4099.92</f>
        <v>4895.72</v>
      </c>
      <c r="N87" s="97">
        <f>795.8+4099.92</f>
        <v>4895.72</v>
      </c>
      <c r="O87" s="93">
        <f t="shared" si="4"/>
        <v>0</v>
      </c>
      <c r="P87" s="123">
        <v>5</v>
      </c>
      <c r="Q87" s="124">
        <v>4</v>
      </c>
      <c r="R87" s="124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</row>
    <row r="88" spans="1:21" ht="20.100000000000001" customHeight="1" x14ac:dyDescent="0.25">
      <c r="B88" s="99">
        <f t="shared" si="6"/>
        <v>79</v>
      </c>
      <c r="C88" s="10" t="s">
        <v>91</v>
      </c>
      <c r="D88" s="100" t="s">
        <v>124</v>
      </c>
      <c r="E88" s="101"/>
      <c r="F88" s="17" t="s">
        <v>111</v>
      </c>
      <c r="G88" s="72" t="s">
        <v>231</v>
      </c>
      <c r="H88" s="77">
        <v>1</v>
      </c>
      <c r="I88" s="75"/>
      <c r="J88" s="75"/>
      <c r="K88" s="75"/>
      <c r="L88" s="75"/>
      <c r="M88" s="97"/>
      <c r="N88" s="97"/>
      <c r="O88" s="93">
        <f t="shared" si="4"/>
        <v>0</v>
      </c>
      <c r="P88" s="123">
        <v>6</v>
      </c>
      <c r="Q88" s="12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</row>
    <row r="89" spans="1:21" ht="20.100000000000001" customHeight="1" x14ac:dyDescent="0.25">
      <c r="A89" s="155">
        <v>72</v>
      </c>
      <c r="B89" s="99">
        <f t="shared" si="6"/>
        <v>80</v>
      </c>
      <c r="C89" s="10" t="s">
        <v>92</v>
      </c>
      <c r="D89" s="100" t="s">
        <v>124</v>
      </c>
      <c r="E89" s="101"/>
      <c r="F89" s="19" t="s">
        <v>106</v>
      </c>
      <c r="G89" s="72" t="s">
        <v>205</v>
      </c>
      <c r="H89" s="77">
        <v>6</v>
      </c>
      <c r="I89" s="75">
        <v>2</v>
      </c>
      <c r="J89" s="75">
        <v>3</v>
      </c>
      <c r="K89" s="75">
        <v>3</v>
      </c>
      <c r="L89" s="75">
        <v>2</v>
      </c>
      <c r="M89" s="97">
        <f>725.77+1768.23</f>
        <v>2494</v>
      </c>
      <c r="N89" s="97">
        <f>725.77+1768.23</f>
        <v>2494</v>
      </c>
      <c r="O89" s="93">
        <f t="shared" si="4"/>
        <v>0</v>
      </c>
      <c r="P89" s="123">
        <v>4</v>
      </c>
      <c r="Q89" s="124">
        <v>4</v>
      </c>
      <c r="R89" s="124">
        <v>4</v>
      </c>
      <c r="S89" s="97">
        <f>8161.92+1118.75</f>
        <v>9280.67</v>
      </c>
      <c r="T89" s="97">
        <f>8161.92+1118.75</f>
        <v>9280.67</v>
      </c>
      <c r="U89" s="97">
        <f t="shared" si="5"/>
        <v>0</v>
      </c>
    </row>
    <row r="90" spans="1:21" ht="20.100000000000001" customHeight="1" x14ac:dyDescent="0.25">
      <c r="A90" s="155">
        <v>73</v>
      </c>
      <c r="B90" s="99">
        <f t="shared" si="6"/>
        <v>81</v>
      </c>
      <c r="C90" s="11" t="s">
        <v>93</v>
      </c>
      <c r="D90" s="100" t="s">
        <v>124</v>
      </c>
      <c r="E90" s="101"/>
      <c r="F90" s="17" t="s">
        <v>122</v>
      </c>
      <c r="G90" s="72" t="s">
        <v>206</v>
      </c>
      <c r="H90" s="77">
        <v>24</v>
      </c>
      <c r="I90" s="75">
        <v>20</v>
      </c>
      <c r="J90" s="75">
        <v>37</v>
      </c>
      <c r="K90" s="75">
        <v>22</v>
      </c>
      <c r="L90" s="75">
        <v>22</v>
      </c>
      <c r="M90" s="97">
        <v>14303.46</v>
      </c>
      <c r="N90" s="97">
        <v>14303.46</v>
      </c>
      <c r="O90" s="93">
        <f t="shared" si="4"/>
        <v>0</v>
      </c>
      <c r="P90" s="123">
        <v>8</v>
      </c>
      <c r="Q90" s="124">
        <v>7</v>
      </c>
      <c r="R90" s="124">
        <v>7</v>
      </c>
      <c r="S90" s="97">
        <v>3130.8</v>
      </c>
      <c r="T90" s="97">
        <v>3130.8</v>
      </c>
      <c r="U90" s="97">
        <f t="shared" si="5"/>
        <v>0</v>
      </c>
    </row>
    <row r="91" spans="1:21" ht="20.100000000000001" customHeight="1" x14ac:dyDescent="0.25">
      <c r="A91" s="155">
        <v>74</v>
      </c>
      <c r="B91" s="99">
        <f t="shared" si="6"/>
        <v>82</v>
      </c>
      <c r="C91" s="11" t="s">
        <v>94</v>
      </c>
      <c r="D91" s="100" t="s">
        <v>124</v>
      </c>
      <c r="E91" s="101"/>
      <c r="F91" s="19" t="s">
        <v>106</v>
      </c>
      <c r="G91" s="72" t="s">
        <v>218</v>
      </c>
      <c r="H91" s="77">
        <v>11</v>
      </c>
      <c r="I91" s="75">
        <v>5</v>
      </c>
      <c r="J91" s="75">
        <v>10</v>
      </c>
      <c r="K91" s="75">
        <v>10</v>
      </c>
      <c r="L91" s="75">
        <v>10</v>
      </c>
      <c r="M91" s="97">
        <v>5384.83</v>
      </c>
      <c r="N91" s="97">
        <v>5384.83</v>
      </c>
      <c r="O91" s="93">
        <f t="shared" si="4"/>
        <v>0</v>
      </c>
      <c r="P91" s="123">
        <v>6</v>
      </c>
      <c r="Q91" s="124">
        <v>6</v>
      </c>
      <c r="R91" s="124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</row>
    <row r="92" spans="1:21" ht="20.100000000000001" customHeight="1" x14ac:dyDescent="0.25">
      <c r="A92" s="155">
        <v>75</v>
      </c>
      <c r="B92" s="99">
        <f t="shared" si="6"/>
        <v>83</v>
      </c>
      <c r="C92" s="11" t="s">
        <v>95</v>
      </c>
      <c r="D92" s="100" t="s">
        <v>124</v>
      </c>
      <c r="E92" s="101"/>
      <c r="F92" s="19" t="s">
        <v>123</v>
      </c>
      <c r="G92" s="72" t="s">
        <v>217</v>
      </c>
      <c r="H92" s="77">
        <v>14</v>
      </c>
      <c r="I92" s="75">
        <v>10</v>
      </c>
      <c r="J92" s="75">
        <v>12</v>
      </c>
      <c r="K92" s="75">
        <v>9</v>
      </c>
      <c r="L92" s="75">
        <v>9</v>
      </c>
      <c r="M92" s="97">
        <f>2301.54+4352.56</f>
        <v>6654.1</v>
      </c>
      <c r="N92" s="97">
        <f>2301.54+4352.56</f>
        <v>6654.1</v>
      </c>
      <c r="O92" s="93">
        <f t="shared" si="4"/>
        <v>0</v>
      </c>
      <c r="P92" s="123">
        <v>1</v>
      </c>
      <c r="Q92" s="12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</row>
    <row r="93" spans="1:21" ht="20.100000000000001" customHeight="1" x14ac:dyDescent="0.25">
      <c r="A93" s="155">
        <v>76</v>
      </c>
      <c r="B93" s="99">
        <f t="shared" si="6"/>
        <v>84</v>
      </c>
      <c r="C93" s="11" t="s">
        <v>96</v>
      </c>
      <c r="D93" s="100" t="s">
        <v>124</v>
      </c>
      <c r="E93" s="101"/>
      <c r="F93" s="22" t="s">
        <v>112</v>
      </c>
      <c r="G93" s="72" t="s">
        <v>216</v>
      </c>
      <c r="H93" s="77">
        <v>37</v>
      </c>
      <c r="I93" s="75">
        <v>17</v>
      </c>
      <c r="J93" s="75">
        <v>21</v>
      </c>
      <c r="K93" s="75">
        <v>21</v>
      </c>
      <c r="L93" s="75">
        <v>18</v>
      </c>
      <c r="M93" s="97">
        <v>13626.75</v>
      </c>
      <c r="N93" s="97">
        <v>13626.75</v>
      </c>
      <c r="O93" s="93">
        <f t="shared" si="4"/>
        <v>0</v>
      </c>
      <c r="P93" s="123">
        <v>8</v>
      </c>
      <c r="Q93" s="124">
        <v>8</v>
      </c>
      <c r="R93" s="124">
        <v>8</v>
      </c>
      <c r="S93" s="97">
        <v>11083.64</v>
      </c>
      <c r="T93" s="97">
        <v>11083.64</v>
      </c>
      <c r="U93" s="97">
        <f t="shared" si="5"/>
        <v>0</v>
      </c>
    </row>
    <row r="94" spans="1:21" ht="20.100000000000001" customHeight="1" x14ac:dyDescent="0.25">
      <c r="A94" s="155">
        <v>77</v>
      </c>
      <c r="B94" s="99">
        <f t="shared" si="6"/>
        <v>85</v>
      </c>
      <c r="C94" s="11" t="s">
        <v>97</v>
      </c>
      <c r="D94" s="100" t="s">
        <v>124</v>
      </c>
      <c r="E94" s="101"/>
      <c r="F94" s="17" t="s">
        <v>111</v>
      </c>
      <c r="G94" s="72" t="s">
        <v>215</v>
      </c>
      <c r="H94" s="77">
        <v>20</v>
      </c>
      <c r="I94" s="75">
        <v>9</v>
      </c>
      <c r="J94" s="75">
        <v>10</v>
      </c>
      <c r="K94" s="75">
        <v>9</v>
      </c>
      <c r="L94" s="75">
        <v>4</v>
      </c>
      <c r="M94" s="97">
        <v>3291.36</v>
      </c>
      <c r="N94" s="97">
        <v>3291.36</v>
      </c>
      <c r="O94" s="93">
        <f t="shared" si="4"/>
        <v>0</v>
      </c>
      <c r="P94" s="123">
        <v>19</v>
      </c>
      <c r="Q94" s="124">
        <v>19</v>
      </c>
      <c r="R94" s="124">
        <v>19</v>
      </c>
      <c r="S94" s="97">
        <f>18253.04+4245.2</f>
        <v>22498.240000000002</v>
      </c>
      <c r="T94" s="97">
        <f>18253.04+4245.2</f>
        <v>22498.240000000002</v>
      </c>
      <c r="U94" s="97">
        <f t="shared" si="5"/>
        <v>0</v>
      </c>
    </row>
    <row r="95" spans="1:21" ht="20.100000000000001" customHeight="1" x14ac:dyDescent="0.25">
      <c r="A95" s="155">
        <v>78</v>
      </c>
      <c r="B95" s="99">
        <f t="shared" si="6"/>
        <v>86</v>
      </c>
      <c r="C95" s="10" t="s">
        <v>98</v>
      </c>
      <c r="D95" s="100" t="s">
        <v>124</v>
      </c>
      <c r="E95" s="101"/>
      <c r="F95" s="19" t="s">
        <v>106</v>
      </c>
      <c r="G95" s="72" t="s">
        <v>214</v>
      </c>
      <c r="H95" s="77">
        <v>22</v>
      </c>
      <c r="I95" s="75">
        <v>12</v>
      </c>
      <c r="J95" s="75">
        <v>13</v>
      </c>
      <c r="K95" s="75">
        <v>13</v>
      </c>
      <c r="L95" s="75">
        <v>13</v>
      </c>
      <c r="M95" s="97">
        <f>2362.32+22110.36+455.21</f>
        <v>24927.89</v>
      </c>
      <c r="N95" s="97">
        <f>2362.32+22110.36+455.21</f>
        <v>24927.89</v>
      </c>
      <c r="O95" s="93">
        <f t="shared" si="4"/>
        <v>0</v>
      </c>
      <c r="P95" s="123">
        <v>12</v>
      </c>
      <c r="Q95" s="124">
        <v>12</v>
      </c>
      <c r="R95" s="124">
        <v>12</v>
      </c>
      <c r="S95" s="97">
        <f>24552.24+1001.28+122.46</f>
        <v>25675.98</v>
      </c>
      <c r="T95" s="97">
        <f>24552.24+1001.28+122.46</f>
        <v>25675.98</v>
      </c>
      <c r="U95" s="97">
        <f t="shared" si="5"/>
        <v>0</v>
      </c>
    </row>
    <row r="96" spans="1:21" ht="20.100000000000001" customHeight="1" x14ac:dyDescent="0.25">
      <c r="A96" s="155">
        <v>80</v>
      </c>
      <c r="B96" s="99">
        <f t="shared" si="6"/>
        <v>87</v>
      </c>
      <c r="C96" s="10" t="s">
        <v>129</v>
      </c>
      <c r="D96" s="100" t="s">
        <v>124</v>
      </c>
      <c r="E96" s="101"/>
      <c r="F96" s="19" t="s">
        <v>106</v>
      </c>
      <c r="G96" s="72" t="s">
        <v>212</v>
      </c>
      <c r="H96" s="77">
        <v>8</v>
      </c>
      <c r="I96" s="75">
        <v>1</v>
      </c>
      <c r="J96" s="75">
        <v>2</v>
      </c>
      <c r="K96" s="75">
        <v>2</v>
      </c>
      <c r="L96" s="75"/>
      <c r="M96" s="97"/>
      <c r="N96" s="97"/>
      <c r="O96" s="93">
        <f t="shared" si="4"/>
        <v>0</v>
      </c>
      <c r="P96" s="123"/>
      <c r="Q96" s="124"/>
      <c r="R96" s="124"/>
      <c r="S96" s="97"/>
      <c r="T96" s="97"/>
      <c r="U96" s="97">
        <f t="shared" si="5"/>
        <v>0</v>
      </c>
    </row>
    <row r="97" spans="1:33" ht="20.100000000000001" customHeight="1" x14ac:dyDescent="0.25">
      <c r="A97" s="155">
        <v>79</v>
      </c>
      <c r="B97" s="99">
        <f t="shared" si="6"/>
        <v>88</v>
      </c>
      <c r="C97" s="10" t="s">
        <v>99</v>
      </c>
      <c r="D97" s="100" t="s">
        <v>124</v>
      </c>
      <c r="E97" s="101"/>
      <c r="F97" s="19" t="s">
        <v>106</v>
      </c>
      <c r="G97" s="72" t="s">
        <v>213</v>
      </c>
      <c r="H97" s="77">
        <v>8</v>
      </c>
      <c r="I97" s="75">
        <v>5</v>
      </c>
      <c r="J97" s="75">
        <v>6</v>
      </c>
      <c r="K97" s="75">
        <v>6</v>
      </c>
      <c r="L97" s="75">
        <v>4</v>
      </c>
      <c r="M97" s="97">
        <f>1545.67+969.43</f>
        <v>2515.1</v>
      </c>
      <c r="N97" s="97">
        <f>1545.67+969.43</f>
        <v>2515.1</v>
      </c>
      <c r="O97" s="93">
        <f t="shared" si="4"/>
        <v>0</v>
      </c>
      <c r="P97" s="123">
        <v>4</v>
      </c>
      <c r="Q97" s="12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</row>
    <row r="98" spans="1:33" ht="20.100000000000001" customHeight="1" x14ac:dyDescent="0.25">
      <c r="A98" s="155">
        <v>81</v>
      </c>
      <c r="B98" s="99">
        <f t="shared" si="6"/>
        <v>89</v>
      </c>
      <c r="C98" s="13" t="s">
        <v>100</v>
      </c>
      <c r="D98" s="100" t="s">
        <v>124</v>
      </c>
      <c r="E98" s="101"/>
      <c r="F98" s="19" t="s">
        <v>106</v>
      </c>
      <c r="G98" s="72" t="s">
        <v>211</v>
      </c>
      <c r="H98" s="77">
        <v>11</v>
      </c>
      <c r="I98" s="75">
        <v>3</v>
      </c>
      <c r="J98" s="75">
        <v>3</v>
      </c>
      <c r="K98" s="75">
        <v>3</v>
      </c>
      <c r="L98" s="75">
        <v>2</v>
      </c>
      <c r="M98" s="97">
        <v>482.3</v>
      </c>
      <c r="N98" s="97">
        <v>482.3</v>
      </c>
      <c r="O98" s="93">
        <f t="shared" si="4"/>
        <v>0</v>
      </c>
      <c r="P98" s="123">
        <v>7</v>
      </c>
      <c r="Q98" s="124">
        <v>7</v>
      </c>
      <c r="R98" s="124">
        <v>6</v>
      </c>
      <c r="S98" s="97">
        <f>6457+964.6</f>
        <v>7421.6</v>
      </c>
      <c r="T98" s="97">
        <f>6457+964.6</f>
        <v>7421.6</v>
      </c>
      <c r="U98" s="97">
        <f t="shared" si="5"/>
        <v>0</v>
      </c>
    </row>
    <row r="99" spans="1:33" ht="20.100000000000001" customHeight="1" x14ac:dyDescent="0.25">
      <c r="A99" s="155">
        <v>82</v>
      </c>
      <c r="B99" s="99">
        <f t="shared" si="6"/>
        <v>90</v>
      </c>
      <c r="C99" s="13" t="s">
        <v>101</v>
      </c>
      <c r="D99" s="100" t="s">
        <v>124</v>
      </c>
      <c r="E99" s="101"/>
      <c r="F99" s="17" t="s">
        <v>106</v>
      </c>
      <c r="G99" s="72" t="s">
        <v>210</v>
      </c>
      <c r="H99" s="77">
        <v>16</v>
      </c>
      <c r="I99" s="75">
        <v>4</v>
      </c>
      <c r="J99" s="75">
        <v>5</v>
      </c>
      <c r="K99" s="75">
        <v>5</v>
      </c>
      <c r="L99" s="75">
        <v>1</v>
      </c>
      <c r="M99" s="97">
        <v>545.69000000000005</v>
      </c>
      <c r="N99" s="97">
        <v>545.69000000000005</v>
      </c>
      <c r="O99" s="93">
        <f t="shared" si="4"/>
        <v>0</v>
      </c>
      <c r="P99" s="123">
        <v>10</v>
      </c>
      <c r="Q99" s="124">
        <v>8</v>
      </c>
      <c r="R99" s="124">
        <v>6</v>
      </c>
      <c r="S99" s="97">
        <v>5077.71</v>
      </c>
      <c r="T99" s="97">
        <v>5077.71</v>
      </c>
      <c r="U99" s="97">
        <f t="shared" si="5"/>
        <v>0</v>
      </c>
    </row>
    <row r="100" spans="1:33" ht="20.100000000000001" customHeight="1" x14ac:dyDescent="0.25">
      <c r="A100" s="155">
        <v>83</v>
      </c>
      <c r="B100" s="99">
        <f t="shared" si="6"/>
        <v>91</v>
      </c>
      <c r="C100" s="13" t="s">
        <v>102</v>
      </c>
      <c r="D100" s="100" t="s">
        <v>124</v>
      </c>
      <c r="E100" s="101"/>
      <c r="F100" s="17" t="s">
        <v>106</v>
      </c>
      <c r="G100" s="72" t="s">
        <v>209</v>
      </c>
      <c r="H100" s="77">
        <v>14</v>
      </c>
      <c r="I100" s="75">
        <v>8</v>
      </c>
      <c r="J100" s="75">
        <v>10</v>
      </c>
      <c r="K100" s="75">
        <v>10</v>
      </c>
      <c r="L100" s="75">
        <v>6</v>
      </c>
      <c r="M100" s="97">
        <f>4459.37+1998.1</f>
        <v>6457.4699999999993</v>
      </c>
      <c r="N100" s="97">
        <f>4459.37+1998.1</f>
        <v>6457.4699999999993</v>
      </c>
      <c r="O100" s="93">
        <f t="shared" si="4"/>
        <v>0</v>
      </c>
      <c r="P100" s="123">
        <v>9</v>
      </c>
      <c r="Q100" s="124">
        <v>9</v>
      </c>
      <c r="R100" s="124">
        <v>7</v>
      </c>
      <c r="S100" s="97">
        <v>4232.91</v>
      </c>
      <c r="T100" s="97">
        <v>4232.91</v>
      </c>
      <c r="U100" s="97">
        <f t="shared" si="5"/>
        <v>0</v>
      </c>
    </row>
    <row r="101" spans="1:33" ht="20.100000000000001" customHeight="1" x14ac:dyDescent="0.25">
      <c r="A101" s="155">
        <v>84</v>
      </c>
      <c r="B101" s="99">
        <f t="shared" si="6"/>
        <v>92</v>
      </c>
      <c r="C101" s="11" t="s">
        <v>103</v>
      </c>
      <c r="D101" s="100" t="s">
        <v>124</v>
      </c>
      <c r="E101" s="101"/>
      <c r="F101" s="22" t="s">
        <v>112</v>
      </c>
      <c r="G101" s="72" t="s">
        <v>208</v>
      </c>
      <c r="H101" s="77">
        <v>40</v>
      </c>
      <c r="I101" s="75">
        <v>19</v>
      </c>
      <c r="J101" s="75">
        <v>20</v>
      </c>
      <c r="K101" s="75">
        <v>13</v>
      </c>
      <c r="L101" s="75">
        <v>13</v>
      </c>
      <c r="M101" s="97">
        <v>16276.16</v>
      </c>
      <c r="N101" s="97">
        <v>16276.16</v>
      </c>
      <c r="O101" s="93">
        <f t="shared" si="4"/>
        <v>0</v>
      </c>
      <c r="P101" s="123">
        <v>23</v>
      </c>
      <c r="Q101" s="124">
        <v>22</v>
      </c>
      <c r="R101" s="124">
        <v>22</v>
      </c>
      <c r="S101" s="97">
        <f>21329.45-2252.12</f>
        <v>19077.330000000002</v>
      </c>
      <c r="T101" s="97">
        <f>21329.45-2252.12</f>
        <v>19077.330000000002</v>
      </c>
      <c r="U101" s="97">
        <f t="shared" si="5"/>
        <v>0</v>
      </c>
    </row>
    <row r="102" spans="1:33" ht="20.100000000000001" customHeight="1" x14ac:dyDescent="0.25">
      <c r="A102" s="155">
        <v>85</v>
      </c>
      <c r="B102" s="115">
        <f>B101+1</f>
        <v>93</v>
      </c>
      <c r="C102" s="116" t="s">
        <v>104</v>
      </c>
      <c r="D102" s="111" t="s">
        <v>124</v>
      </c>
      <c r="E102" s="112"/>
      <c r="F102" s="117" t="s">
        <v>106</v>
      </c>
      <c r="G102" s="118" t="s">
        <v>207</v>
      </c>
      <c r="H102" s="113">
        <v>6</v>
      </c>
      <c r="I102" s="114">
        <v>4</v>
      </c>
      <c r="J102" s="114">
        <v>5</v>
      </c>
      <c r="K102" s="114">
        <v>5</v>
      </c>
      <c r="L102" s="114">
        <v>2</v>
      </c>
      <c r="M102" s="147">
        <v>649.38</v>
      </c>
      <c r="N102" s="147">
        <v>649.38</v>
      </c>
      <c r="O102" s="93">
        <f t="shared" si="4"/>
        <v>0</v>
      </c>
      <c r="P102" s="149">
        <v>3</v>
      </c>
      <c r="Q102" s="150">
        <v>3</v>
      </c>
      <c r="R102" s="150">
        <v>3</v>
      </c>
      <c r="S102" s="147">
        <v>1193.3</v>
      </c>
      <c r="T102" s="147">
        <v>1193.3</v>
      </c>
      <c r="U102" s="148">
        <f t="shared" si="5"/>
        <v>0</v>
      </c>
      <c r="V102" s="145"/>
    </row>
    <row r="103" spans="1:33" ht="20.100000000000001" customHeight="1" x14ac:dyDescent="0.25">
      <c r="A103" s="155">
        <v>88</v>
      </c>
      <c r="B103" s="106">
        <v>94</v>
      </c>
      <c r="C103" s="10" t="s">
        <v>258</v>
      </c>
      <c r="D103" s="111" t="s">
        <v>124</v>
      </c>
      <c r="E103" s="101"/>
      <c r="F103" s="12" t="s">
        <v>106</v>
      </c>
      <c r="G103" s="118" t="s">
        <v>261</v>
      </c>
      <c r="H103" s="75">
        <v>3</v>
      </c>
      <c r="I103" s="75"/>
      <c r="J103" s="75"/>
      <c r="K103" s="75"/>
      <c r="L103" s="75"/>
      <c r="M103" s="97"/>
      <c r="N103" s="97"/>
      <c r="O103" s="93">
        <f t="shared" si="4"/>
        <v>0</v>
      </c>
      <c r="P103" s="124"/>
      <c r="Q103" s="124"/>
      <c r="R103" s="124"/>
      <c r="S103" s="97"/>
      <c r="T103" s="97"/>
      <c r="U103" s="148">
        <f t="shared" si="5"/>
        <v>0</v>
      </c>
      <c r="V103" s="145"/>
    </row>
    <row r="104" spans="1:33" ht="20.100000000000001" customHeight="1" x14ac:dyDescent="0.25">
      <c r="B104" s="106">
        <v>95</v>
      </c>
      <c r="C104" s="10" t="s">
        <v>242</v>
      </c>
      <c r="D104" s="111" t="s">
        <v>124</v>
      </c>
      <c r="E104" s="101"/>
      <c r="F104" s="12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75">
        <v>2</v>
      </c>
      <c r="L104" s="75">
        <v>2</v>
      </c>
      <c r="M104" s="97">
        <v>2252.12</v>
      </c>
      <c r="N104" s="97">
        <v>2252.12</v>
      </c>
      <c r="O104" s="93">
        <f t="shared" si="4"/>
        <v>0</v>
      </c>
      <c r="P104" s="124"/>
      <c r="Q104" s="124"/>
      <c r="R104" s="124"/>
      <c r="S104" s="97"/>
      <c r="T104" s="97"/>
      <c r="U104" s="148">
        <f t="shared" si="5"/>
        <v>0</v>
      </c>
      <c r="V104" s="145"/>
      <c r="AF104" s="145"/>
    </row>
    <row r="105" spans="1:33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Q105" si="7">SUM(H10:H104)</f>
        <v>1196</v>
      </c>
      <c r="I105" s="119">
        <f t="shared" si="7"/>
        <v>616</v>
      </c>
      <c r="J105" s="119">
        <f t="shared" si="7"/>
        <v>802</v>
      </c>
      <c r="K105" s="119">
        <f t="shared" si="7"/>
        <v>725</v>
      </c>
      <c r="L105" s="119">
        <f t="shared" si="7"/>
        <v>531</v>
      </c>
      <c r="M105" s="151">
        <f t="shared" si="7"/>
        <v>425017.81999999977</v>
      </c>
      <c r="N105" s="151">
        <f t="shared" si="7"/>
        <v>425017.81999999977</v>
      </c>
      <c r="O105" s="151">
        <f t="shared" si="7"/>
        <v>0</v>
      </c>
      <c r="P105" s="152">
        <f t="shared" si="7"/>
        <v>623</v>
      </c>
      <c r="Q105" s="152">
        <f t="shared" si="7"/>
        <v>601</v>
      </c>
      <c r="R105" s="152">
        <f>SUM(R11:R104)</f>
        <v>539</v>
      </c>
      <c r="S105" s="151">
        <f>SUM(S10:S104)</f>
        <v>686670.02000000014</v>
      </c>
      <c r="T105" s="146">
        <f>SUM(T10:T104)</f>
        <v>686670.02000000014</v>
      </c>
      <c r="U105" s="120">
        <f>SUM(U10:U104)</f>
        <v>0</v>
      </c>
      <c r="V105" s="159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59"/>
      <c r="AG105" s="159"/>
    </row>
    <row r="106" spans="1:33" x14ac:dyDescent="0.25"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</row>
    <row r="107" spans="1:33" x14ac:dyDescent="0.25">
      <c r="V107" s="145"/>
      <c r="W107" s="145"/>
      <c r="AF107" s="159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420" priority="4" stopIfTrue="1" operator="equal">
      <formula>0</formula>
    </cfRule>
  </conditionalFormatting>
  <conditionalFormatting sqref="AL45">
    <cfRule type="cellIs" dxfId="419" priority="3" stopIfTrue="1" operator="equal">
      <formula>0</formula>
    </cfRule>
  </conditionalFormatting>
  <conditionalFormatting sqref="T45">
    <cfRule type="cellIs" dxfId="418" priority="2" stopIfTrue="1" operator="equal">
      <formula>0</formula>
    </cfRule>
  </conditionalFormatting>
  <conditionalFormatting sqref="T45">
    <cfRule type="cellIs" dxfId="417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7"/>
  <sheetViews>
    <sheetView topLeftCell="B82" zoomScale="80" zoomScaleNormal="80" workbookViewId="0">
      <selection activeCell="B99" sqref="A99:IV99"/>
    </sheetView>
  </sheetViews>
  <sheetFormatPr defaultRowHeight="15.75" x14ac:dyDescent="0.25"/>
  <cols>
    <col min="1" max="1" width="9.140625" style="155" hidden="1" customWidth="1"/>
    <col min="2" max="2" width="9.140625" style="55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12.42578125" style="109" customWidth="1"/>
    <col min="15" max="15" width="12.28515625" style="109" customWidth="1"/>
    <col min="16" max="18" width="9.140625" style="109" customWidth="1"/>
    <col min="19" max="19" width="16.85546875" style="109" customWidth="1"/>
    <col min="20" max="20" width="10.7109375" style="109" customWidth="1"/>
    <col min="21" max="21" width="10.7109375" style="133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9.140625" style="134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276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275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24</v>
      </c>
      <c r="I10" s="75">
        <v>9</v>
      </c>
      <c r="J10" s="75">
        <v>11</v>
      </c>
      <c r="K10" s="75">
        <v>11</v>
      </c>
      <c r="L10" s="75">
        <v>11</v>
      </c>
      <c r="M10" s="97">
        <v>8818.6299999999992</v>
      </c>
      <c r="N10" s="97">
        <v>8818.6299999999992</v>
      </c>
      <c r="O10" s="93">
        <f xml:space="preserve"> (M10-N10)</f>
        <v>0</v>
      </c>
      <c r="P10" s="123">
        <v>6</v>
      </c>
      <c r="Q10" s="124">
        <v>6</v>
      </c>
      <c r="R10" s="124">
        <v>6</v>
      </c>
      <c r="S10" s="97">
        <v>4246.75</v>
      </c>
      <c r="T10" s="97">
        <v>4246.75</v>
      </c>
      <c r="U10" s="97">
        <f xml:space="preserve"> (S10-T10)</f>
        <v>0</v>
      </c>
      <c r="V10" s="135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5</v>
      </c>
      <c r="I11" s="75">
        <v>5</v>
      </c>
      <c r="J11" s="75">
        <v>5</v>
      </c>
      <c r="K11" s="75">
        <v>5</v>
      </c>
      <c r="L11" s="75">
        <v>1</v>
      </c>
      <c r="M11" s="97">
        <v>275.60000000000002</v>
      </c>
      <c r="N11" s="97">
        <v>275.60000000000002</v>
      </c>
      <c r="O11" s="93">
        <f t="shared" ref="O11:O74" si="1" xml:space="preserve"> (M11-N11)</f>
        <v>0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35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3</v>
      </c>
      <c r="S12" s="97">
        <v>8035.44</v>
      </c>
      <c r="T12" s="97">
        <v>8035.44</v>
      </c>
      <c r="U12" s="97">
        <f t="shared" si="2"/>
        <v>0</v>
      </c>
      <c r="V12" s="14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15</v>
      </c>
      <c r="I13" s="75">
        <v>8</v>
      </c>
      <c r="J13" s="75">
        <v>11</v>
      </c>
      <c r="K13" s="75">
        <v>11</v>
      </c>
      <c r="L13" s="75">
        <v>5</v>
      </c>
      <c r="M13" s="97">
        <f>272.84+2699.54</f>
        <v>2972.38</v>
      </c>
      <c r="N13" s="97">
        <f>272.84+2699.54</f>
        <v>2972.38</v>
      </c>
      <c r="O13" s="93">
        <f t="shared" si="1"/>
        <v>0</v>
      </c>
      <c r="P13" s="123">
        <v>5</v>
      </c>
      <c r="Q13" s="124">
        <v>5</v>
      </c>
      <c r="R13" s="124">
        <v>4</v>
      </c>
      <c r="S13" s="97">
        <f>7385.53+1228.66</f>
        <v>8614.19</v>
      </c>
      <c r="T13" s="97">
        <f>7385.53+1228.66</f>
        <v>8614.19</v>
      </c>
      <c r="U13" s="97">
        <f t="shared" si="2"/>
        <v>0</v>
      </c>
      <c r="V13" s="14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19</v>
      </c>
      <c r="I14" s="75">
        <v>10</v>
      </c>
      <c r="J14" s="75">
        <v>11</v>
      </c>
      <c r="K14" s="75">
        <v>10</v>
      </c>
      <c r="L14" s="75">
        <v>7</v>
      </c>
      <c r="M14" s="97">
        <f>2277.13+1033.5</f>
        <v>3310.63</v>
      </c>
      <c r="N14" s="97">
        <f>2277.13+1033.5</f>
        <v>3310.63</v>
      </c>
      <c r="O14" s="93">
        <f t="shared" si="1"/>
        <v>0</v>
      </c>
      <c r="P14" s="123">
        <v>6</v>
      </c>
      <c r="Q14" s="124">
        <v>6</v>
      </c>
      <c r="R14" s="124">
        <v>4</v>
      </c>
      <c r="S14" s="97">
        <f>1800.7+633</f>
        <v>2433.6999999999998</v>
      </c>
      <c r="T14" s="97">
        <f>1800.7+633</f>
        <v>2433.6999999999998</v>
      </c>
      <c r="U14" s="97">
        <f t="shared" si="2"/>
        <v>0</v>
      </c>
      <c r="V14" s="135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20</v>
      </c>
      <c r="I15" s="75">
        <v>13</v>
      </c>
      <c r="J15" s="75">
        <v>18</v>
      </c>
      <c r="K15" s="75">
        <v>18</v>
      </c>
      <c r="L15" s="75">
        <v>14</v>
      </c>
      <c r="M15" s="97">
        <v>15468.06</v>
      </c>
      <c r="N15" s="97">
        <v>15468.06</v>
      </c>
      <c r="O15" s="93">
        <f t="shared" si="1"/>
        <v>0</v>
      </c>
      <c r="P15" s="123">
        <v>13</v>
      </c>
      <c r="Q15" s="124">
        <v>13</v>
      </c>
      <c r="R15" s="124">
        <v>12</v>
      </c>
      <c r="S15" s="97">
        <v>13259.94</v>
      </c>
      <c r="T15" s="97">
        <v>13259.94</v>
      </c>
      <c r="U15" s="97">
        <f t="shared" si="2"/>
        <v>0</v>
      </c>
      <c r="V15" s="135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97"/>
      <c r="U16" s="97">
        <f t="shared" si="2"/>
        <v>0</v>
      </c>
      <c r="V16" s="135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11</v>
      </c>
      <c r="I17" s="75">
        <v>6</v>
      </c>
      <c r="J17" s="75">
        <v>9</v>
      </c>
      <c r="K17" s="75">
        <v>9</v>
      </c>
      <c r="L17" s="75">
        <v>8</v>
      </c>
      <c r="M17" s="97">
        <v>6821.74</v>
      </c>
      <c r="N17" s="97">
        <v>6821.74</v>
      </c>
      <c r="O17" s="93">
        <f t="shared" si="1"/>
        <v>0</v>
      </c>
      <c r="P17" s="123">
        <v>1</v>
      </c>
      <c r="Q17" s="124">
        <v>1</v>
      </c>
      <c r="R17" s="124">
        <v>1</v>
      </c>
      <c r="S17" s="97">
        <v>1033.5</v>
      </c>
      <c r="T17" s="97">
        <v>1033.5</v>
      </c>
      <c r="U17" s="97">
        <f t="shared" si="2"/>
        <v>0</v>
      </c>
      <c r="V17" s="135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7</v>
      </c>
      <c r="I18" s="75"/>
      <c r="J18" s="75"/>
      <c r="K18" s="75"/>
      <c r="L18" s="75"/>
      <c r="M18" s="97">
        <v>2118.92</v>
      </c>
      <c r="N18" s="97">
        <v>2118.92</v>
      </c>
      <c r="O18" s="93">
        <f t="shared" si="1"/>
        <v>0</v>
      </c>
      <c r="P18" s="123">
        <v>5</v>
      </c>
      <c r="Q18" s="124">
        <v>5</v>
      </c>
      <c r="R18" s="124">
        <v>5</v>
      </c>
      <c r="S18" s="97">
        <v>14748.55</v>
      </c>
      <c r="T18" s="97">
        <v>14748.55</v>
      </c>
      <c r="U18" s="97">
        <f t="shared" si="2"/>
        <v>0</v>
      </c>
      <c r="V18" s="135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18</v>
      </c>
      <c r="I19" s="75">
        <v>10</v>
      </c>
      <c r="J19" s="75">
        <v>15</v>
      </c>
      <c r="K19" s="75">
        <v>15</v>
      </c>
      <c r="L19" s="75">
        <v>11</v>
      </c>
      <c r="M19" s="97">
        <v>5345.36</v>
      </c>
      <c r="N19" s="97">
        <v>5345.36</v>
      </c>
      <c r="O19" s="93">
        <f t="shared" si="1"/>
        <v>0</v>
      </c>
      <c r="P19" s="123">
        <v>13</v>
      </c>
      <c r="Q19" s="124">
        <v>13</v>
      </c>
      <c r="R19" s="124">
        <v>12</v>
      </c>
      <c r="S19" s="97">
        <f>12589.36+4299.58+3922.41</f>
        <v>20811.350000000002</v>
      </c>
      <c r="T19" s="97">
        <f>12589.36+4299.58+3922.41</f>
        <v>20811.350000000002</v>
      </c>
      <c r="U19" s="97">
        <f t="shared" si="2"/>
        <v>0</v>
      </c>
      <c r="V19" s="143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22</v>
      </c>
      <c r="I20" s="75">
        <v>7</v>
      </c>
      <c r="J20" s="75">
        <v>11</v>
      </c>
      <c r="K20" s="75">
        <v>11</v>
      </c>
      <c r="L20" s="75">
        <v>3</v>
      </c>
      <c r="M20" s="97">
        <v>1581.26</v>
      </c>
      <c r="N20" s="97">
        <v>1581.26</v>
      </c>
      <c r="O20" s="93">
        <f t="shared" si="1"/>
        <v>0</v>
      </c>
      <c r="P20" s="123">
        <v>23</v>
      </c>
      <c r="Q20" s="124">
        <v>23</v>
      </c>
      <c r="R20" s="124">
        <v>19</v>
      </c>
      <c r="S20" s="97">
        <f>14391.07+12609.01</f>
        <v>27000.080000000002</v>
      </c>
      <c r="T20" s="97">
        <f>14391.07+12609.01</f>
        <v>27000.080000000002</v>
      </c>
      <c r="U20" s="97">
        <f t="shared" si="2"/>
        <v>0</v>
      </c>
      <c r="V20" s="14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11</v>
      </c>
      <c r="I21" s="75">
        <v>3</v>
      </c>
      <c r="J21" s="75">
        <v>4</v>
      </c>
      <c r="K21" s="75">
        <v>4</v>
      </c>
      <c r="L21" s="75">
        <v>2</v>
      </c>
      <c r="M21" s="97">
        <f>427.18+831.61</f>
        <v>1258.79</v>
      </c>
      <c r="N21" s="97">
        <f>427.18+831.61</f>
        <v>1258.79</v>
      </c>
      <c r="O21" s="93">
        <f t="shared" si="1"/>
        <v>0</v>
      </c>
      <c r="P21" s="123">
        <v>5</v>
      </c>
      <c r="Q21" s="124">
        <v>5</v>
      </c>
      <c r="R21" s="124">
        <v>4</v>
      </c>
      <c r="S21" s="97">
        <f>5005.45+1729.9</f>
        <v>6735.35</v>
      </c>
      <c r="T21" s="97">
        <f>5005.45+1729.9</f>
        <v>6735.35</v>
      </c>
      <c r="U21" s="97">
        <f t="shared" si="2"/>
        <v>0</v>
      </c>
      <c r="V21" s="135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48</v>
      </c>
      <c r="I22" s="75">
        <v>22</v>
      </c>
      <c r="J22" s="75">
        <v>31</v>
      </c>
      <c r="K22" s="75">
        <v>31</v>
      </c>
      <c r="L22" s="75">
        <v>25</v>
      </c>
      <c r="M22" s="97">
        <v>18961.91</v>
      </c>
      <c r="N22" s="97">
        <v>18961.91</v>
      </c>
      <c r="O22" s="93">
        <f t="shared" si="1"/>
        <v>0</v>
      </c>
      <c r="P22" s="123">
        <v>20</v>
      </c>
      <c r="Q22" s="124">
        <v>19</v>
      </c>
      <c r="R22" s="124">
        <v>18</v>
      </c>
      <c r="S22" s="97">
        <v>24103.23</v>
      </c>
      <c r="T22" s="97">
        <v>24103.23</v>
      </c>
      <c r="U22" s="97">
        <f t="shared" si="2"/>
        <v>0</v>
      </c>
      <c r="V22" s="135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10</v>
      </c>
      <c r="I23" s="75">
        <v>5</v>
      </c>
      <c r="J23" s="75">
        <v>7</v>
      </c>
      <c r="K23" s="75">
        <v>5</v>
      </c>
      <c r="L23" s="75">
        <v>3</v>
      </c>
      <c r="M23" s="97">
        <v>4920.5</v>
      </c>
      <c r="N23" s="97">
        <v>4920.5</v>
      </c>
      <c r="O23" s="93">
        <f t="shared" si="1"/>
        <v>0</v>
      </c>
      <c r="P23" s="123">
        <v>11</v>
      </c>
      <c r="Q23" s="124">
        <v>11</v>
      </c>
      <c r="R23" s="124">
        <v>10</v>
      </c>
      <c r="S23" s="97">
        <v>25884.66</v>
      </c>
      <c r="T23" s="97">
        <v>25884.66</v>
      </c>
      <c r="U23" s="97">
        <f t="shared" si="2"/>
        <v>0</v>
      </c>
      <c r="V23" s="143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12</v>
      </c>
      <c r="I24" s="75">
        <v>8</v>
      </c>
      <c r="J24" s="75">
        <v>10</v>
      </c>
      <c r="K24" s="75">
        <v>10</v>
      </c>
      <c r="L24" s="75">
        <v>10</v>
      </c>
      <c r="M24" s="97">
        <v>1515.11</v>
      </c>
      <c r="N24" s="97">
        <v>1515.11</v>
      </c>
      <c r="O24" s="93">
        <f t="shared" si="1"/>
        <v>0</v>
      </c>
      <c r="P24" s="123">
        <v>8</v>
      </c>
      <c r="Q24" s="124">
        <v>7</v>
      </c>
      <c r="R24" s="124">
        <v>7</v>
      </c>
      <c r="S24" s="97">
        <v>4998.37</v>
      </c>
      <c r="T24" s="97">
        <v>4998.37</v>
      </c>
      <c r="U24" s="97">
        <f t="shared" si="2"/>
        <v>0</v>
      </c>
      <c r="V24" s="135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18</v>
      </c>
      <c r="I25" s="75">
        <v>9</v>
      </c>
      <c r="J25" s="75">
        <v>14</v>
      </c>
      <c r="K25" s="75">
        <v>12</v>
      </c>
      <c r="L25" s="75">
        <v>8</v>
      </c>
      <c r="M25" s="97">
        <f>2255.39+2419.13</f>
        <v>4674.5200000000004</v>
      </c>
      <c r="N25" s="97">
        <f>2255.39+2419.13</f>
        <v>4674.5200000000004</v>
      </c>
      <c r="O25" s="93">
        <f t="shared" si="1"/>
        <v>0</v>
      </c>
      <c r="P25" s="123">
        <v>21</v>
      </c>
      <c r="Q25" s="124">
        <v>20</v>
      </c>
      <c r="R25" s="124">
        <v>18</v>
      </c>
      <c r="S25" s="97">
        <f>17792.25+4619.68</f>
        <v>22411.93</v>
      </c>
      <c r="T25" s="97">
        <f>17792.25+4619.68</f>
        <v>22411.93</v>
      </c>
      <c r="U25" s="97">
        <f t="shared" si="2"/>
        <v>0</v>
      </c>
      <c r="V25" s="142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17</v>
      </c>
      <c r="I26" s="75">
        <v>7</v>
      </c>
      <c r="J26" s="75">
        <v>12</v>
      </c>
      <c r="K26" s="75">
        <v>12</v>
      </c>
      <c r="L26" s="75"/>
      <c r="M26" s="97"/>
      <c r="N26" s="97"/>
      <c r="O26" s="93">
        <f t="shared" si="1"/>
        <v>0</v>
      </c>
      <c r="P26" s="123">
        <v>10</v>
      </c>
      <c r="Q26" s="124">
        <v>10</v>
      </c>
      <c r="R26" s="124"/>
      <c r="S26" s="97"/>
      <c r="T26" s="97"/>
      <c r="U26" s="97">
        <f t="shared" si="2"/>
        <v>0</v>
      </c>
      <c r="V26" s="135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20</v>
      </c>
      <c r="I27" s="75">
        <v>7</v>
      </c>
      <c r="J27" s="75">
        <v>14</v>
      </c>
      <c r="K27" s="75">
        <v>14</v>
      </c>
      <c r="L27" s="75">
        <v>9</v>
      </c>
      <c r="M27" s="97">
        <f>2738.38+1698.1</f>
        <v>4436.4799999999996</v>
      </c>
      <c r="N27" s="97">
        <f>2738.38+1698.1</f>
        <v>4436.4799999999996</v>
      </c>
      <c r="O27" s="93">
        <f t="shared" si="1"/>
        <v>0</v>
      </c>
      <c r="P27" s="123">
        <v>14</v>
      </c>
      <c r="Q27" s="124">
        <v>14</v>
      </c>
      <c r="R27" s="124">
        <v>12</v>
      </c>
      <c r="S27" s="97">
        <f>11399.36+591.16</f>
        <v>11990.52</v>
      </c>
      <c r="T27" s="97">
        <f>11399.36+591.16</f>
        <v>11990.52</v>
      </c>
      <c r="U27" s="97">
        <f t="shared" si="2"/>
        <v>0</v>
      </c>
      <c r="V27" s="135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97"/>
      <c r="U28" s="97">
        <f t="shared" si="2"/>
        <v>0</v>
      </c>
      <c r="V28" s="135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15</v>
      </c>
      <c r="I29" s="75">
        <v>12</v>
      </c>
      <c r="J29" s="75">
        <v>17</v>
      </c>
      <c r="K29" s="75">
        <v>17</v>
      </c>
      <c r="L29" s="75">
        <v>11</v>
      </c>
      <c r="M29" s="97">
        <f>2023.14+2605.8+1307.38</f>
        <v>5936.3200000000006</v>
      </c>
      <c r="N29" s="97">
        <f>2023.14+2605.8+1307.38</f>
        <v>5936.3200000000006</v>
      </c>
      <c r="O29" s="93">
        <f t="shared" si="1"/>
        <v>0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43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20</v>
      </c>
      <c r="I30" s="75">
        <v>15</v>
      </c>
      <c r="J30" s="75">
        <v>16</v>
      </c>
      <c r="K30" s="75">
        <v>13</v>
      </c>
      <c r="L30" s="75">
        <v>8</v>
      </c>
      <c r="M30" s="97">
        <f>2487.52+2349.38</f>
        <v>4836.8999999999996</v>
      </c>
      <c r="N30" s="97">
        <f>2487.52+2349.38</f>
        <v>4836.8999999999996</v>
      </c>
      <c r="O30" s="93">
        <f t="shared" si="1"/>
        <v>0</v>
      </c>
      <c r="P30" s="123">
        <v>20</v>
      </c>
      <c r="Q30" s="124">
        <v>18</v>
      </c>
      <c r="R30" s="124">
        <v>14</v>
      </c>
      <c r="S30" s="97">
        <f>7176.8+21702.37</f>
        <v>28879.17</v>
      </c>
      <c r="T30" s="97">
        <f>7176.8+21702.37</f>
        <v>28879.17</v>
      </c>
      <c r="U30" s="97">
        <f t="shared" si="2"/>
        <v>0</v>
      </c>
      <c r="V30" s="14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1" t="s">
        <v>38</v>
      </c>
      <c r="D31" s="100" t="s">
        <v>124</v>
      </c>
      <c r="E31" s="101"/>
      <c r="F31" s="17" t="s">
        <v>106</v>
      </c>
      <c r="G31" s="72" t="s">
        <v>157</v>
      </c>
      <c r="H31" s="77">
        <v>4</v>
      </c>
      <c r="I31" s="75">
        <v>1</v>
      </c>
      <c r="J31" s="75">
        <v>2</v>
      </c>
      <c r="K31" s="75">
        <v>2</v>
      </c>
      <c r="L31" s="75">
        <v>2</v>
      </c>
      <c r="M31" s="97">
        <v>859.25</v>
      </c>
      <c r="N31" s="97">
        <v>859.25</v>
      </c>
      <c r="O31" s="93">
        <f t="shared" si="1"/>
        <v>0</v>
      </c>
      <c r="P31" s="123">
        <v>2</v>
      </c>
      <c r="Q31" s="12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4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0" t="s">
        <v>39</v>
      </c>
      <c r="D32" s="100" t="s">
        <v>124</v>
      </c>
      <c r="E32" s="101"/>
      <c r="F32" s="10" t="s">
        <v>105</v>
      </c>
      <c r="G32" s="72" t="s">
        <v>220</v>
      </c>
      <c r="H32" s="77"/>
      <c r="I32" s="75"/>
      <c r="J32" s="75"/>
      <c r="K32" s="75"/>
      <c r="L32" s="75"/>
      <c r="M32" s="97"/>
      <c r="N32" s="97"/>
      <c r="O32" s="93">
        <f t="shared" si="1"/>
        <v>0</v>
      </c>
      <c r="P32" s="123"/>
      <c r="Q32" s="124"/>
      <c r="R32" s="124"/>
      <c r="S32" s="97"/>
      <c r="T32" s="97"/>
      <c r="U32" s="97">
        <f t="shared" si="2"/>
        <v>0</v>
      </c>
      <c r="V32" s="135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0" t="s">
        <v>137</v>
      </c>
      <c r="D33" s="100" t="s">
        <v>124</v>
      </c>
      <c r="E33" s="101"/>
      <c r="F33" s="17" t="s">
        <v>106</v>
      </c>
      <c r="G33" s="72" t="s">
        <v>158</v>
      </c>
      <c r="H33" s="77">
        <v>10</v>
      </c>
      <c r="I33" s="75">
        <v>5</v>
      </c>
      <c r="J33" s="75">
        <v>5</v>
      </c>
      <c r="K33" s="75">
        <v>5</v>
      </c>
      <c r="L33" s="75">
        <v>3</v>
      </c>
      <c r="M33" s="97">
        <f>1929.2</f>
        <v>1929.2</v>
      </c>
      <c r="N33" s="97">
        <f>1929.2</f>
        <v>1929.2</v>
      </c>
      <c r="O33" s="93">
        <f t="shared" si="1"/>
        <v>0</v>
      </c>
      <c r="P33" s="123"/>
      <c r="Q33" s="124"/>
      <c r="R33" s="124"/>
      <c r="S33" s="97"/>
      <c r="T33" s="97"/>
      <c r="U33" s="97">
        <f t="shared" si="2"/>
        <v>0</v>
      </c>
      <c r="V33" s="135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2" t="s">
        <v>40</v>
      </c>
      <c r="D34" s="100" t="s">
        <v>124</v>
      </c>
      <c r="E34" s="101"/>
      <c r="F34" s="19" t="s">
        <v>115</v>
      </c>
      <c r="G34" s="72" t="s">
        <v>159</v>
      </c>
      <c r="H34" s="77">
        <v>12</v>
      </c>
      <c r="I34" s="75">
        <v>9</v>
      </c>
      <c r="J34" s="75">
        <v>14</v>
      </c>
      <c r="K34" s="75">
        <v>14</v>
      </c>
      <c r="L34" s="75">
        <v>11</v>
      </c>
      <c r="M34" s="97">
        <f>1580.26+3633.22+2321.45</f>
        <v>7534.9299999999994</v>
      </c>
      <c r="N34" s="97">
        <f>1580.26+3633.22+2321.45</f>
        <v>7534.9299999999994</v>
      </c>
      <c r="O34" s="93">
        <f t="shared" si="1"/>
        <v>0</v>
      </c>
      <c r="P34" s="123">
        <v>2</v>
      </c>
      <c r="Q34" s="12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43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1" t="s">
        <v>41</v>
      </c>
      <c r="D35" s="100" t="s">
        <v>124</v>
      </c>
      <c r="E35" s="101"/>
      <c r="F35" s="17" t="s">
        <v>106</v>
      </c>
      <c r="G35" s="72" t="s">
        <v>160</v>
      </c>
      <c r="H35" s="77">
        <v>10</v>
      </c>
      <c r="I35" s="75">
        <v>6</v>
      </c>
      <c r="J35" s="75">
        <v>9</v>
      </c>
      <c r="K35" s="75">
        <v>9</v>
      </c>
      <c r="L35" s="75">
        <v>3</v>
      </c>
      <c r="M35" s="97">
        <f>738.32+1081.83</f>
        <v>1820.15</v>
      </c>
      <c r="N35" s="97">
        <f>738.32+1081.83</f>
        <v>1820.15</v>
      </c>
      <c r="O35" s="93">
        <f t="shared" si="1"/>
        <v>0</v>
      </c>
      <c r="P35" s="123">
        <v>8</v>
      </c>
      <c r="Q35" s="124">
        <v>8</v>
      </c>
      <c r="R35" s="124">
        <v>7</v>
      </c>
      <c r="S35" s="97">
        <f>7876.12+900.18</f>
        <v>8776.2999999999993</v>
      </c>
      <c r="T35" s="97">
        <f>7876.12+900.18</f>
        <v>8776.2999999999993</v>
      </c>
      <c r="U35" s="97">
        <f t="shared" si="2"/>
        <v>0</v>
      </c>
      <c r="V35" s="141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3" t="s">
        <v>42</v>
      </c>
      <c r="D36" s="100" t="s">
        <v>124</v>
      </c>
      <c r="E36" s="101"/>
      <c r="F36" s="17" t="s">
        <v>106</v>
      </c>
      <c r="G36" s="72" t="s">
        <v>221</v>
      </c>
      <c r="H36" s="77">
        <v>9</v>
      </c>
      <c r="I36" s="75">
        <v>2</v>
      </c>
      <c r="J36" s="75">
        <v>2</v>
      </c>
      <c r="K36" s="75">
        <v>2</v>
      </c>
      <c r="L36" s="75"/>
      <c r="M36" s="97"/>
      <c r="N36" s="97"/>
      <c r="O36" s="93">
        <f t="shared" si="1"/>
        <v>0</v>
      </c>
      <c r="P36" s="123">
        <v>4</v>
      </c>
      <c r="Q36" s="124">
        <v>4</v>
      </c>
      <c r="R36" s="124">
        <v>4</v>
      </c>
      <c r="S36" s="97">
        <f>1436.08+3433.93</f>
        <v>4870.01</v>
      </c>
      <c r="T36" s="97">
        <f>1436.08+3433.93</f>
        <v>4870.01</v>
      </c>
      <c r="U36" s="97">
        <f t="shared" si="2"/>
        <v>0</v>
      </c>
      <c r="V36" s="142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3" t="s">
        <v>43</v>
      </c>
      <c r="D37" s="100" t="s">
        <v>124</v>
      </c>
      <c r="E37" s="101"/>
      <c r="F37" s="17" t="s">
        <v>106</v>
      </c>
      <c r="G37" s="72" t="s">
        <v>161</v>
      </c>
      <c r="H37" s="77">
        <v>8</v>
      </c>
      <c r="I37" s="75">
        <v>6</v>
      </c>
      <c r="J37" s="75">
        <v>6</v>
      </c>
      <c r="K37" s="75">
        <v>6</v>
      </c>
      <c r="L37" s="75">
        <v>5</v>
      </c>
      <c r="M37" s="97">
        <f>568.43+3282.53</f>
        <v>3850.96</v>
      </c>
      <c r="N37" s="97">
        <f>568.43+3282.53</f>
        <v>3850.96</v>
      </c>
      <c r="O37" s="93">
        <f t="shared" si="1"/>
        <v>0</v>
      </c>
      <c r="P37" s="123">
        <v>2</v>
      </c>
      <c r="Q37" s="124">
        <v>1</v>
      </c>
      <c r="R37" s="124">
        <v>1</v>
      </c>
      <c r="S37" s="97">
        <v>552.96</v>
      </c>
      <c r="T37" s="97">
        <v>552.96</v>
      </c>
      <c r="U37" s="97">
        <f t="shared" si="2"/>
        <v>0</v>
      </c>
      <c r="V37" s="142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1" t="s">
        <v>44</v>
      </c>
      <c r="D38" s="100" t="s">
        <v>124</v>
      </c>
      <c r="E38" s="101"/>
      <c r="F38" s="17" t="s">
        <v>105</v>
      </c>
      <c r="G38" s="72" t="s">
        <v>162</v>
      </c>
      <c r="H38" s="77">
        <v>38</v>
      </c>
      <c r="I38" s="75">
        <v>17</v>
      </c>
      <c r="J38" s="75">
        <v>23</v>
      </c>
      <c r="K38" s="75">
        <v>23</v>
      </c>
      <c r="L38" s="75">
        <v>21</v>
      </c>
      <c r="M38" s="97">
        <v>18043.849999999999</v>
      </c>
      <c r="N38" s="97">
        <v>18043.849999999999</v>
      </c>
      <c r="O38" s="93">
        <f t="shared" si="1"/>
        <v>0</v>
      </c>
      <c r="P38" s="123">
        <v>18</v>
      </c>
      <c r="Q38" s="124">
        <v>18</v>
      </c>
      <c r="R38" s="124">
        <v>18</v>
      </c>
      <c r="S38" s="97">
        <v>22326.77</v>
      </c>
      <c r="T38" s="97">
        <v>22326.77</v>
      </c>
      <c r="U38" s="97">
        <f t="shared" si="2"/>
        <v>0</v>
      </c>
      <c r="V38" s="14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1" t="s">
        <v>45</v>
      </c>
      <c r="D39" s="100" t="s">
        <v>124</v>
      </c>
      <c r="E39" s="101"/>
      <c r="F39" s="17" t="s">
        <v>111</v>
      </c>
      <c r="G39" s="72" t="s">
        <v>163</v>
      </c>
      <c r="H39" s="77">
        <v>16</v>
      </c>
      <c r="I39" s="75">
        <v>8</v>
      </c>
      <c r="J39" s="75">
        <v>11</v>
      </c>
      <c r="K39" s="75">
        <v>10</v>
      </c>
      <c r="L39" s="75">
        <v>7</v>
      </c>
      <c r="M39" s="97">
        <v>4309.67</v>
      </c>
      <c r="N39" s="97">
        <v>4309.67</v>
      </c>
      <c r="O39" s="93">
        <f t="shared" si="1"/>
        <v>0</v>
      </c>
      <c r="P39" s="123">
        <v>3</v>
      </c>
      <c r="Q39" s="124">
        <v>3</v>
      </c>
      <c r="R39" s="124">
        <v>3</v>
      </c>
      <c r="S39" s="97">
        <v>84.92</v>
      </c>
      <c r="T39" s="97">
        <v>84.92</v>
      </c>
      <c r="U39" s="97">
        <f t="shared" si="2"/>
        <v>0</v>
      </c>
      <c r="V39" s="14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0" t="s">
        <v>46</v>
      </c>
      <c r="D40" s="100" t="s">
        <v>124</v>
      </c>
      <c r="E40" s="101"/>
      <c r="F40" s="17" t="s">
        <v>106</v>
      </c>
      <c r="G40" s="72" t="s">
        <v>164</v>
      </c>
      <c r="H40" s="77">
        <v>6</v>
      </c>
      <c r="I40" s="75">
        <v>5</v>
      </c>
      <c r="J40" s="75">
        <v>5</v>
      </c>
      <c r="K40" s="75">
        <v>5</v>
      </c>
      <c r="L40" s="75">
        <v>3</v>
      </c>
      <c r="M40" s="97">
        <f>2273.7+1002.51</f>
        <v>3276.21</v>
      </c>
      <c r="N40" s="97">
        <f>2273.7+1002.51</f>
        <v>3276.21</v>
      </c>
      <c r="O40" s="93">
        <f t="shared" si="1"/>
        <v>0</v>
      </c>
      <c r="P40" s="123">
        <v>4</v>
      </c>
      <c r="Q40" s="12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35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0" t="s">
        <v>47</v>
      </c>
      <c r="D41" s="100" t="s">
        <v>124</v>
      </c>
      <c r="E41" s="101"/>
      <c r="F41" s="17" t="s">
        <v>116</v>
      </c>
      <c r="G41" s="72" t="s">
        <v>165</v>
      </c>
      <c r="H41" s="77">
        <v>10</v>
      </c>
      <c r="I41" s="75">
        <v>7</v>
      </c>
      <c r="J41" s="75">
        <v>8</v>
      </c>
      <c r="K41" s="75">
        <v>8</v>
      </c>
      <c r="L41" s="75">
        <v>3</v>
      </c>
      <c r="M41" s="97">
        <f>1322.88+206.7</f>
        <v>1529.5800000000002</v>
      </c>
      <c r="N41" s="97">
        <f>1322.88+206.7</f>
        <v>1529.5800000000002</v>
      </c>
      <c r="O41" s="93">
        <f t="shared" si="1"/>
        <v>0</v>
      </c>
      <c r="P41" s="123">
        <v>3</v>
      </c>
      <c r="Q41" s="124">
        <v>3</v>
      </c>
      <c r="R41" s="124">
        <v>2</v>
      </c>
      <c r="S41" s="97">
        <v>1016.08</v>
      </c>
      <c r="T41" s="97">
        <v>1016.08</v>
      </c>
      <c r="U41" s="97">
        <f t="shared" si="2"/>
        <v>0</v>
      </c>
      <c r="V41" s="135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3" t="s">
        <v>48</v>
      </c>
      <c r="D42" s="100" t="s">
        <v>124</v>
      </c>
      <c r="E42" s="101"/>
      <c r="F42" s="17" t="s">
        <v>106</v>
      </c>
      <c r="G42" s="72" t="s">
        <v>166</v>
      </c>
      <c r="H42" s="77">
        <v>9</v>
      </c>
      <c r="I42" s="75">
        <v>4</v>
      </c>
      <c r="J42" s="75">
        <v>4</v>
      </c>
      <c r="K42" s="75">
        <v>4</v>
      </c>
      <c r="L42" s="75">
        <v>2</v>
      </c>
      <c r="M42" s="97">
        <v>4681.8900000000003</v>
      </c>
      <c r="N42" s="97">
        <v>4681.8900000000003</v>
      </c>
      <c r="O42" s="93">
        <f t="shared" si="1"/>
        <v>0</v>
      </c>
      <c r="P42" s="123">
        <v>5</v>
      </c>
      <c r="Q42" s="124">
        <v>5</v>
      </c>
      <c r="R42" s="124">
        <v>3</v>
      </c>
      <c r="S42" s="97">
        <f>3907.41+583.58</f>
        <v>4490.99</v>
      </c>
      <c r="T42" s="97">
        <f>3907.41+583.58</f>
        <v>4490.99</v>
      </c>
      <c r="U42" s="97">
        <f t="shared" si="2"/>
        <v>0</v>
      </c>
      <c r="V42" s="142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0" t="s">
        <v>49</v>
      </c>
      <c r="D43" s="100" t="s">
        <v>124</v>
      </c>
      <c r="E43" s="101"/>
      <c r="F43" s="17" t="s">
        <v>106</v>
      </c>
      <c r="G43" s="72" t="s">
        <v>167</v>
      </c>
      <c r="H43" s="77">
        <v>12</v>
      </c>
      <c r="I43" s="75">
        <v>4</v>
      </c>
      <c r="J43" s="75">
        <v>4</v>
      </c>
      <c r="K43" s="75">
        <v>4</v>
      </c>
      <c r="L43" s="75">
        <v>1</v>
      </c>
      <c r="M43" s="97">
        <v>1157.56</v>
      </c>
      <c r="N43" s="97">
        <v>1157.56</v>
      </c>
      <c r="O43" s="93">
        <f t="shared" si="1"/>
        <v>0</v>
      </c>
      <c r="P43" s="123">
        <v>7</v>
      </c>
      <c r="Q43" s="124">
        <v>6</v>
      </c>
      <c r="R43" s="124">
        <v>5</v>
      </c>
      <c r="S43" s="97">
        <v>6437</v>
      </c>
      <c r="T43" s="97">
        <v>6437</v>
      </c>
      <c r="U43" s="97">
        <f t="shared" si="2"/>
        <v>0</v>
      </c>
      <c r="V43" s="135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3" t="s">
        <v>50</v>
      </c>
      <c r="D44" s="100" t="s">
        <v>124</v>
      </c>
      <c r="E44" s="101"/>
      <c r="F44" s="17" t="s">
        <v>106</v>
      </c>
      <c r="G44" s="72" t="s">
        <v>168</v>
      </c>
      <c r="H44" s="77">
        <v>5</v>
      </c>
      <c r="I44" s="75">
        <v>5</v>
      </c>
      <c r="J44" s="75">
        <v>8</v>
      </c>
      <c r="K44" s="75">
        <v>8</v>
      </c>
      <c r="L44" s="75">
        <v>4</v>
      </c>
      <c r="M44" s="97">
        <f>1345.04+387.91</f>
        <v>1732.95</v>
      </c>
      <c r="N44" s="97">
        <f>1345.04+387.91</f>
        <v>1732.95</v>
      </c>
      <c r="O44" s="93">
        <f t="shared" si="1"/>
        <v>0</v>
      </c>
      <c r="P44" s="123">
        <v>4</v>
      </c>
      <c r="Q44" s="124">
        <v>4</v>
      </c>
      <c r="R44" s="124">
        <v>4</v>
      </c>
      <c r="S44" s="97">
        <f>3997.92+850.65</f>
        <v>4848.57</v>
      </c>
      <c r="T44" s="97">
        <f>3997.92+850.65</f>
        <v>4848.57</v>
      </c>
      <c r="U44" s="97">
        <f t="shared" si="2"/>
        <v>0</v>
      </c>
      <c r="V44" s="142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1" t="s">
        <v>51</v>
      </c>
      <c r="D45" s="100" t="s">
        <v>124</v>
      </c>
      <c r="E45" s="101"/>
      <c r="F45" s="22" t="s">
        <v>112</v>
      </c>
      <c r="G45" s="72"/>
      <c r="H45" s="77"/>
      <c r="I45" s="75"/>
      <c r="J45" s="75"/>
      <c r="K45" s="75"/>
      <c r="L45" s="75"/>
      <c r="M45" s="97"/>
      <c r="N45" s="97"/>
      <c r="O45" s="93">
        <f t="shared" si="1"/>
        <v>0</v>
      </c>
      <c r="P45" s="123"/>
      <c r="Q45" s="124"/>
      <c r="R45" s="124"/>
      <c r="S45" s="97"/>
      <c r="T45" s="97"/>
      <c r="U45" s="97">
        <f t="shared" si="2"/>
        <v>0</v>
      </c>
      <c r="V45" s="14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1" t="s">
        <v>131</v>
      </c>
      <c r="D46" s="100" t="s">
        <v>124</v>
      </c>
      <c r="E46" s="101"/>
      <c r="F46" s="22" t="s">
        <v>106</v>
      </c>
      <c r="G46" s="72" t="s">
        <v>171</v>
      </c>
      <c r="H46" s="77">
        <v>8</v>
      </c>
      <c r="I46" s="75"/>
      <c r="J46" s="75"/>
      <c r="K46" s="75"/>
      <c r="L46" s="75"/>
      <c r="M46" s="97"/>
      <c r="N46" s="97"/>
      <c r="O46" s="93">
        <f t="shared" si="1"/>
        <v>0</v>
      </c>
      <c r="P46" s="123">
        <v>2</v>
      </c>
      <c r="Q46" s="124">
        <v>2</v>
      </c>
      <c r="R46" s="124">
        <v>2</v>
      </c>
      <c r="S46" s="97">
        <v>12091.23</v>
      </c>
      <c r="T46" s="97">
        <v>12091.23</v>
      </c>
      <c r="U46" s="97">
        <f t="shared" si="2"/>
        <v>0</v>
      </c>
      <c r="V46" s="14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3" t="s">
        <v>52</v>
      </c>
      <c r="D47" s="100" t="s">
        <v>124</v>
      </c>
      <c r="E47" s="101"/>
      <c r="F47" s="17" t="s">
        <v>106</v>
      </c>
      <c r="G47" s="72" t="s">
        <v>169</v>
      </c>
      <c r="H47" s="77">
        <v>22</v>
      </c>
      <c r="I47" s="75">
        <v>11</v>
      </c>
      <c r="J47" s="75">
        <v>16</v>
      </c>
      <c r="K47" s="75">
        <v>16</v>
      </c>
      <c r="L47" s="75">
        <v>4</v>
      </c>
      <c r="M47" s="97">
        <f>2714.54+272.6</f>
        <v>2987.14</v>
      </c>
      <c r="N47" s="97">
        <f>2714.54+272.6</f>
        <v>2987.14</v>
      </c>
      <c r="O47" s="93">
        <f t="shared" si="1"/>
        <v>0</v>
      </c>
      <c r="P47" s="123">
        <v>2</v>
      </c>
      <c r="Q47" s="124">
        <v>2</v>
      </c>
      <c r="R47" s="124">
        <v>1</v>
      </c>
      <c r="S47" s="97">
        <v>689</v>
      </c>
      <c r="T47" s="97">
        <v>689</v>
      </c>
      <c r="U47" s="97">
        <f t="shared" si="2"/>
        <v>0</v>
      </c>
      <c r="V47" s="142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0" t="s">
        <v>53</v>
      </c>
      <c r="D48" s="100" t="s">
        <v>124</v>
      </c>
      <c r="E48" s="101"/>
      <c r="F48" s="17" t="s">
        <v>105</v>
      </c>
      <c r="G48" s="72" t="s">
        <v>170</v>
      </c>
      <c r="H48" s="77">
        <v>9</v>
      </c>
      <c r="I48" s="75">
        <v>5</v>
      </c>
      <c r="J48" s="75">
        <v>8</v>
      </c>
      <c r="K48" s="75">
        <v>7</v>
      </c>
      <c r="L48" s="75">
        <v>7</v>
      </c>
      <c r="M48" s="97">
        <v>8890.84</v>
      </c>
      <c r="N48" s="97">
        <v>8890.84</v>
      </c>
      <c r="O48" s="93">
        <f t="shared" si="1"/>
        <v>0</v>
      </c>
      <c r="P48" s="123">
        <v>3</v>
      </c>
      <c r="Q48" s="12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35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0" t="s">
        <v>54</v>
      </c>
      <c r="D49" s="100" t="s">
        <v>124</v>
      </c>
      <c r="E49" s="101"/>
      <c r="F49" s="17" t="s">
        <v>106</v>
      </c>
      <c r="G49" s="72" t="s">
        <v>172</v>
      </c>
      <c r="H49" s="77">
        <v>12</v>
      </c>
      <c r="I49" s="75">
        <v>4</v>
      </c>
      <c r="J49" s="75">
        <v>4</v>
      </c>
      <c r="K49" s="75">
        <v>4</v>
      </c>
      <c r="L49" s="75">
        <v>1</v>
      </c>
      <c r="M49" s="97">
        <v>397.9</v>
      </c>
      <c r="N49" s="97">
        <v>397.9</v>
      </c>
      <c r="O49" s="93">
        <f t="shared" si="1"/>
        <v>0</v>
      </c>
      <c r="P49" s="123">
        <v>7</v>
      </c>
      <c r="Q49" s="124">
        <v>7</v>
      </c>
      <c r="R49" s="124">
        <v>5</v>
      </c>
      <c r="S49" s="97">
        <f>4105.06+1454.92</f>
        <v>5559.9800000000005</v>
      </c>
      <c r="T49" s="97">
        <f>4105.06+1454.92</f>
        <v>5559.9800000000005</v>
      </c>
      <c r="U49" s="97">
        <f t="shared" si="2"/>
        <v>0</v>
      </c>
      <c r="V49" s="135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0" t="s">
        <v>55</v>
      </c>
      <c r="D50" s="100" t="s">
        <v>124</v>
      </c>
      <c r="E50" s="101"/>
      <c r="F50" s="17" t="s">
        <v>106</v>
      </c>
      <c r="G50" s="72" t="s">
        <v>173</v>
      </c>
      <c r="H50" s="77">
        <v>11</v>
      </c>
      <c r="I50" s="75">
        <v>10</v>
      </c>
      <c r="J50" s="75">
        <v>11</v>
      </c>
      <c r="K50" s="75">
        <v>11</v>
      </c>
      <c r="L50" s="75">
        <v>7</v>
      </c>
      <c r="M50" s="97">
        <v>6228.72</v>
      </c>
      <c r="N50" s="97">
        <v>6228.72</v>
      </c>
      <c r="O50" s="93">
        <f t="shared" si="1"/>
        <v>0</v>
      </c>
      <c r="P50" s="123">
        <v>6</v>
      </c>
      <c r="Q50" s="124">
        <v>5</v>
      </c>
      <c r="R50" s="124">
        <v>5</v>
      </c>
      <c r="S50" s="97">
        <f>2457.28+1725.6</f>
        <v>4182.88</v>
      </c>
      <c r="T50" s="97">
        <f>2457.28+1725.6</f>
        <v>4182.88</v>
      </c>
      <c r="U50" s="97">
        <f t="shared" si="2"/>
        <v>0</v>
      </c>
      <c r="V50" s="135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0" t="s">
        <v>56</v>
      </c>
      <c r="D51" s="100" t="s">
        <v>124</v>
      </c>
      <c r="E51" s="101"/>
      <c r="F51" s="17" t="s">
        <v>106</v>
      </c>
      <c r="G51" s="72" t="s">
        <v>174</v>
      </c>
      <c r="H51" s="77">
        <v>15</v>
      </c>
      <c r="I51" s="75">
        <v>7</v>
      </c>
      <c r="J51" s="75">
        <v>8</v>
      </c>
      <c r="K51" s="75">
        <v>8</v>
      </c>
      <c r="L51" s="75">
        <v>3</v>
      </c>
      <c r="M51" s="97">
        <v>1308.27</v>
      </c>
      <c r="N51" s="97">
        <v>1308.27</v>
      </c>
      <c r="O51" s="93">
        <f t="shared" si="1"/>
        <v>0</v>
      </c>
      <c r="P51" s="123">
        <v>1</v>
      </c>
      <c r="Q51" s="124">
        <v>1</v>
      </c>
      <c r="R51" s="124">
        <v>1</v>
      </c>
      <c r="S51" s="97">
        <v>728.15</v>
      </c>
      <c r="T51" s="97">
        <v>728.15</v>
      </c>
      <c r="U51" s="97">
        <f t="shared" si="2"/>
        <v>0</v>
      </c>
      <c r="V51" s="135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3" t="s">
        <v>57</v>
      </c>
      <c r="D52" s="100" t="s">
        <v>124</v>
      </c>
      <c r="E52" s="101"/>
      <c r="F52" s="17" t="s">
        <v>106</v>
      </c>
      <c r="G52" s="72" t="s">
        <v>175</v>
      </c>
      <c r="H52" s="77">
        <v>13</v>
      </c>
      <c r="I52" s="75">
        <v>6</v>
      </c>
      <c r="J52" s="75">
        <v>7</v>
      </c>
      <c r="K52" s="75">
        <v>7</v>
      </c>
      <c r="L52" s="75">
        <v>4</v>
      </c>
      <c r="M52" s="97">
        <f>613.9+1710.26</f>
        <v>2324.16</v>
      </c>
      <c r="N52" s="97">
        <f>613.9+1710.26</f>
        <v>2324.16</v>
      </c>
      <c r="O52" s="93">
        <f t="shared" si="1"/>
        <v>0</v>
      </c>
      <c r="P52" s="123">
        <v>5</v>
      </c>
      <c r="Q52" s="124">
        <v>4</v>
      </c>
      <c r="R52" s="124">
        <v>4</v>
      </c>
      <c r="S52" s="97">
        <f>1535.39+1035.3</f>
        <v>2570.69</v>
      </c>
      <c r="T52" s="97">
        <f>1535.39+1035.3</f>
        <v>2570.69</v>
      </c>
      <c r="U52" s="97">
        <f t="shared" si="2"/>
        <v>0</v>
      </c>
      <c r="V52" s="142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3" t="s">
        <v>58</v>
      </c>
      <c r="D53" s="100" t="s">
        <v>124</v>
      </c>
      <c r="E53" s="101"/>
      <c r="F53" s="17" t="s">
        <v>106</v>
      </c>
      <c r="G53" s="72" t="s">
        <v>260</v>
      </c>
      <c r="H53" s="77">
        <v>5</v>
      </c>
      <c r="I53" s="75">
        <v>2</v>
      </c>
      <c r="J53" s="75">
        <v>2</v>
      </c>
      <c r="K53" s="75">
        <v>2</v>
      </c>
      <c r="L53" s="75"/>
      <c r="M53" s="97"/>
      <c r="N53" s="97"/>
      <c r="O53" s="93">
        <f t="shared" si="1"/>
        <v>0</v>
      </c>
      <c r="P53" s="123">
        <v>2</v>
      </c>
      <c r="Q53" s="12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42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3" t="s">
        <v>59</v>
      </c>
      <c r="D54" s="100" t="s">
        <v>124</v>
      </c>
      <c r="E54" s="101"/>
      <c r="F54" s="17" t="s">
        <v>112</v>
      </c>
      <c r="G54" s="72" t="s">
        <v>176</v>
      </c>
      <c r="H54" s="77">
        <v>42</v>
      </c>
      <c r="I54" s="75">
        <v>19</v>
      </c>
      <c r="J54" s="75">
        <v>25</v>
      </c>
      <c r="K54" s="75">
        <v>25</v>
      </c>
      <c r="L54" s="75">
        <v>17</v>
      </c>
      <c r="M54" s="97">
        <f>575.32+6377.18</f>
        <v>6952.5</v>
      </c>
      <c r="N54" s="97">
        <f>575.32+6377.18</f>
        <v>6952.5</v>
      </c>
      <c r="O54" s="93">
        <f t="shared" si="1"/>
        <v>0</v>
      </c>
      <c r="P54" s="123">
        <v>17</v>
      </c>
      <c r="Q54" s="12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42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3" t="s">
        <v>60</v>
      </c>
      <c r="D55" s="100" t="s">
        <v>125</v>
      </c>
      <c r="E55" s="106" t="s">
        <v>126</v>
      </c>
      <c r="F55" s="17" t="s">
        <v>106</v>
      </c>
      <c r="G55" s="72" t="s">
        <v>177</v>
      </c>
      <c r="H55" s="77">
        <v>5</v>
      </c>
      <c r="I55" s="75">
        <v>2</v>
      </c>
      <c r="J55" s="75">
        <v>2</v>
      </c>
      <c r="K55" s="75">
        <v>2</v>
      </c>
      <c r="L55" s="75">
        <v>1</v>
      </c>
      <c r="M55" s="97">
        <v>4023.8</v>
      </c>
      <c r="N55" s="97">
        <v>4023.8</v>
      </c>
      <c r="O55" s="93">
        <f t="shared" si="1"/>
        <v>0</v>
      </c>
      <c r="P55" s="123">
        <v>3</v>
      </c>
      <c r="Q55" s="12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42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1" t="s">
        <v>61</v>
      </c>
      <c r="D56" s="100" t="s">
        <v>124</v>
      </c>
      <c r="E56" s="101"/>
      <c r="F56" s="17" t="s">
        <v>107</v>
      </c>
      <c r="G56" s="72" t="s">
        <v>178</v>
      </c>
      <c r="H56" s="77">
        <v>34</v>
      </c>
      <c r="I56" s="75">
        <v>18</v>
      </c>
      <c r="J56" s="75">
        <v>20</v>
      </c>
      <c r="K56" s="75">
        <v>20</v>
      </c>
      <c r="L56" s="75">
        <v>13</v>
      </c>
      <c r="M56" s="97">
        <f>2880.54+7232.73</f>
        <v>10113.27</v>
      </c>
      <c r="N56" s="97">
        <f>2880.54+7232.73</f>
        <v>10113.27</v>
      </c>
      <c r="O56" s="93">
        <f t="shared" si="1"/>
        <v>0</v>
      </c>
      <c r="P56" s="123">
        <v>30</v>
      </c>
      <c r="Q56" s="124">
        <v>29</v>
      </c>
      <c r="R56" s="124">
        <v>24</v>
      </c>
      <c r="S56" s="97">
        <f>35028.07+10662.98</f>
        <v>45691.05</v>
      </c>
      <c r="T56" s="97">
        <f>35028.07+10662.98</f>
        <v>45691.05</v>
      </c>
      <c r="U56" s="97">
        <f t="shared" si="2"/>
        <v>0</v>
      </c>
      <c r="V56" s="14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1" t="s">
        <v>134</v>
      </c>
      <c r="D57" s="100" t="s">
        <v>124</v>
      </c>
      <c r="E57" s="101"/>
      <c r="F57" s="17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75">
        <v>3</v>
      </c>
      <c r="L57" s="75">
        <v>3</v>
      </c>
      <c r="M57" s="97">
        <v>1200.96</v>
      </c>
      <c r="N57" s="97">
        <v>1200.96</v>
      </c>
      <c r="O57" s="93">
        <f t="shared" si="1"/>
        <v>0</v>
      </c>
      <c r="P57" s="123"/>
      <c r="Q57" s="124"/>
      <c r="R57" s="124"/>
      <c r="S57" s="97"/>
      <c r="T57" s="97"/>
      <c r="U57" s="97">
        <f t="shared" si="2"/>
        <v>0</v>
      </c>
      <c r="V57" s="14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1" t="s">
        <v>62</v>
      </c>
      <c r="D58" s="100" t="s">
        <v>124</v>
      </c>
      <c r="E58" s="101"/>
      <c r="F58" s="17" t="s">
        <v>106</v>
      </c>
      <c r="G58" s="72" t="s">
        <v>230</v>
      </c>
      <c r="H58" s="77"/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97"/>
      <c r="U58" s="97">
        <f t="shared" si="2"/>
        <v>0</v>
      </c>
      <c r="V58" s="14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1" t="s">
        <v>63</v>
      </c>
      <c r="D59" s="100" t="s">
        <v>124</v>
      </c>
      <c r="E59" s="101"/>
      <c r="F59" s="22" t="s">
        <v>112</v>
      </c>
      <c r="G59" s="72" t="s">
        <v>224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97"/>
      <c r="U59" s="97">
        <f t="shared" si="2"/>
        <v>0</v>
      </c>
      <c r="V59" s="14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1" t="s">
        <v>64</v>
      </c>
      <c r="D60" s="100" t="s">
        <v>124</v>
      </c>
      <c r="E60" s="101"/>
      <c r="F60" s="22" t="s">
        <v>107</v>
      </c>
      <c r="G60" s="72" t="s">
        <v>180</v>
      </c>
      <c r="H60" s="77">
        <v>34</v>
      </c>
      <c r="I60" s="75">
        <v>18</v>
      </c>
      <c r="J60" s="75">
        <v>28</v>
      </c>
      <c r="K60" s="75">
        <v>23</v>
      </c>
      <c r="L60" s="75">
        <v>21</v>
      </c>
      <c r="M60" s="97">
        <v>19367.669999999998</v>
      </c>
      <c r="N60" s="97">
        <v>19367.669999999998</v>
      </c>
      <c r="O60" s="93">
        <f t="shared" si="1"/>
        <v>0</v>
      </c>
      <c r="P60" s="123">
        <v>6</v>
      </c>
      <c r="Q60" s="124">
        <v>6</v>
      </c>
      <c r="R60" s="124">
        <v>6</v>
      </c>
      <c r="S60" s="97">
        <v>7737.36</v>
      </c>
      <c r="T60" s="97">
        <v>7737.36</v>
      </c>
      <c r="U60" s="97">
        <f t="shared" si="2"/>
        <v>0</v>
      </c>
      <c r="V60" s="14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1" t="s">
        <v>135</v>
      </c>
      <c r="D61" s="100" t="s">
        <v>124</v>
      </c>
      <c r="E61" s="101"/>
      <c r="F61" s="22" t="s">
        <v>111</v>
      </c>
      <c r="G61" s="72" t="s">
        <v>181</v>
      </c>
      <c r="H61" s="77">
        <v>11</v>
      </c>
      <c r="I61" s="75">
        <v>7</v>
      </c>
      <c r="J61" s="75">
        <v>9</v>
      </c>
      <c r="K61" s="75">
        <v>6</v>
      </c>
      <c r="L61" s="75">
        <v>4</v>
      </c>
      <c r="M61" s="97">
        <v>2862.11</v>
      </c>
      <c r="N61" s="97">
        <v>2862.11</v>
      </c>
      <c r="O61" s="93">
        <f t="shared" si="1"/>
        <v>0</v>
      </c>
      <c r="P61" s="123"/>
      <c r="Q61" s="124"/>
      <c r="R61" s="124"/>
      <c r="S61" s="97"/>
      <c r="T61" s="97"/>
      <c r="U61" s="97">
        <f t="shared" si="2"/>
        <v>0</v>
      </c>
      <c r="V61" s="14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3" t="s">
        <v>65</v>
      </c>
      <c r="D62" s="100" t="s">
        <v>124</v>
      </c>
      <c r="E62" s="101"/>
      <c r="F62" s="17" t="s">
        <v>106</v>
      </c>
      <c r="G62" s="72" t="s">
        <v>182</v>
      </c>
      <c r="H62" s="77">
        <v>12</v>
      </c>
      <c r="I62" s="75">
        <v>5</v>
      </c>
      <c r="J62" s="75">
        <v>5</v>
      </c>
      <c r="K62" s="75">
        <v>4</v>
      </c>
      <c r="L62" s="75">
        <v>2</v>
      </c>
      <c r="M62" s="97">
        <f>1263.45+2111.32</f>
        <v>3374.7700000000004</v>
      </c>
      <c r="N62" s="97">
        <f>1263.45+2111.32</f>
        <v>3374.7700000000004</v>
      </c>
      <c r="O62" s="93">
        <f t="shared" si="1"/>
        <v>0</v>
      </c>
      <c r="P62" s="123">
        <v>6</v>
      </c>
      <c r="Q62" s="124">
        <v>6</v>
      </c>
      <c r="R62" s="124">
        <v>6</v>
      </c>
      <c r="S62" s="97">
        <f>740.14+4736.32</f>
        <v>5476.46</v>
      </c>
      <c r="T62" s="97">
        <f>740.14+4736.32</f>
        <v>5476.46</v>
      </c>
      <c r="U62" s="97">
        <f t="shared" si="2"/>
        <v>0</v>
      </c>
    </row>
    <row r="63" spans="1:40" ht="20.100000000000001" customHeight="1" x14ac:dyDescent="0.25">
      <c r="B63" s="99">
        <f t="shared" si="3"/>
        <v>54</v>
      </c>
      <c r="C63" s="13" t="s">
        <v>66</v>
      </c>
      <c r="D63" s="100" t="s">
        <v>124</v>
      </c>
      <c r="E63" s="101"/>
      <c r="F63" s="17" t="s">
        <v>112</v>
      </c>
      <c r="G63" s="72" t="s">
        <v>227</v>
      </c>
      <c r="H63" s="77"/>
      <c r="I63" s="75"/>
      <c r="J63" s="75"/>
      <c r="K63" s="75"/>
      <c r="L63" s="75"/>
      <c r="M63" s="97">
        <v>482.3</v>
      </c>
      <c r="N63" s="97">
        <v>482.3</v>
      </c>
      <c r="O63" s="93">
        <f t="shared" si="1"/>
        <v>0</v>
      </c>
      <c r="P63" s="123">
        <v>28</v>
      </c>
      <c r="Q63" s="124">
        <v>28</v>
      </c>
      <c r="R63" s="124">
        <v>28</v>
      </c>
      <c r="S63" s="97">
        <v>9392.68</v>
      </c>
      <c r="T63" s="97">
        <v>9392.68</v>
      </c>
      <c r="U63" s="97">
        <f t="shared" si="2"/>
        <v>0</v>
      </c>
    </row>
    <row r="64" spans="1:40" ht="20.100000000000001" customHeight="1" x14ac:dyDescent="0.25">
      <c r="A64" s="155">
        <v>50</v>
      </c>
      <c r="B64" s="99">
        <f t="shared" si="3"/>
        <v>55</v>
      </c>
      <c r="C64" s="10" t="s">
        <v>67</v>
      </c>
      <c r="D64" s="100" t="s">
        <v>124</v>
      </c>
      <c r="E64" s="101"/>
      <c r="F64" s="17" t="s">
        <v>106</v>
      </c>
      <c r="G64" s="72" t="s">
        <v>183</v>
      </c>
      <c r="H64" s="77">
        <v>18</v>
      </c>
      <c r="I64" s="75">
        <v>9</v>
      </c>
      <c r="J64" s="75">
        <v>11</v>
      </c>
      <c r="K64" s="75">
        <v>11</v>
      </c>
      <c r="L64" s="75">
        <v>7</v>
      </c>
      <c r="M64" s="97">
        <v>4540.7700000000004</v>
      </c>
      <c r="N64" s="97">
        <v>4540.7700000000004</v>
      </c>
      <c r="O64" s="93">
        <f t="shared" si="1"/>
        <v>0</v>
      </c>
      <c r="P64" s="123">
        <v>9</v>
      </c>
      <c r="Q64" s="124">
        <v>9</v>
      </c>
      <c r="R64" s="124">
        <v>8</v>
      </c>
      <c r="S64" s="97">
        <v>5100.46</v>
      </c>
      <c r="T64" s="97">
        <v>5100.46</v>
      </c>
      <c r="U64" s="97">
        <f t="shared" si="2"/>
        <v>0</v>
      </c>
    </row>
    <row r="65" spans="1:21" ht="20.100000000000001" customHeight="1" x14ac:dyDescent="0.25">
      <c r="A65" s="155">
        <v>51</v>
      </c>
      <c r="B65" s="99">
        <f t="shared" si="3"/>
        <v>56</v>
      </c>
      <c r="C65" s="10" t="s">
        <v>68</v>
      </c>
      <c r="D65" s="100" t="s">
        <v>124</v>
      </c>
      <c r="E65" s="101"/>
      <c r="F65" s="17" t="s">
        <v>111</v>
      </c>
      <c r="G65" s="72" t="s">
        <v>184</v>
      </c>
      <c r="H65" s="77">
        <v>23</v>
      </c>
      <c r="I65" s="75">
        <v>20</v>
      </c>
      <c r="J65" s="75">
        <v>25</v>
      </c>
      <c r="K65" s="75">
        <v>20</v>
      </c>
      <c r="L65" s="75">
        <v>9</v>
      </c>
      <c r="M65" s="97">
        <f>620.1+6964.42</f>
        <v>7584.52</v>
      </c>
      <c r="N65" s="97">
        <f>620.1+6964.42</f>
        <v>7584.52</v>
      </c>
      <c r="O65" s="93">
        <f t="shared" si="1"/>
        <v>0</v>
      </c>
      <c r="P65" s="123">
        <v>10</v>
      </c>
      <c r="Q65" s="124">
        <v>10</v>
      </c>
      <c r="R65" s="124">
        <v>8</v>
      </c>
      <c r="S65" s="97">
        <v>5363.21</v>
      </c>
      <c r="T65" s="97">
        <v>5363.21</v>
      </c>
      <c r="U65" s="97">
        <f t="shared" si="2"/>
        <v>0</v>
      </c>
    </row>
    <row r="66" spans="1:21" ht="20.100000000000001" customHeight="1" x14ac:dyDescent="0.25">
      <c r="A66" s="155">
        <v>52</v>
      </c>
      <c r="B66" s="99">
        <f t="shared" si="3"/>
        <v>57</v>
      </c>
      <c r="C66" s="13" t="s">
        <v>69</v>
      </c>
      <c r="D66" s="100" t="s">
        <v>124</v>
      </c>
      <c r="E66" s="101"/>
      <c r="F66" s="17" t="s">
        <v>106</v>
      </c>
      <c r="G66" s="72" t="s">
        <v>185</v>
      </c>
      <c r="H66" s="77">
        <v>3</v>
      </c>
      <c r="I66" s="75">
        <v>2</v>
      </c>
      <c r="J66" s="75">
        <v>3</v>
      </c>
      <c r="K66" s="75">
        <v>3</v>
      </c>
      <c r="L66" s="75">
        <v>3</v>
      </c>
      <c r="M66" s="97">
        <f>463.83+1653.6</f>
        <v>2117.4299999999998</v>
      </c>
      <c r="N66" s="97">
        <f>463.83+1653.6</f>
        <v>2117.4299999999998</v>
      </c>
      <c r="O66" s="93">
        <f t="shared" si="1"/>
        <v>0</v>
      </c>
      <c r="P66" s="123">
        <v>4</v>
      </c>
      <c r="Q66" s="12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</row>
    <row r="67" spans="1:21" ht="20.100000000000001" customHeight="1" x14ac:dyDescent="0.25">
      <c r="A67" s="155">
        <v>53</v>
      </c>
      <c r="B67" s="99">
        <f t="shared" si="3"/>
        <v>58</v>
      </c>
      <c r="C67" s="11" t="s">
        <v>70</v>
      </c>
      <c r="D67" s="100" t="s">
        <v>124</v>
      </c>
      <c r="E67" s="101"/>
      <c r="F67" s="17" t="s">
        <v>107</v>
      </c>
      <c r="G67" s="72" t="s">
        <v>186</v>
      </c>
      <c r="H67" s="77">
        <v>31</v>
      </c>
      <c r="I67" s="75">
        <v>23</v>
      </c>
      <c r="J67" s="75">
        <v>29</v>
      </c>
      <c r="K67" s="75">
        <v>26</v>
      </c>
      <c r="L67" s="75">
        <v>24</v>
      </c>
      <c r="M67" s="97">
        <v>19710.93</v>
      </c>
      <c r="N67" s="97">
        <v>19710.93</v>
      </c>
      <c r="O67" s="93">
        <f t="shared" si="1"/>
        <v>0</v>
      </c>
      <c r="P67" s="123">
        <v>8</v>
      </c>
      <c r="Q67" s="124">
        <v>7</v>
      </c>
      <c r="R67" s="124">
        <v>7</v>
      </c>
      <c r="S67" s="97">
        <f>1207.07+5904.8</f>
        <v>7111.87</v>
      </c>
      <c r="T67" s="97">
        <f>1207.07+5904.8</f>
        <v>7111.87</v>
      </c>
      <c r="U67" s="97">
        <f t="shared" si="2"/>
        <v>0</v>
      </c>
    </row>
    <row r="68" spans="1:21" ht="20.100000000000001" customHeight="1" x14ac:dyDescent="0.25">
      <c r="A68" s="155">
        <v>54</v>
      </c>
      <c r="B68" s="99">
        <f t="shared" si="3"/>
        <v>59</v>
      </c>
      <c r="C68" s="11" t="s">
        <v>71</v>
      </c>
      <c r="D68" s="100" t="s">
        <v>124</v>
      </c>
      <c r="E68" s="101"/>
      <c r="F68" s="17" t="s">
        <v>117</v>
      </c>
      <c r="G68" s="72" t="s">
        <v>187</v>
      </c>
      <c r="H68" s="77">
        <v>27</v>
      </c>
      <c r="I68" s="75">
        <v>17</v>
      </c>
      <c r="J68" s="75">
        <v>26</v>
      </c>
      <c r="K68" s="75">
        <v>26</v>
      </c>
      <c r="L68" s="75">
        <v>26</v>
      </c>
      <c r="M68" s="97">
        <v>18750.75</v>
      </c>
      <c r="N68" s="97">
        <v>18750.75</v>
      </c>
      <c r="O68" s="93">
        <f t="shared" si="1"/>
        <v>0</v>
      </c>
      <c r="P68" s="123">
        <v>10</v>
      </c>
      <c r="Q68" s="124">
        <v>10</v>
      </c>
      <c r="R68" s="124">
        <v>10</v>
      </c>
      <c r="S68" s="97">
        <v>6249.15</v>
      </c>
      <c r="T68" s="97">
        <v>6249.15</v>
      </c>
      <c r="U68" s="97">
        <f t="shared" si="2"/>
        <v>0</v>
      </c>
    </row>
    <row r="69" spans="1:21" ht="20.100000000000001" customHeight="1" x14ac:dyDescent="0.25">
      <c r="A69" s="155">
        <v>55</v>
      </c>
      <c r="B69" s="99">
        <f t="shared" si="3"/>
        <v>60</v>
      </c>
      <c r="C69" s="11" t="s">
        <v>72</v>
      </c>
      <c r="D69" s="100" t="s">
        <v>125</v>
      </c>
      <c r="E69" s="106" t="s">
        <v>126</v>
      </c>
      <c r="F69" s="17" t="s">
        <v>106</v>
      </c>
      <c r="G69" s="72" t="s">
        <v>188</v>
      </c>
      <c r="H69" s="77">
        <v>7</v>
      </c>
      <c r="I69" s="75">
        <v>3</v>
      </c>
      <c r="J69" s="75">
        <v>3</v>
      </c>
      <c r="K69" s="75">
        <v>3</v>
      </c>
      <c r="L69" s="75">
        <v>2</v>
      </c>
      <c r="M69" s="97">
        <v>1722.5</v>
      </c>
      <c r="N69" s="97">
        <v>1722.5</v>
      </c>
      <c r="O69" s="93">
        <f t="shared" si="1"/>
        <v>0</v>
      </c>
      <c r="P69" s="123"/>
      <c r="Q69" s="124"/>
      <c r="R69" s="124"/>
      <c r="S69" s="97"/>
      <c r="T69" s="97"/>
      <c r="U69" s="97">
        <f t="shared" si="2"/>
        <v>0</v>
      </c>
    </row>
    <row r="70" spans="1:21" ht="20.100000000000001" customHeight="1" x14ac:dyDescent="0.25">
      <c r="A70" s="155">
        <v>56</v>
      </c>
      <c r="B70" s="99">
        <f t="shared" si="3"/>
        <v>61</v>
      </c>
      <c r="C70" s="10" t="s">
        <v>73</v>
      </c>
      <c r="D70" s="100" t="s">
        <v>124</v>
      </c>
      <c r="E70" s="101"/>
      <c r="F70" s="17" t="s">
        <v>106</v>
      </c>
      <c r="G70" s="72" t="s">
        <v>189</v>
      </c>
      <c r="H70" s="77">
        <v>7</v>
      </c>
      <c r="I70" s="75">
        <v>4</v>
      </c>
      <c r="J70" s="75">
        <v>4</v>
      </c>
      <c r="K70" s="75">
        <v>4</v>
      </c>
      <c r="L70" s="75"/>
      <c r="M70" s="97"/>
      <c r="N70" s="97"/>
      <c r="O70" s="93">
        <f t="shared" si="1"/>
        <v>0</v>
      </c>
      <c r="P70" s="123">
        <v>4</v>
      </c>
      <c r="Q70" s="124">
        <v>4</v>
      </c>
      <c r="R70" s="124">
        <v>1</v>
      </c>
      <c r="S70" s="97">
        <v>551.20000000000005</v>
      </c>
      <c r="T70" s="97">
        <v>551.20000000000005</v>
      </c>
      <c r="U70" s="97">
        <f t="shared" si="2"/>
        <v>0</v>
      </c>
    </row>
    <row r="71" spans="1:21" ht="20.100000000000001" customHeight="1" x14ac:dyDescent="0.25">
      <c r="A71" s="155">
        <v>57</v>
      </c>
      <c r="B71" s="99">
        <f t="shared" si="3"/>
        <v>62</v>
      </c>
      <c r="C71" s="11" t="s">
        <v>74</v>
      </c>
      <c r="D71" s="100" t="s">
        <v>124</v>
      </c>
      <c r="E71" s="101"/>
      <c r="F71" s="17" t="s">
        <v>111</v>
      </c>
      <c r="G71" s="72" t="s">
        <v>190</v>
      </c>
      <c r="H71" s="77">
        <v>16</v>
      </c>
      <c r="I71" s="75">
        <v>4</v>
      </c>
      <c r="J71" s="75">
        <v>4</v>
      </c>
      <c r="K71" s="75">
        <v>3</v>
      </c>
      <c r="L71" s="75">
        <v>2</v>
      </c>
      <c r="M71" s="97">
        <v>2228.5</v>
      </c>
      <c r="N71" s="97">
        <v>2228.5</v>
      </c>
      <c r="O71" s="93">
        <f t="shared" si="1"/>
        <v>0</v>
      </c>
      <c r="P71" s="123">
        <v>22</v>
      </c>
      <c r="Q71" s="124">
        <v>22</v>
      </c>
      <c r="R71" s="124">
        <v>17</v>
      </c>
      <c r="S71" s="97">
        <f>27744.56+14819.18</f>
        <v>42563.740000000005</v>
      </c>
      <c r="T71" s="97">
        <f>27744.56+14819.18</f>
        <v>42563.740000000005</v>
      </c>
      <c r="U71" s="97">
        <f t="shared" si="2"/>
        <v>0</v>
      </c>
    </row>
    <row r="72" spans="1:21" ht="20.100000000000001" customHeight="1" x14ac:dyDescent="0.25">
      <c r="A72" s="155">
        <v>58</v>
      </c>
      <c r="B72" s="99">
        <f t="shared" si="3"/>
        <v>63</v>
      </c>
      <c r="C72" s="11" t="s">
        <v>75</v>
      </c>
      <c r="D72" s="100" t="s">
        <v>124</v>
      </c>
      <c r="E72" s="101"/>
      <c r="F72" s="17" t="s">
        <v>118</v>
      </c>
      <c r="G72" s="72" t="s">
        <v>191</v>
      </c>
      <c r="H72" s="77">
        <v>7</v>
      </c>
      <c r="I72" s="75">
        <v>3</v>
      </c>
      <c r="J72" s="75">
        <v>4</v>
      </c>
      <c r="K72" s="75">
        <v>4</v>
      </c>
      <c r="L72" s="75">
        <v>2</v>
      </c>
      <c r="M72" s="97">
        <v>1163.72</v>
      </c>
      <c r="N72" s="97">
        <v>1163.72</v>
      </c>
      <c r="O72" s="93">
        <f t="shared" si="1"/>
        <v>0</v>
      </c>
      <c r="P72" s="123">
        <v>7</v>
      </c>
      <c r="Q72" s="12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</row>
    <row r="73" spans="1:21" ht="20.100000000000001" customHeight="1" x14ac:dyDescent="0.25">
      <c r="A73" s="155">
        <v>59</v>
      </c>
      <c r="B73" s="99">
        <f t="shared" si="3"/>
        <v>64</v>
      </c>
      <c r="C73" s="10" t="s">
        <v>76</v>
      </c>
      <c r="D73" s="100" t="s">
        <v>124</v>
      </c>
      <c r="E73" s="101"/>
      <c r="F73" s="10" t="s">
        <v>105</v>
      </c>
      <c r="G73" s="72" t="s">
        <v>192</v>
      </c>
      <c r="H73" s="77">
        <v>10</v>
      </c>
      <c r="I73" s="75">
        <v>6</v>
      </c>
      <c r="J73" s="75">
        <v>6</v>
      </c>
      <c r="K73" s="75">
        <v>4</v>
      </c>
      <c r="L73" s="75">
        <v>4</v>
      </c>
      <c r="M73" s="97">
        <v>2095.52</v>
      </c>
      <c r="N73" s="97">
        <v>2095.52</v>
      </c>
      <c r="O73" s="93">
        <f t="shared" si="1"/>
        <v>0</v>
      </c>
      <c r="P73" s="123">
        <v>5</v>
      </c>
      <c r="Q73" s="124">
        <v>3</v>
      </c>
      <c r="R73" s="124">
        <v>3</v>
      </c>
      <c r="S73" s="97">
        <v>1821.06</v>
      </c>
      <c r="T73" s="97">
        <v>1821.06</v>
      </c>
      <c r="U73" s="97">
        <f t="shared" si="2"/>
        <v>0</v>
      </c>
    </row>
    <row r="74" spans="1:21" ht="20.100000000000001" customHeight="1" x14ac:dyDescent="0.25">
      <c r="B74" s="99">
        <f t="shared" si="3"/>
        <v>65</v>
      </c>
      <c r="C74" s="11" t="s">
        <v>77</v>
      </c>
      <c r="D74" s="100" t="s">
        <v>124</v>
      </c>
      <c r="E74" s="101"/>
      <c r="F74" s="10" t="s">
        <v>111</v>
      </c>
      <c r="G74" s="72" t="s">
        <v>225</v>
      </c>
      <c r="H74" s="77"/>
      <c r="I74" s="75"/>
      <c r="J74" s="75"/>
      <c r="K74" s="75"/>
      <c r="L74" s="75"/>
      <c r="M74" s="97"/>
      <c r="N74" s="97"/>
      <c r="O74" s="93">
        <f t="shared" si="1"/>
        <v>0</v>
      </c>
      <c r="P74" s="123">
        <v>1</v>
      </c>
      <c r="Q74" s="12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</row>
    <row r="75" spans="1:21" ht="20.100000000000001" customHeight="1" x14ac:dyDescent="0.25">
      <c r="A75" s="155">
        <v>60</v>
      </c>
      <c r="B75" s="99">
        <f t="shared" si="3"/>
        <v>66</v>
      </c>
      <c r="C75" s="10" t="s">
        <v>78</v>
      </c>
      <c r="D75" s="100" t="s">
        <v>124</v>
      </c>
      <c r="E75" s="101"/>
      <c r="F75" s="23" t="s">
        <v>119</v>
      </c>
      <c r="G75" s="72" t="s">
        <v>193</v>
      </c>
      <c r="H75" s="77">
        <v>7</v>
      </c>
      <c r="I75" s="75">
        <v>1</v>
      </c>
      <c r="J75" s="75">
        <v>1</v>
      </c>
      <c r="K75" s="75">
        <v>1</v>
      </c>
      <c r="L75" s="75"/>
      <c r="M75" s="97"/>
      <c r="N75" s="97"/>
      <c r="O75" s="93">
        <f t="shared" ref="O75:O104" si="4" xml:space="preserve"> (M75-N75)</f>
        <v>0</v>
      </c>
      <c r="P75" s="123">
        <v>3</v>
      </c>
      <c r="Q75" s="124">
        <v>3</v>
      </c>
      <c r="R75" s="124">
        <v>2</v>
      </c>
      <c r="S75" s="97">
        <v>617.03</v>
      </c>
      <c r="T75" s="97">
        <v>617.03</v>
      </c>
      <c r="U75" s="97">
        <f t="shared" ref="U75:U104" si="5" xml:space="preserve"> (S75-T75)</f>
        <v>0</v>
      </c>
    </row>
    <row r="76" spans="1:21" ht="20.100000000000001" customHeight="1" x14ac:dyDescent="0.25">
      <c r="A76" s="155">
        <v>61</v>
      </c>
      <c r="B76" s="99">
        <f t="shared" si="3"/>
        <v>67</v>
      </c>
      <c r="C76" s="11" t="s">
        <v>79</v>
      </c>
      <c r="D76" s="100" t="s">
        <v>124</v>
      </c>
      <c r="E76" s="101"/>
      <c r="F76" s="17" t="s">
        <v>106</v>
      </c>
      <c r="G76" s="72" t="s">
        <v>194</v>
      </c>
      <c r="H76" s="77">
        <v>19</v>
      </c>
      <c r="I76" s="75">
        <v>10</v>
      </c>
      <c r="J76" s="75">
        <v>14</v>
      </c>
      <c r="K76" s="75">
        <v>14</v>
      </c>
      <c r="L76" s="75">
        <v>8</v>
      </c>
      <c r="M76" s="97">
        <f>1065.4+3931.58</f>
        <v>4996.9799999999996</v>
      </c>
      <c r="N76" s="97">
        <f>1065.4+3931.58</f>
        <v>4996.9799999999996</v>
      </c>
      <c r="O76" s="93">
        <f t="shared" si="4"/>
        <v>0</v>
      </c>
      <c r="P76" s="123">
        <v>5</v>
      </c>
      <c r="Q76" s="124">
        <v>5</v>
      </c>
      <c r="R76" s="124">
        <v>4</v>
      </c>
      <c r="S76" s="97">
        <f>2337.1+1182.32</f>
        <v>3519.42</v>
      </c>
      <c r="T76" s="97">
        <f>2337.1+1182.32</f>
        <v>3519.42</v>
      </c>
      <c r="U76" s="97">
        <f t="shared" si="5"/>
        <v>0</v>
      </c>
    </row>
    <row r="77" spans="1:21" ht="20.100000000000001" customHeight="1" x14ac:dyDescent="0.25">
      <c r="A77" s="155">
        <v>62</v>
      </c>
      <c r="B77" s="99">
        <f t="shared" ref="B77:B101" si="6">B76+1</f>
        <v>68</v>
      </c>
      <c r="C77" s="11" t="s">
        <v>80</v>
      </c>
      <c r="D77" s="100" t="s">
        <v>124</v>
      </c>
      <c r="E77" s="101"/>
      <c r="F77" s="17" t="s">
        <v>106</v>
      </c>
      <c r="G77" s="72" t="s">
        <v>195</v>
      </c>
      <c r="H77" s="77">
        <v>11</v>
      </c>
      <c r="I77" s="75">
        <v>5</v>
      </c>
      <c r="J77" s="75">
        <v>5</v>
      </c>
      <c r="K77" s="75">
        <v>5</v>
      </c>
      <c r="L77" s="75">
        <v>2</v>
      </c>
      <c r="M77" s="97">
        <f>3034.57</f>
        <v>3034.57</v>
      </c>
      <c r="N77" s="97">
        <f>3034.57</f>
        <v>3034.57</v>
      </c>
      <c r="O77" s="93">
        <f t="shared" si="4"/>
        <v>0</v>
      </c>
      <c r="P77" s="123"/>
      <c r="Q77" s="124"/>
      <c r="R77" s="124"/>
      <c r="S77" s="97"/>
      <c r="T77" s="97"/>
      <c r="U77" s="97">
        <f t="shared" si="5"/>
        <v>0</v>
      </c>
    </row>
    <row r="78" spans="1:21" ht="20.100000000000001" customHeight="1" x14ac:dyDescent="0.25">
      <c r="B78" s="99">
        <f t="shared" si="6"/>
        <v>69</v>
      </c>
      <c r="C78" s="14" t="s">
        <v>81</v>
      </c>
      <c r="D78" s="100" t="s">
        <v>124</v>
      </c>
      <c r="E78" s="101"/>
      <c r="F78" s="10" t="s">
        <v>106</v>
      </c>
      <c r="G78" s="72" t="s">
        <v>226</v>
      </c>
      <c r="H78" s="77"/>
      <c r="I78" s="75"/>
      <c r="J78" s="75"/>
      <c r="K78" s="75"/>
      <c r="L78" s="75"/>
      <c r="M78" s="97"/>
      <c r="N78" s="97"/>
      <c r="O78" s="93">
        <f t="shared" si="4"/>
        <v>0</v>
      </c>
      <c r="P78" s="123">
        <v>8</v>
      </c>
      <c r="Q78" s="12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</row>
    <row r="79" spans="1:21" ht="20.100000000000001" customHeight="1" x14ac:dyDescent="0.25">
      <c r="A79" s="155">
        <v>63</v>
      </c>
      <c r="B79" s="99">
        <f t="shared" si="6"/>
        <v>70</v>
      </c>
      <c r="C79" s="14" t="s">
        <v>82</v>
      </c>
      <c r="D79" s="100" t="s">
        <v>124</v>
      </c>
      <c r="E79" s="101"/>
      <c r="F79" s="10" t="s">
        <v>106</v>
      </c>
      <c r="G79" s="72" t="s">
        <v>196</v>
      </c>
      <c r="H79" s="77">
        <v>14</v>
      </c>
      <c r="I79" s="75">
        <v>10</v>
      </c>
      <c r="J79" s="75">
        <v>13</v>
      </c>
      <c r="K79" s="75">
        <v>13</v>
      </c>
      <c r="L79" s="75">
        <v>8</v>
      </c>
      <c r="M79" s="97">
        <v>7843.78</v>
      </c>
      <c r="N79" s="97">
        <v>7843.78</v>
      </c>
      <c r="O79" s="93">
        <f t="shared" si="4"/>
        <v>0</v>
      </c>
      <c r="P79" s="123">
        <v>1</v>
      </c>
      <c r="Q79" s="124">
        <v>1</v>
      </c>
      <c r="R79" s="124">
        <v>1</v>
      </c>
      <c r="S79" s="97">
        <v>275.60000000000002</v>
      </c>
      <c r="T79" s="97">
        <v>275.60000000000002</v>
      </c>
      <c r="U79" s="97">
        <f t="shared" si="5"/>
        <v>0</v>
      </c>
    </row>
    <row r="80" spans="1:21" ht="20.100000000000001" customHeight="1" x14ac:dyDescent="0.25">
      <c r="A80" s="155">
        <v>64</v>
      </c>
      <c r="B80" s="99">
        <f t="shared" si="6"/>
        <v>71</v>
      </c>
      <c r="C80" s="14" t="s">
        <v>83</v>
      </c>
      <c r="D80" s="100" t="s">
        <v>124</v>
      </c>
      <c r="E80" s="101"/>
      <c r="F80" s="10" t="s">
        <v>106</v>
      </c>
      <c r="G80" s="72" t="s">
        <v>197</v>
      </c>
      <c r="H80" s="77">
        <v>15</v>
      </c>
      <c r="I80" s="75">
        <v>9</v>
      </c>
      <c r="J80" s="75">
        <v>9</v>
      </c>
      <c r="K80" s="75">
        <v>9</v>
      </c>
      <c r="L80" s="75">
        <v>6</v>
      </c>
      <c r="M80" s="97">
        <v>6798.08</v>
      </c>
      <c r="N80" s="97">
        <v>6798.08</v>
      </c>
      <c r="O80" s="93">
        <f t="shared" si="4"/>
        <v>0</v>
      </c>
      <c r="P80" s="123">
        <v>7</v>
      </c>
      <c r="Q80" s="124">
        <v>7</v>
      </c>
      <c r="R80" s="124">
        <v>7</v>
      </c>
      <c r="S80" s="97">
        <v>13554.7</v>
      </c>
      <c r="T80" s="97">
        <v>13554.7</v>
      </c>
      <c r="U80" s="97">
        <f t="shared" si="5"/>
        <v>0</v>
      </c>
    </row>
    <row r="81" spans="1:21" ht="20.100000000000001" customHeight="1" x14ac:dyDescent="0.25">
      <c r="A81" s="155">
        <v>65</v>
      </c>
      <c r="B81" s="99">
        <f t="shared" si="6"/>
        <v>72</v>
      </c>
      <c r="C81" s="11" t="s">
        <v>84</v>
      </c>
      <c r="D81" s="100" t="s">
        <v>124</v>
      </c>
      <c r="E81" s="101"/>
      <c r="F81" s="10" t="s">
        <v>120</v>
      </c>
      <c r="G81" s="72" t="s">
        <v>198</v>
      </c>
      <c r="H81" s="77">
        <v>1</v>
      </c>
      <c r="I81" s="75"/>
      <c r="J81" s="75"/>
      <c r="K81" s="75"/>
      <c r="L81" s="75"/>
      <c r="M81" s="97"/>
      <c r="N81" s="97"/>
      <c r="O81" s="93">
        <f t="shared" si="4"/>
        <v>0</v>
      </c>
      <c r="P81" s="123"/>
      <c r="Q81" s="124"/>
      <c r="R81" s="124"/>
      <c r="S81" s="97"/>
      <c r="T81" s="97"/>
      <c r="U81" s="97">
        <f t="shared" si="5"/>
        <v>0</v>
      </c>
    </row>
    <row r="82" spans="1:21" ht="20.100000000000001" customHeight="1" x14ac:dyDescent="0.25">
      <c r="A82" s="155">
        <v>66</v>
      </c>
      <c r="B82" s="99">
        <f t="shared" si="6"/>
        <v>73</v>
      </c>
      <c r="C82" s="13" t="s">
        <v>85</v>
      </c>
      <c r="D82" s="100" t="s">
        <v>124</v>
      </c>
      <c r="E82" s="101"/>
      <c r="F82" s="19" t="s">
        <v>106</v>
      </c>
      <c r="G82" s="72" t="s">
        <v>199</v>
      </c>
      <c r="H82" s="77">
        <v>16</v>
      </c>
      <c r="I82" s="75">
        <v>8</v>
      </c>
      <c r="J82" s="75">
        <v>8</v>
      </c>
      <c r="K82" s="75">
        <v>8</v>
      </c>
      <c r="L82" s="75">
        <v>4</v>
      </c>
      <c r="M82" s="97">
        <v>2282.25</v>
      </c>
      <c r="N82" s="97">
        <v>2282.25</v>
      </c>
      <c r="O82" s="93">
        <f t="shared" si="4"/>
        <v>0</v>
      </c>
      <c r="P82" s="123">
        <v>7</v>
      </c>
      <c r="Q82" s="124">
        <v>7</v>
      </c>
      <c r="R82" s="124">
        <v>6</v>
      </c>
      <c r="S82" s="97">
        <f>15935.59+881.06</f>
        <v>16816.650000000001</v>
      </c>
      <c r="T82" s="97">
        <f>15935.59+881.06</f>
        <v>16816.650000000001</v>
      </c>
      <c r="U82" s="97">
        <f t="shared" si="5"/>
        <v>0</v>
      </c>
    </row>
    <row r="83" spans="1:21" ht="20.100000000000001" customHeight="1" x14ac:dyDescent="0.25">
      <c r="A83" s="155">
        <v>67</v>
      </c>
      <c r="B83" s="99">
        <f t="shared" si="6"/>
        <v>74</v>
      </c>
      <c r="C83" s="10" t="s">
        <v>86</v>
      </c>
      <c r="D83" s="100" t="s">
        <v>124</v>
      </c>
      <c r="E83" s="101"/>
      <c r="F83" s="22" t="s">
        <v>118</v>
      </c>
      <c r="G83" s="72" t="s">
        <v>200</v>
      </c>
      <c r="H83" s="77">
        <v>14</v>
      </c>
      <c r="I83" s="75">
        <v>11</v>
      </c>
      <c r="J83" s="75">
        <v>11</v>
      </c>
      <c r="K83" s="75">
        <v>9</v>
      </c>
      <c r="L83" s="75">
        <v>7</v>
      </c>
      <c r="M83" s="97">
        <f>2803.04+5035.5</f>
        <v>7838.54</v>
      </c>
      <c r="N83" s="97">
        <f>2803.04+5035.5</f>
        <v>7838.54</v>
      </c>
      <c r="O83" s="93">
        <f t="shared" si="4"/>
        <v>0</v>
      </c>
      <c r="P83" s="123">
        <v>9</v>
      </c>
      <c r="Q83" s="124">
        <v>6</v>
      </c>
      <c r="R83" s="124">
        <v>6</v>
      </c>
      <c r="S83" s="97">
        <f>6465.89+3406.65</f>
        <v>9872.5400000000009</v>
      </c>
      <c r="T83" s="97">
        <f>6465.89+3406.65</f>
        <v>9872.5400000000009</v>
      </c>
      <c r="U83" s="97">
        <f t="shared" si="5"/>
        <v>0</v>
      </c>
    </row>
    <row r="84" spans="1:21" ht="20.100000000000001" customHeight="1" x14ac:dyDescent="0.25">
      <c r="A84" s="155">
        <v>68</v>
      </c>
      <c r="B84" s="99">
        <f t="shared" si="6"/>
        <v>75</v>
      </c>
      <c r="C84" s="10" t="s">
        <v>87</v>
      </c>
      <c r="D84" s="100" t="s">
        <v>124</v>
      </c>
      <c r="E84" s="101"/>
      <c r="F84" s="22" t="s">
        <v>115</v>
      </c>
      <c r="G84" s="72" t="s">
        <v>201</v>
      </c>
      <c r="H84" s="77">
        <v>12</v>
      </c>
      <c r="I84" s="75">
        <v>5</v>
      </c>
      <c r="J84" s="75">
        <v>8</v>
      </c>
      <c r="K84" s="75">
        <v>8</v>
      </c>
      <c r="L84" s="75">
        <v>4</v>
      </c>
      <c r="M84" s="97">
        <v>4678.72</v>
      </c>
      <c r="N84" s="97">
        <v>4678.72</v>
      </c>
      <c r="O84" s="93">
        <f t="shared" si="4"/>
        <v>0</v>
      </c>
      <c r="P84" s="123">
        <v>1</v>
      </c>
      <c r="Q84" s="12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</row>
    <row r="85" spans="1:21" ht="20.100000000000001" customHeight="1" x14ac:dyDescent="0.25">
      <c r="A85" s="155">
        <v>70</v>
      </c>
      <c r="B85" s="99">
        <f t="shared" si="6"/>
        <v>76</v>
      </c>
      <c r="C85" s="11" t="s">
        <v>88</v>
      </c>
      <c r="D85" s="100" t="s">
        <v>124</v>
      </c>
      <c r="E85" s="101"/>
      <c r="F85" s="17" t="s">
        <v>121</v>
      </c>
      <c r="G85" s="72" t="s">
        <v>203</v>
      </c>
      <c r="H85" s="77">
        <v>22</v>
      </c>
      <c r="I85" s="75">
        <v>16</v>
      </c>
      <c r="J85" s="75">
        <v>28</v>
      </c>
      <c r="K85" s="75">
        <v>27</v>
      </c>
      <c r="L85" s="75">
        <v>13</v>
      </c>
      <c r="M85" s="97">
        <f>4781.94+3598.27</f>
        <v>8380.2099999999991</v>
      </c>
      <c r="N85" s="97">
        <f>4781.94+3598.27</f>
        <v>8380.2099999999991</v>
      </c>
      <c r="O85" s="93">
        <f t="shared" si="4"/>
        <v>0</v>
      </c>
      <c r="P85" s="123">
        <v>6</v>
      </c>
      <c r="Q85" s="12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</row>
    <row r="86" spans="1:21" ht="20.100000000000001" customHeight="1" x14ac:dyDescent="0.25">
      <c r="A86" s="155">
        <v>69</v>
      </c>
      <c r="B86" s="99">
        <f t="shared" si="6"/>
        <v>77</v>
      </c>
      <c r="C86" s="14" t="s">
        <v>89</v>
      </c>
      <c r="D86" s="100" t="s">
        <v>124</v>
      </c>
      <c r="E86" s="101"/>
      <c r="F86" s="19" t="s">
        <v>106</v>
      </c>
      <c r="G86" s="72" t="s">
        <v>202</v>
      </c>
      <c r="H86" s="77">
        <v>9</v>
      </c>
      <c r="I86" s="75">
        <v>2</v>
      </c>
      <c r="J86" s="75">
        <v>2</v>
      </c>
      <c r="K86" s="75">
        <v>2</v>
      </c>
      <c r="L86" s="75"/>
      <c r="M86" s="97"/>
      <c r="N86" s="97"/>
      <c r="O86" s="93">
        <f t="shared" si="4"/>
        <v>0</v>
      </c>
      <c r="P86" s="123">
        <v>2</v>
      </c>
      <c r="Q86" s="12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</row>
    <row r="87" spans="1:21" ht="20.100000000000001" customHeight="1" x14ac:dyDescent="0.25">
      <c r="A87" s="155">
        <v>71</v>
      </c>
      <c r="B87" s="99">
        <f t="shared" si="6"/>
        <v>78</v>
      </c>
      <c r="C87" s="14" t="s">
        <v>90</v>
      </c>
      <c r="D87" s="100" t="s">
        <v>124</v>
      </c>
      <c r="E87" s="101"/>
      <c r="F87" s="19" t="s">
        <v>106</v>
      </c>
      <c r="G87" s="72" t="s">
        <v>204</v>
      </c>
      <c r="H87" s="77">
        <v>5</v>
      </c>
      <c r="I87" s="75">
        <v>4</v>
      </c>
      <c r="J87" s="75">
        <v>5</v>
      </c>
      <c r="K87" s="75">
        <v>4</v>
      </c>
      <c r="L87" s="75">
        <v>4</v>
      </c>
      <c r="M87" s="97">
        <f>795.8+4099.92</f>
        <v>4895.72</v>
      </c>
      <c r="N87" s="97">
        <f>795.8+4099.92</f>
        <v>4895.72</v>
      </c>
      <c r="O87" s="93">
        <f t="shared" si="4"/>
        <v>0</v>
      </c>
      <c r="P87" s="123">
        <v>5</v>
      </c>
      <c r="Q87" s="124">
        <v>4</v>
      </c>
      <c r="R87" s="124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</row>
    <row r="88" spans="1:21" ht="20.100000000000001" customHeight="1" x14ac:dyDescent="0.25">
      <c r="B88" s="99">
        <f t="shared" si="6"/>
        <v>79</v>
      </c>
      <c r="C88" s="10" t="s">
        <v>91</v>
      </c>
      <c r="D88" s="100" t="s">
        <v>124</v>
      </c>
      <c r="E88" s="101"/>
      <c r="F88" s="17" t="s">
        <v>111</v>
      </c>
      <c r="G88" s="72" t="s">
        <v>231</v>
      </c>
      <c r="H88" s="77">
        <v>1</v>
      </c>
      <c r="I88" s="75"/>
      <c r="J88" s="75"/>
      <c r="K88" s="75"/>
      <c r="L88" s="75"/>
      <c r="M88" s="97"/>
      <c r="N88" s="97"/>
      <c r="O88" s="93">
        <f t="shared" si="4"/>
        <v>0</v>
      </c>
      <c r="P88" s="123">
        <v>6</v>
      </c>
      <c r="Q88" s="12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</row>
    <row r="89" spans="1:21" ht="20.100000000000001" customHeight="1" x14ac:dyDescent="0.25">
      <c r="A89" s="155">
        <v>72</v>
      </c>
      <c r="B89" s="99">
        <f t="shared" si="6"/>
        <v>80</v>
      </c>
      <c r="C89" s="10" t="s">
        <v>92</v>
      </c>
      <c r="D89" s="100" t="s">
        <v>124</v>
      </c>
      <c r="E89" s="101"/>
      <c r="F89" s="19" t="s">
        <v>106</v>
      </c>
      <c r="G89" s="72" t="s">
        <v>205</v>
      </c>
      <c r="H89" s="77">
        <v>6</v>
      </c>
      <c r="I89" s="75">
        <v>3</v>
      </c>
      <c r="J89" s="75">
        <v>4</v>
      </c>
      <c r="K89" s="75">
        <v>4</v>
      </c>
      <c r="L89" s="75">
        <v>2</v>
      </c>
      <c r="M89" s="97">
        <f>725.77+1768.23</f>
        <v>2494</v>
      </c>
      <c r="N89" s="97">
        <f>725.77+1768.23</f>
        <v>2494</v>
      </c>
      <c r="O89" s="93">
        <f t="shared" si="4"/>
        <v>0</v>
      </c>
      <c r="P89" s="123">
        <v>4</v>
      </c>
      <c r="Q89" s="124">
        <v>4</v>
      </c>
      <c r="R89" s="124">
        <v>4</v>
      </c>
      <c r="S89" s="97">
        <f>8161.92+1118.75</f>
        <v>9280.67</v>
      </c>
      <c r="T89" s="97">
        <f>8161.92+1118.75</f>
        <v>9280.67</v>
      </c>
      <c r="U89" s="97">
        <f t="shared" si="5"/>
        <v>0</v>
      </c>
    </row>
    <row r="90" spans="1:21" ht="20.100000000000001" customHeight="1" x14ac:dyDescent="0.25">
      <c r="A90" s="155">
        <v>73</v>
      </c>
      <c r="B90" s="99">
        <f t="shared" si="6"/>
        <v>81</v>
      </c>
      <c r="C90" s="11" t="s">
        <v>93</v>
      </c>
      <c r="D90" s="100" t="s">
        <v>124</v>
      </c>
      <c r="E90" s="101"/>
      <c r="F90" s="17" t="s">
        <v>122</v>
      </c>
      <c r="G90" s="72" t="s">
        <v>206</v>
      </c>
      <c r="H90" s="77">
        <v>28</v>
      </c>
      <c r="I90" s="75">
        <v>20</v>
      </c>
      <c r="J90" s="75">
        <v>37</v>
      </c>
      <c r="K90" s="75">
        <v>22</v>
      </c>
      <c r="L90" s="75">
        <v>22</v>
      </c>
      <c r="M90" s="97">
        <v>14303.46</v>
      </c>
      <c r="N90" s="97">
        <v>14303.46</v>
      </c>
      <c r="O90" s="93">
        <f t="shared" si="4"/>
        <v>0</v>
      </c>
      <c r="P90" s="123">
        <v>8</v>
      </c>
      <c r="Q90" s="124">
        <v>7</v>
      </c>
      <c r="R90" s="124">
        <v>7</v>
      </c>
      <c r="S90" s="97">
        <v>3130.8</v>
      </c>
      <c r="T90" s="97">
        <v>3130.8</v>
      </c>
      <c r="U90" s="97">
        <f t="shared" si="5"/>
        <v>0</v>
      </c>
    </row>
    <row r="91" spans="1:21" ht="20.100000000000001" customHeight="1" x14ac:dyDescent="0.25">
      <c r="A91" s="155">
        <v>74</v>
      </c>
      <c r="B91" s="99">
        <f t="shared" si="6"/>
        <v>82</v>
      </c>
      <c r="C91" s="11" t="s">
        <v>94</v>
      </c>
      <c r="D91" s="100" t="s">
        <v>124</v>
      </c>
      <c r="E91" s="101"/>
      <c r="F91" s="19" t="s">
        <v>106</v>
      </c>
      <c r="G91" s="72" t="s">
        <v>218</v>
      </c>
      <c r="H91" s="77">
        <v>12</v>
      </c>
      <c r="I91" s="75">
        <v>5</v>
      </c>
      <c r="J91" s="75">
        <v>10</v>
      </c>
      <c r="K91" s="75">
        <v>10</v>
      </c>
      <c r="L91" s="75">
        <v>10</v>
      </c>
      <c r="M91" s="97">
        <v>5384.83</v>
      </c>
      <c r="N91" s="97">
        <v>5384.83</v>
      </c>
      <c r="O91" s="93">
        <f t="shared" si="4"/>
        <v>0</v>
      </c>
      <c r="P91" s="123">
        <v>6</v>
      </c>
      <c r="Q91" s="124">
        <v>6</v>
      </c>
      <c r="R91" s="124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</row>
    <row r="92" spans="1:21" ht="20.100000000000001" customHeight="1" x14ac:dyDescent="0.25">
      <c r="A92" s="155">
        <v>75</v>
      </c>
      <c r="B92" s="99">
        <f t="shared" si="6"/>
        <v>83</v>
      </c>
      <c r="C92" s="11" t="s">
        <v>95</v>
      </c>
      <c r="D92" s="100" t="s">
        <v>124</v>
      </c>
      <c r="E92" s="101"/>
      <c r="F92" s="19" t="s">
        <v>123</v>
      </c>
      <c r="G92" s="72" t="s">
        <v>217</v>
      </c>
      <c r="H92" s="77">
        <v>14</v>
      </c>
      <c r="I92" s="75">
        <v>10</v>
      </c>
      <c r="J92" s="75">
        <v>12</v>
      </c>
      <c r="K92" s="75">
        <v>11</v>
      </c>
      <c r="L92" s="75">
        <v>9</v>
      </c>
      <c r="M92" s="97">
        <f>2301.54+4352.56</f>
        <v>6654.1</v>
      </c>
      <c r="N92" s="97">
        <f>2301.54+4352.56</f>
        <v>6654.1</v>
      </c>
      <c r="O92" s="93">
        <f t="shared" si="4"/>
        <v>0</v>
      </c>
      <c r="P92" s="123">
        <v>1</v>
      </c>
      <c r="Q92" s="12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</row>
    <row r="93" spans="1:21" ht="20.100000000000001" customHeight="1" x14ac:dyDescent="0.25">
      <c r="A93" s="155">
        <v>76</v>
      </c>
      <c r="B93" s="99">
        <f t="shared" si="6"/>
        <v>84</v>
      </c>
      <c r="C93" s="11" t="s">
        <v>96</v>
      </c>
      <c r="D93" s="100" t="s">
        <v>124</v>
      </c>
      <c r="E93" s="101"/>
      <c r="F93" s="22" t="s">
        <v>112</v>
      </c>
      <c r="G93" s="72" t="s">
        <v>216</v>
      </c>
      <c r="H93" s="77">
        <v>39</v>
      </c>
      <c r="I93" s="75">
        <v>17</v>
      </c>
      <c r="J93" s="75">
        <v>21</v>
      </c>
      <c r="K93" s="75">
        <v>21</v>
      </c>
      <c r="L93" s="75">
        <v>18</v>
      </c>
      <c r="M93" s="97">
        <v>13626.75</v>
      </c>
      <c r="N93" s="97">
        <v>13626.75</v>
      </c>
      <c r="O93" s="93">
        <f t="shared" si="4"/>
        <v>0</v>
      </c>
      <c r="P93" s="123">
        <v>8</v>
      </c>
      <c r="Q93" s="124">
        <v>8</v>
      </c>
      <c r="R93" s="124">
        <v>8</v>
      </c>
      <c r="S93" s="97">
        <v>11083.64</v>
      </c>
      <c r="T93" s="97">
        <v>11083.64</v>
      </c>
      <c r="U93" s="97">
        <f t="shared" si="5"/>
        <v>0</v>
      </c>
    </row>
    <row r="94" spans="1:21" ht="20.100000000000001" customHeight="1" x14ac:dyDescent="0.25">
      <c r="A94" s="155">
        <v>77</v>
      </c>
      <c r="B94" s="99">
        <f t="shared" si="6"/>
        <v>85</v>
      </c>
      <c r="C94" s="11" t="s">
        <v>97</v>
      </c>
      <c r="D94" s="100" t="s">
        <v>124</v>
      </c>
      <c r="E94" s="101"/>
      <c r="F94" s="17" t="s">
        <v>111</v>
      </c>
      <c r="G94" s="72" t="s">
        <v>215</v>
      </c>
      <c r="H94" s="77">
        <v>20</v>
      </c>
      <c r="I94" s="75">
        <v>9</v>
      </c>
      <c r="J94" s="75">
        <v>10</v>
      </c>
      <c r="K94" s="75">
        <v>10</v>
      </c>
      <c r="L94" s="75">
        <v>4</v>
      </c>
      <c r="M94" s="97">
        <v>3291.36</v>
      </c>
      <c r="N94" s="97">
        <v>3291.36</v>
      </c>
      <c r="O94" s="93">
        <f t="shared" si="4"/>
        <v>0</v>
      </c>
      <c r="P94" s="123">
        <v>19</v>
      </c>
      <c r="Q94" s="124">
        <v>19</v>
      </c>
      <c r="R94" s="124">
        <v>19</v>
      </c>
      <c r="S94" s="97">
        <f>18253.04+4245.2</f>
        <v>22498.240000000002</v>
      </c>
      <c r="T94" s="97">
        <f>18253.04+4245.2</f>
        <v>22498.240000000002</v>
      </c>
      <c r="U94" s="97">
        <f t="shared" si="5"/>
        <v>0</v>
      </c>
    </row>
    <row r="95" spans="1:21" ht="20.100000000000001" customHeight="1" x14ac:dyDescent="0.25">
      <c r="A95" s="155">
        <v>78</v>
      </c>
      <c r="B95" s="99">
        <f t="shared" si="6"/>
        <v>86</v>
      </c>
      <c r="C95" s="10" t="s">
        <v>98</v>
      </c>
      <c r="D95" s="100" t="s">
        <v>124</v>
      </c>
      <c r="E95" s="101"/>
      <c r="F95" s="19" t="s">
        <v>106</v>
      </c>
      <c r="G95" s="72" t="s">
        <v>214</v>
      </c>
      <c r="H95" s="77">
        <v>22</v>
      </c>
      <c r="I95" s="75">
        <v>12</v>
      </c>
      <c r="J95" s="75">
        <v>13</v>
      </c>
      <c r="K95" s="75">
        <v>13</v>
      </c>
      <c r="L95" s="75">
        <v>13</v>
      </c>
      <c r="M95" s="97">
        <f>2362.32+22110.36+455.21</f>
        <v>24927.89</v>
      </c>
      <c r="N95" s="97">
        <f>2362.32+22110.36+455.21</f>
        <v>24927.89</v>
      </c>
      <c r="O95" s="93">
        <f t="shared" si="4"/>
        <v>0</v>
      </c>
      <c r="P95" s="123">
        <v>13</v>
      </c>
      <c r="Q95" s="124">
        <v>13</v>
      </c>
      <c r="R95" s="124">
        <v>12</v>
      </c>
      <c r="S95" s="97">
        <f>24552.24+1001.28+122.46</f>
        <v>25675.98</v>
      </c>
      <c r="T95" s="97">
        <f>24552.24+1001.28+122.46</f>
        <v>25675.98</v>
      </c>
      <c r="U95" s="97">
        <f t="shared" si="5"/>
        <v>0</v>
      </c>
    </row>
    <row r="96" spans="1:21" ht="20.100000000000001" customHeight="1" x14ac:dyDescent="0.25">
      <c r="A96" s="155">
        <v>80</v>
      </c>
      <c r="B96" s="99">
        <f t="shared" si="6"/>
        <v>87</v>
      </c>
      <c r="C96" s="10" t="s">
        <v>129</v>
      </c>
      <c r="D96" s="100" t="s">
        <v>124</v>
      </c>
      <c r="E96" s="101"/>
      <c r="F96" s="19" t="s">
        <v>106</v>
      </c>
      <c r="G96" s="72" t="s">
        <v>212</v>
      </c>
      <c r="H96" s="77">
        <v>9</v>
      </c>
      <c r="I96" s="75">
        <v>1</v>
      </c>
      <c r="J96" s="75">
        <v>2</v>
      </c>
      <c r="K96" s="75">
        <v>2</v>
      </c>
      <c r="L96" s="75"/>
      <c r="M96" s="97"/>
      <c r="N96" s="97"/>
      <c r="O96" s="93">
        <f t="shared" si="4"/>
        <v>0</v>
      </c>
      <c r="P96" s="123"/>
      <c r="Q96" s="124"/>
      <c r="R96" s="124"/>
      <c r="S96" s="97"/>
      <c r="T96" s="97"/>
      <c r="U96" s="97">
        <f t="shared" si="5"/>
        <v>0</v>
      </c>
    </row>
    <row r="97" spans="1:33" ht="20.100000000000001" customHeight="1" x14ac:dyDescent="0.25">
      <c r="A97" s="155">
        <v>79</v>
      </c>
      <c r="B97" s="99">
        <f t="shared" si="6"/>
        <v>88</v>
      </c>
      <c r="C97" s="10" t="s">
        <v>99</v>
      </c>
      <c r="D97" s="100" t="s">
        <v>124</v>
      </c>
      <c r="E97" s="101"/>
      <c r="F97" s="19" t="s">
        <v>106</v>
      </c>
      <c r="G97" s="72" t="s">
        <v>213</v>
      </c>
      <c r="H97" s="77">
        <v>8</v>
      </c>
      <c r="I97" s="75">
        <v>5</v>
      </c>
      <c r="J97" s="75">
        <v>6</v>
      </c>
      <c r="K97" s="75">
        <v>6</v>
      </c>
      <c r="L97" s="75">
        <v>4</v>
      </c>
      <c r="M97" s="97">
        <f>1545.67+969.43</f>
        <v>2515.1</v>
      </c>
      <c r="N97" s="97">
        <f>1545.67+969.43</f>
        <v>2515.1</v>
      </c>
      <c r="O97" s="93">
        <f t="shared" si="4"/>
        <v>0</v>
      </c>
      <c r="P97" s="123">
        <v>4</v>
      </c>
      <c r="Q97" s="12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</row>
    <row r="98" spans="1:33" ht="20.100000000000001" customHeight="1" x14ac:dyDescent="0.25">
      <c r="A98" s="155">
        <v>81</v>
      </c>
      <c r="B98" s="99">
        <f t="shared" si="6"/>
        <v>89</v>
      </c>
      <c r="C98" s="13" t="s">
        <v>100</v>
      </c>
      <c r="D98" s="100" t="s">
        <v>124</v>
      </c>
      <c r="E98" s="101"/>
      <c r="F98" s="19" t="s">
        <v>106</v>
      </c>
      <c r="G98" s="72" t="s">
        <v>211</v>
      </c>
      <c r="H98" s="77">
        <v>11</v>
      </c>
      <c r="I98" s="75">
        <v>4</v>
      </c>
      <c r="J98" s="75">
        <v>4</v>
      </c>
      <c r="K98" s="75">
        <v>4</v>
      </c>
      <c r="L98" s="75">
        <v>2</v>
      </c>
      <c r="M98" s="97">
        <v>482.3</v>
      </c>
      <c r="N98" s="97">
        <v>482.3</v>
      </c>
      <c r="O98" s="93">
        <f t="shared" si="4"/>
        <v>0</v>
      </c>
      <c r="P98" s="123">
        <v>7</v>
      </c>
      <c r="Q98" s="124">
        <v>7</v>
      </c>
      <c r="R98" s="124">
        <v>6</v>
      </c>
      <c r="S98" s="97">
        <f>6457+964.6</f>
        <v>7421.6</v>
      </c>
      <c r="T98" s="97">
        <f>6457+964.6</f>
        <v>7421.6</v>
      </c>
      <c r="U98" s="97">
        <f t="shared" si="5"/>
        <v>0</v>
      </c>
    </row>
    <row r="99" spans="1:33" ht="20.100000000000001" customHeight="1" x14ac:dyDescent="0.25">
      <c r="A99" s="155">
        <v>82</v>
      </c>
      <c r="B99" s="99">
        <f t="shared" si="6"/>
        <v>90</v>
      </c>
      <c r="C99" s="13" t="s">
        <v>101</v>
      </c>
      <c r="D99" s="100" t="s">
        <v>124</v>
      </c>
      <c r="E99" s="101"/>
      <c r="F99" s="17" t="s">
        <v>106</v>
      </c>
      <c r="G99" s="72" t="s">
        <v>210</v>
      </c>
      <c r="H99" s="77">
        <v>17</v>
      </c>
      <c r="I99" s="75">
        <v>6</v>
      </c>
      <c r="J99" s="75">
        <v>7</v>
      </c>
      <c r="K99" s="75">
        <v>7</v>
      </c>
      <c r="L99" s="75">
        <v>1</v>
      </c>
      <c r="M99" s="97">
        <v>545.69000000000005</v>
      </c>
      <c r="N99" s="97">
        <v>545.69000000000005</v>
      </c>
      <c r="O99" s="93">
        <f t="shared" si="4"/>
        <v>0</v>
      </c>
      <c r="P99" s="123">
        <v>10</v>
      </c>
      <c r="Q99" s="124">
        <v>8</v>
      </c>
      <c r="R99" s="124">
        <v>6</v>
      </c>
      <c r="S99" s="97">
        <v>5077.71</v>
      </c>
      <c r="T99" s="97">
        <v>5077.71</v>
      </c>
      <c r="U99" s="97">
        <f t="shared" si="5"/>
        <v>0</v>
      </c>
    </row>
    <row r="100" spans="1:33" ht="20.100000000000001" customHeight="1" x14ac:dyDescent="0.25">
      <c r="A100" s="155">
        <v>83</v>
      </c>
      <c r="B100" s="99">
        <f t="shared" si="6"/>
        <v>91</v>
      </c>
      <c r="C100" s="13" t="s">
        <v>102</v>
      </c>
      <c r="D100" s="100" t="s">
        <v>124</v>
      </c>
      <c r="E100" s="101"/>
      <c r="F100" s="17" t="s">
        <v>106</v>
      </c>
      <c r="G100" s="72" t="s">
        <v>209</v>
      </c>
      <c r="H100" s="77">
        <v>15</v>
      </c>
      <c r="I100" s="75">
        <v>8</v>
      </c>
      <c r="J100" s="75">
        <v>10</v>
      </c>
      <c r="K100" s="75">
        <v>10</v>
      </c>
      <c r="L100" s="75">
        <v>6</v>
      </c>
      <c r="M100" s="97">
        <f>4459.37+1998.1</f>
        <v>6457.4699999999993</v>
      </c>
      <c r="N100" s="97">
        <f>4459.37+1998.1</f>
        <v>6457.4699999999993</v>
      </c>
      <c r="O100" s="93">
        <f t="shared" si="4"/>
        <v>0</v>
      </c>
      <c r="P100" s="123">
        <v>9</v>
      </c>
      <c r="Q100" s="124">
        <v>9</v>
      </c>
      <c r="R100" s="124">
        <v>7</v>
      </c>
      <c r="S100" s="97">
        <v>4232.91</v>
      </c>
      <c r="T100" s="97">
        <v>4232.91</v>
      </c>
      <c r="U100" s="97">
        <f t="shared" si="5"/>
        <v>0</v>
      </c>
    </row>
    <row r="101" spans="1:33" ht="20.100000000000001" customHeight="1" x14ac:dyDescent="0.25">
      <c r="A101" s="155">
        <v>84</v>
      </c>
      <c r="B101" s="99">
        <f t="shared" si="6"/>
        <v>92</v>
      </c>
      <c r="C101" s="11" t="s">
        <v>103</v>
      </c>
      <c r="D101" s="100" t="s">
        <v>124</v>
      </c>
      <c r="E101" s="101"/>
      <c r="F101" s="22" t="s">
        <v>112</v>
      </c>
      <c r="G101" s="72" t="s">
        <v>208</v>
      </c>
      <c r="H101" s="77">
        <v>40</v>
      </c>
      <c r="I101" s="75">
        <v>19</v>
      </c>
      <c r="J101" s="75">
        <v>20</v>
      </c>
      <c r="K101" s="75">
        <v>20</v>
      </c>
      <c r="L101" s="75">
        <v>13</v>
      </c>
      <c r="M101" s="97">
        <v>16276.16</v>
      </c>
      <c r="N101" s="97">
        <v>16276.16</v>
      </c>
      <c r="O101" s="93">
        <f t="shared" si="4"/>
        <v>0</v>
      </c>
      <c r="P101" s="123">
        <v>23</v>
      </c>
      <c r="Q101" s="124">
        <v>23</v>
      </c>
      <c r="R101" s="124">
        <v>22</v>
      </c>
      <c r="S101" s="97">
        <f>21329.45-2252.12</f>
        <v>19077.330000000002</v>
      </c>
      <c r="T101" s="97">
        <f>21329.45-2252.12</f>
        <v>19077.330000000002</v>
      </c>
      <c r="U101" s="97">
        <f t="shared" si="5"/>
        <v>0</v>
      </c>
    </row>
    <row r="102" spans="1:33" ht="20.100000000000001" customHeight="1" x14ac:dyDescent="0.25">
      <c r="A102" s="155">
        <v>85</v>
      </c>
      <c r="B102" s="115">
        <f>B101+1</f>
        <v>93</v>
      </c>
      <c r="C102" s="116" t="s">
        <v>104</v>
      </c>
      <c r="D102" s="111" t="s">
        <v>124</v>
      </c>
      <c r="E102" s="112"/>
      <c r="F102" s="117" t="s">
        <v>106</v>
      </c>
      <c r="G102" s="118" t="s">
        <v>207</v>
      </c>
      <c r="H102" s="113">
        <v>6</v>
      </c>
      <c r="I102" s="114">
        <v>4</v>
      </c>
      <c r="J102" s="114">
        <v>5</v>
      </c>
      <c r="K102" s="114">
        <v>5</v>
      </c>
      <c r="L102" s="114">
        <v>2</v>
      </c>
      <c r="M102" s="147">
        <v>649.38</v>
      </c>
      <c r="N102" s="147">
        <v>649.38</v>
      </c>
      <c r="O102" s="93">
        <f t="shared" si="4"/>
        <v>0</v>
      </c>
      <c r="P102" s="149">
        <v>3</v>
      </c>
      <c r="Q102" s="150">
        <v>3</v>
      </c>
      <c r="R102" s="150">
        <v>3</v>
      </c>
      <c r="S102" s="147">
        <v>1193.3</v>
      </c>
      <c r="T102" s="147">
        <v>1193.3</v>
      </c>
      <c r="U102" s="148">
        <f t="shared" si="5"/>
        <v>0</v>
      </c>
      <c r="V102" s="145"/>
    </row>
    <row r="103" spans="1:33" ht="20.100000000000001" customHeight="1" x14ac:dyDescent="0.25">
      <c r="A103" s="155">
        <v>88</v>
      </c>
      <c r="B103" s="106">
        <v>94</v>
      </c>
      <c r="C103" s="10" t="s">
        <v>258</v>
      </c>
      <c r="D103" s="111" t="s">
        <v>124</v>
      </c>
      <c r="E103" s="101"/>
      <c r="F103" s="12" t="s">
        <v>106</v>
      </c>
      <c r="G103" s="118" t="s">
        <v>261</v>
      </c>
      <c r="H103" s="75">
        <v>4</v>
      </c>
      <c r="I103" s="75"/>
      <c r="J103" s="75"/>
      <c r="K103" s="75"/>
      <c r="L103" s="75"/>
      <c r="M103" s="97"/>
      <c r="N103" s="97"/>
      <c r="O103" s="93">
        <f t="shared" si="4"/>
        <v>0</v>
      </c>
      <c r="P103" s="124"/>
      <c r="Q103" s="124"/>
      <c r="R103" s="124"/>
      <c r="S103" s="97"/>
      <c r="T103" s="97"/>
      <c r="U103" s="148">
        <f t="shared" si="5"/>
        <v>0</v>
      </c>
      <c r="V103" s="145"/>
    </row>
    <row r="104" spans="1:33" ht="20.100000000000001" customHeight="1" x14ac:dyDescent="0.25">
      <c r="B104" s="106">
        <v>95</v>
      </c>
      <c r="C104" s="10" t="s">
        <v>242</v>
      </c>
      <c r="D104" s="111" t="s">
        <v>124</v>
      </c>
      <c r="E104" s="101"/>
      <c r="F104" s="12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75">
        <v>2</v>
      </c>
      <c r="L104" s="75">
        <v>2</v>
      </c>
      <c r="M104" s="97">
        <v>2252.12</v>
      </c>
      <c r="N104" s="97">
        <v>2252.12</v>
      </c>
      <c r="O104" s="93">
        <f t="shared" si="4"/>
        <v>0</v>
      </c>
      <c r="P104" s="124"/>
      <c r="Q104" s="124"/>
      <c r="R104" s="124"/>
      <c r="S104" s="97"/>
      <c r="T104" s="97"/>
      <c r="U104" s="148">
        <f t="shared" si="5"/>
        <v>0</v>
      </c>
      <c r="V104" s="145"/>
      <c r="AF104" s="145"/>
    </row>
    <row r="105" spans="1:33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Q105" si="7">SUM(H10:H104)</f>
        <v>1259</v>
      </c>
      <c r="I105" s="119">
        <f t="shared" si="7"/>
        <v>650</v>
      </c>
      <c r="J105" s="119">
        <f t="shared" si="7"/>
        <v>848</v>
      </c>
      <c r="K105" s="119">
        <f t="shared" si="7"/>
        <v>797</v>
      </c>
      <c r="L105" s="119">
        <f t="shared" si="7"/>
        <v>531</v>
      </c>
      <c r="M105" s="151">
        <f t="shared" si="7"/>
        <v>425017.81999999977</v>
      </c>
      <c r="N105" s="151">
        <f t="shared" si="7"/>
        <v>425017.81999999977</v>
      </c>
      <c r="O105" s="151">
        <f t="shared" si="7"/>
        <v>0</v>
      </c>
      <c r="P105" s="152">
        <f t="shared" si="7"/>
        <v>632</v>
      </c>
      <c r="Q105" s="152">
        <f t="shared" si="7"/>
        <v>609</v>
      </c>
      <c r="R105" s="152">
        <f>SUM(R11:R104)</f>
        <v>539</v>
      </c>
      <c r="S105" s="151">
        <f>SUM(S10:S104)</f>
        <v>686670.02000000014</v>
      </c>
      <c r="T105" s="146">
        <f>SUM(T10:T104)</f>
        <v>686670.02000000014</v>
      </c>
      <c r="U105" s="120">
        <f>SUM(U10:U104)</f>
        <v>0</v>
      </c>
      <c r="V105" s="159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59"/>
      <c r="AG105" s="159"/>
    </row>
    <row r="106" spans="1:33" x14ac:dyDescent="0.25"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</row>
    <row r="107" spans="1:33" x14ac:dyDescent="0.25">
      <c r="V107" s="145"/>
      <c r="W107" s="145"/>
      <c r="AF107" s="159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416" priority="4" stopIfTrue="1" operator="equal">
      <formula>0</formula>
    </cfRule>
  </conditionalFormatting>
  <conditionalFormatting sqref="AL45">
    <cfRule type="cellIs" dxfId="415" priority="3" stopIfTrue="1" operator="equal">
      <formula>0</formula>
    </cfRule>
  </conditionalFormatting>
  <conditionalFormatting sqref="T45">
    <cfRule type="cellIs" dxfId="414" priority="2" stopIfTrue="1" operator="equal">
      <formula>0</formula>
    </cfRule>
  </conditionalFormatting>
  <conditionalFormatting sqref="T45">
    <cfRule type="cellIs" dxfId="413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7"/>
  <sheetViews>
    <sheetView topLeftCell="B1" zoomScale="80" zoomScaleNormal="80" workbookViewId="0">
      <selection activeCell="O8" sqref="O8"/>
    </sheetView>
  </sheetViews>
  <sheetFormatPr defaultRowHeight="15.75" x14ac:dyDescent="0.25"/>
  <cols>
    <col min="1" max="1" width="9.140625" style="155" hidden="1" customWidth="1"/>
    <col min="2" max="2" width="9.140625" style="55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12.42578125" style="109" customWidth="1"/>
    <col min="15" max="15" width="12.28515625" style="109" customWidth="1"/>
    <col min="16" max="18" width="9.140625" style="109" customWidth="1"/>
    <col min="19" max="19" width="16.85546875" style="109" customWidth="1"/>
    <col min="20" max="20" width="10.7109375" style="109" customWidth="1"/>
    <col min="21" max="21" width="10.7109375" style="133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9.140625" style="134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278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277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25</v>
      </c>
      <c r="I10" s="75">
        <v>14</v>
      </c>
      <c r="J10" s="75">
        <v>16</v>
      </c>
      <c r="K10" s="75">
        <v>11</v>
      </c>
      <c r="L10" s="75">
        <v>11</v>
      </c>
      <c r="M10" s="97">
        <v>8818.6299999999992</v>
      </c>
      <c r="N10" s="97">
        <v>8818.6299999999992</v>
      </c>
      <c r="O10" s="93">
        <f xml:space="preserve"> (M10-N10)</f>
        <v>0</v>
      </c>
      <c r="P10" s="123">
        <v>6</v>
      </c>
      <c r="Q10" s="124">
        <v>6</v>
      </c>
      <c r="R10" s="124">
        <v>6</v>
      </c>
      <c r="S10" s="97">
        <v>4246.75</v>
      </c>
      <c r="T10" s="97">
        <v>4246.75</v>
      </c>
      <c r="U10" s="97">
        <f xml:space="preserve"> (S10-T10)</f>
        <v>0</v>
      </c>
      <c r="V10" s="135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5</v>
      </c>
      <c r="I11" s="75">
        <v>5</v>
      </c>
      <c r="J11" s="75">
        <v>5</v>
      </c>
      <c r="K11" s="75">
        <v>5</v>
      </c>
      <c r="L11" s="75">
        <v>5</v>
      </c>
      <c r="M11" s="97">
        <v>1778.86</v>
      </c>
      <c r="N11" s="97">
        <v>275.60000000000002</v>
      </c>
      <c r="O11" s="93">
        <f t="shared" ref="O11:O74" si="1" xml:space="preserve"> (M11-N11)</f>
        <v>1503.2599999999998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35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3</v>
      </c>
      <c r="S12" s="97">
        <v>8035.44</v>
      </c>
      <c r="T12" s="97">
        <v>8035.44</v>
      </c>
      <c r="U12" s="97">
        <f t="shared" si="2"/>
        <v>0</v>
      </c>
      <c r="V12" s="14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15</v>
      </c>
      <c r="I13" s="75">
        <v>8</v>
      </c>
      <c r="J13" s="75">
        <v>11</v>
      </c>
      <c r="K13" s="75">
        <v>11</v>
      </c>
      <c r="L13" s="75">
        <v>5</v>
      </c>
      <c r="M13" s="97">
        <f>272.84+2699.54</f>
        <v>2972.38</v>
      </c>
      <c r="N13" s="97">
        <f>272.84+2699.54</f>
        <v>2972.38</v>
      </c>
      <c r="O13" s="93">
        <f t="shared" si="1"/>
        <v>0</v>
      </c>
      <c r="P13" s="123">
        <v>5</v>
      </c>
      <c r="Q13" s="124">
        <v>5</v>
      </c>
      <c r="R13" s="124">
        <v>4</v>
      </c>
      <c r="S13" s="97">
        <f>7385.53+1228.66</f>
        <v>8614.19</v>
      </c>
      <c r="T13" s="97">
        <f>7385.53+1228.66</f>
        <v>8614.19</v>
      </c>
      <c r="U13" s="97">
        <f t="shared" si="2"/>
        <v>0</v>
      </c>
      <c r="V13" s="14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19</v>
      </c>
      <c r="I14" s="75">
        <v>10</v>
      </c>
      <c r="J14" s="75">
        <v>11</v>
      </c>
      <c r="K14" s="75">
        <v>10</v>
      </c>
      <c r="L14" s="75">
        <v>10</v>
      </c>
      <c r="M14" s="97">
        <v>4932.74</v>
      </c>
      <c r="N14" s="97">
        <f>2277.13+1033.5</f>
        <v>3310.63</v>
      </c>
      <c r="O14" s="93">
        <f t="shared" si="1"/>
        <v>1622.1099999999997</v>
      </c>
      <c r="P14" s="123">
        <v>6</v>
      </c>
      <c r="Q14" s="124">
        <v>6</v>
      </c>
      <c r="R14" s="124">
        <v>5</v>
      </c>
      <c r="S14" s="97">
        <v>2847.1</v>
      </c>
      <c r="T14" s="97">
        <f>1800.7+633</f>
        <v>2433.6999999999998</v>
      </c>
      <c r="U14" s="97">
        <f t="shared" si="2"/>
        <v>413.40000000000009</v>
      </c>
      <c r="V14" s="135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20</v>
      </c>
      <c r="I15" s="75">
        <v>15</v>
      </c>
      <c r="J15" s="75">
        <v>21</v>
      </c>
      <c r="K15" s="75">
        <v>21</v>
      </c>
      <c r="L15" s="75">
        <v>17</v>
      </c>
      <c r="M15" s="97">
        <v>16942.87</v>
      </c>
      <c r="N15" s="97">
        <v>15468.06</v>
      </c>
      <c r="O15" s="93">
        <f t="shared" si="1"/>
        <v>1474.8099999999995</v>
      </c>
      <c r="P15" s="123">
        <v>13</v>
      </c>
      <c r="Q15" s="124">
        <v>13</v>
      </c>
      <c r="R15" s="124">
        <v>13</v>
      </c>
      <c r="S15" s="97">
        <v>13813.9</v>
      </c>
      <c r="T15" s="97">
        <v>13259.94</v>
      </c>
      <c r="U15" s="97">
        <f t="shared" si="2"/>
        <v>553.95999999999913</v>
      </c>
      <c r="V15" s="135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97"/>
      <c r="U16" s="97">
        <f t="shared" si="2"/>
        <v>0</v>
      </c>
      <c r="V16" s="135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12</v>
      </c>
      <c r="I17" s="75">
        <v>8</v>
      </c>
      <c r="J17" s="75">
        <v>11</v>
      </c>
      <c r="K17" s="75">
        <v>9</v>
      </c>
      <c r="L17" s="75">
        <v>9</v>
      </c>
      <c r="M17" s="97">
        <v>7235.14</v>
      </c>
      <c r="N17" s="97">
        <v>6821.74</v>
      </c>
      <c r="O17" s="93">
        <f t="shared" si="1"/>
        <v>413.40000000000055</v>
      </c>
      <c r="P17" s="123">
        <v>1</v>
      </c>
      <c r="Q17" s="124">
        <v>1</v>
      </c>
      <c r="R17" s="124">
        <v>1</v>
      </c>
      <c r="S17" s="97">
        <v>1033.5</v>
      </c>
      <c r="T17" s="97">
        <v>1033.5</v>
      </c>
      <c r="U17" s="97">
        <f t="shared" si="2"/>
        <v>0</v>
      </c>
      <c r="V17" s="135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9</v>
      </c>
      <c r="I18" s="75"/>
      <c r="J18" s="75"/>
      <c r="K18" s="75"/>
      <c r="L18" s="75"/>
      <c r="M18" s="97">
        <v>2118.92</v>
      </c>
      <c r="N18" s="97">
        <v>2118.92</v>
      </c>
      <c r="O18" s="93">
        <f t="shared" si="1"/>
        <v>0</v>
      </c>
      <c r="P18" s="123">
        <v>5</v>
      </c>
      <c r="Q18" s="124">
        <v>5</v>
      </c>
      <c r="R18" s="124">
        <v>5</v>
      </c>
      <c r="S18" s="97">
        <v>14748.55</v>
      </c>
      <c r="T18" s="97">
        <v>14748.55</v>
      </c>
      <c r="U18" s="97">
        <f t="shared" si="2"/>
        <v>0</v>
      </c>
      <c r="V18" s="135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18</v>
      </c>
      <c r="I19" s="75">
        <v>12</v>
      </c>
      <c r="J19" s="75">
        <v>18</v>
      </c>
      <c r="K19" s="75">
        <v>15</v>
      </c>
      <c r="L19" s="75">
        <v>11</v>
      </c>
      <c r="M19" s="97">
        <v>5345.36</v>
      </c>
      <c r="N19" s="97">
        <v>5345.36</v>
      </c>
      <c r="O19" s="93">
        <f t="shared" si="1"/>
        <v>0</v>
      </c>
      <c r="P19" s="123">
        <v>14</v>
      </c>
      <c r="Q19" s="124">
        <v>13</v>
      </c>
      <c r="R19" s="124">
        <v>12</v>
      </c>
      <c r="S19" s="97">
        <f>12589.36+4299.58+3922.41</f>
        <v>20811.350000000002</v>
      </c>
      <c r="T19" s="97">
        <f>12589.36+4299.58+3922.41</f>
        <v>20811.350000000002</v>
      </c>
      <c r="U19" s="97">
        <f t="shared" si="2"/>
        <v>0</v>
      </c>
      <c r="V19" s="143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22</v>
      </c>
      <c r="I20" s="75">
        <v>7</v>
      </c>
      <c r="J20" s="75">
        <v>11</v>
      </c>
      <c r="K20" s="75">
        <v>11</v>
      </c>
      <c r="L20" s="75">
        <v>9</v>
      </c>
      <c r="M20" s="97">
        <v>5728.14</v>
      </c>
      <c r="N20" s="97">
        <v>1581.26</v>
      </c>
      <c r="O20" s="93">
        <f t="shared" si="1"/>
        <v>4146.88</v>
      </c>
      <c r="P20" s="123">
        <v>23</v>
      </c>
      <c r="Q20" s="124">
        <v>23</v>
      </c>
      <c r="R20" s="124">
        <v>23</v>
      </c>
      <c r="S20" s="97">
        <v>36404.57</v>
      </c>
      <c r="T20" s="97">
        <f>14391.07+12609.01</f>
        <v>27000.080000000002</v>
      </c>
      <c r="U20" s="97">
        <f t="shared" si="2"/>
        <v>9404.489999999998</v>
      </c>
      <c r="V20" s="14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13</v>
      </c>
      <c r="I21" s="75">
        <v>5</v>
      </c>
      <c r="J21" s="75">
        <v>6</v>
      </c>
      <c r="K21" s="75">
        <v>6</v>
      </c>
      <c r="L21" s="75">
        <v>4</v>
      </c>
      <c r="M21" s="97">
        <v>3586.84</v>
      </c>
      <c r="N21" s="97">
        <f>427.18+831.61</f>
        <v>1258.79</v>
      </c>
      <c r="O21" s="93">
        <f t="shared" si="1"/>
        <v>2328.0500000000002</v>
      </c>
      <c r="P21" s="123">
        <v>5</v>
      </c>
      <c r="Q21" s="124">
        <v>5</v>
      </c>
      <c r="R21" s="124">
        <v>5</v>
      </c>
      <c r="S21" s="97">
        <v>7288.02</v>
      </c>
      <c r="T21" s="97">
        <f>5005.45+1729.9</f>
        <v>6735.35</v>
      </c>
      <c r="U21" s="97">
        <f t="shared" si="2"/>
        <v>552.67000000000007</v>
      </c>
      <c r="V21" s="135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49</v>
      </c>
      <c r="I22" s="75">
        <v>22</v>
      </c>
      <c r="J22" s="75">
        <v>31</v>
      </c>
      <c r="K22" s="75">
        <v>31</v>
      </c>
      <c r="L22" s="75">
        <v>25</v>
      </c>
      <c r="M22" s="97">
        <v>19787.02</v>
      </c>
      <c r="N22" s="97">
        <v>18961.91</v>
      </c>
      <c r="O22" s="93">
        <f t="shared" si="1"/>
        <v>825.11000000000058</v>
      </c>
      <c r="P22" s="123">
        <v>20</v>
      </c>
      <c r="Q22" s="124">
        <v>19</v>
      </c>
      <c r="R22" s="124">
        <v>19</v>
      </c>
      <c r="S22" s="97">
        <v>24103.23</v>
      </c>
      <c r="T22" s="97">
        <v>24103.23</v>
      </c>
      <c r="U22" s="97">
        <f t="shared" si="2"/>
        <v>0</v>
      </c>
      <c r="V22" s="135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10</v>
      </c>
      <c r="I23" s="75">
        <v>5</v>
      </c>
      <c r="J23" s="75">
        <v>7</v>
      </c>
      <c r="K23" s="75">
        <v>7</v>
      </c>
      <c r="L23" s="75">
        <v>5</v>
      </c>
      <c r="M23" s="97">
        <v>5739.04</v>
      </c>
      <c r="N23" s="97">
        <v>4920.5</v>
      </c>
      <c r="O23" s="93">
        <f t="shared" si="1"/>
        <v>818.54</v>
      </c>
      <c r="P23" s="123">
        <v>11</v>
      </c>
      <c r="Q23" s="124">
        <v>11</v>
      </c>
      <c r="R23" s="124">
        <v>11</v>
      </c>
      <c r="S23" s="97">
        <v>26607.02</v>
      </c>
      <c r="T23" s="97">
        <v>25884.66</v>
      </c>
      <c r="U23" s="97">
        <f t="shared" si="2"/>
        <v>722.36000000000058</v>
      </c>
      <c r="V23" s="143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13</v>
      </c>
      <c r="I24" s="75">
        <v>8</v>
      </c>
      <c r="J24" s="75">
        <v>10</v>
      </c>
      <c r="K24" s="75">
        <v>10</v>
      </c>
      <c r="L24" s="75">
        <v>10</v>
      </c>
      <c r="M24" s="97">
        <v>1515.11</v>
      </c>
      <c r="N24" s="97">
        <v>1515.11</v>
      </c>
      <c r="O24" s="93">
        <f t="shared" si="1"/>
        <v>0</v>
      </c>
      <c r="P24" s="123">
        <v>8</v>
      </c>
      <c r="Q24" s="124">
        <v>7</v>
      </c>
      <c r="R24" s="124">
        <v>7</v>
      </c>
      <c r="S24" s="97">
        <v>6720.87</v>
      </c>
      <c r="T24" s="97">
        <v>4998.37</v>
      </c>
      <c r="U24" s="97">
        <f t="shared" si="2"/>
        <v>1722.5</v>
      </c>
      <c r="V24" s="135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18</v>
      </c>
      <c r="I25" s="75">
        <v>9</v>
      </c>
      <c r="J25" s="75">
        <v>14</v>
      </c>
      <c r="K25" s="75">
        <v>12</v>
      </c>
      <c r="L25" s="75">
        <v>12</v>
      </c>
      <c r="M25" s="97">
        <v>9005.69</v>
      </c>
      <c r="N25" s="97">
        <f>2255.39+2419.13</f>
        <v>4674.5200000000004</v>
      </c>
      <c r="O25" s="93">
        <f t="shared" si="1"/>
        <v>4331.17</v>
      </c>
      <c r="P25" s="123">
        <v>21</v>
      </c>
      <c r="Q25" s="124">
        <v>20</v>
      </c>
      <c r="R25" s="124">
        <v>20</v>
      </c>
      <c r="S25" s="97">
        <v>24213.05</v>
      </c>
      <c r="T25" s="97">
        <f>17792.25+4619.68</f>
        <v>22411.93</v>
      </c>
      <c r="U25" s="97">
        <f t="shared" si="2"/>
        <v>1801.119999999999</v>
      </c>
      <c r="V25" s="142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18</v>
      </c>
      <c r="I26" s="75">
        <v>8</v>
      </c>
      <c r="J26" s="75">
        <v>13</v>
      </c>
      <c r="K26" s="75">
        <v>13</v>
      </c>
      <c r="L26" s="75">
        <v>4</v>
      </c>
      <c r="M26" s="97">
        <v>3777.1</v>
      </c>
      <c r="N26" s="97"/>
      <c r="O26" s="93">
        <f t="shared" si="1"/>
        <v>3777.1</v>
      </c>
      <c r="P26" s="123">
        <v>10</v>
      </c>
      <c r="Q26" s="124">
        <v>10</v>
      </c>
      <c r="R26" s="124">
        <v>10</v>
      </c>
      <c r="S26" s="97">
        <v>3386.7</v>
      </c>
      <c r="T26" s="97"/>
      <c r="U26" s="97">
        <f t="shared" si="2"/>
        <v>3386.7</v>
      </c>
      <c r="V26" s="135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20</v>
      </c>
      <c r="I27" s="75">
        <v>7</v>
      </c>
      <c r="J27" s="75">
        <v>14</v>
      </c>
      <c r="K27" s="75">
        <v>14</v>
      </c>
      <c r="L27" s="75">
        <v>14</v>
      </c>
      <c r="M27" s="97">
        <v>6801.73</v>
      </c>
      <c r="N27" s="97">
        <f>2738.38+1698.1</f>
        <v>4436.4799999999996</v>
      </c>
      <c r="O27" s="93">
        <f t="shared" si="1"/>
        <v>2365.25</v>
      </c>
      <c r="P27" s="123">
        <v>14</v>
      </c>
      <c r="Q27" s="124">
        <v>14</v>
      </c>
      <c r="R27" s="124">
        <v>13</v>
      </c>
      <c r="S27" s="97">
        <v>12827.9</v>
      </c>
      <c r="T27" s="97">
        <f>11399.36+591.16</f>
        <v>11990.52</v>
      </c>
      <c r="U27" s="97">
        <f t="shared" si="2"/>
        <v>837.3799999999992</v>
      </c>
      <c r="V27" s="135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97"/>
      <c r="U28" s="97">
        <f t="shared" si="2"/>
        <v>0</v>
      </c>
      <c r="V28" s="135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15</v>
      </c>
      <c r="I29" s="75">
        <v>12</v>
      </c>
      <c r="J29" s="75">
        <v>17</v>
      </c>
      <c r="K29" s="75">
        <v>17</v>
      </c>
      <c r="L29" s="75">
        <v>15</v>
      </c>
      <c r="M29" s="97">
        <v>7765.28</v>
      </c>
      <c r="N29" s="97">
        <f>2023.14+2605.8+1307.38</f>
        <v>5936.3200000000006</v>
      </c>
      <c r="O29" s="93">
        <f t="shared" si="1"/>
        <v>1828.9599999999991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43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21</v>
      </c>
      <c r="I30" s="75">
        <v>15</v>
      </c>
      <c r="J30" s="75">
        <v>16</v>
      </c>
      <c r="K30" s="75">
        <v>16</v>
      </c>
      <c r="L30" s="75">
        <v>9</v>
      </c>
      <c r="M30" s="97">
        <v>5246.17</v>
      </c>
      <c r="N30" s="97">
        <f>2487.52+2349.38</f>
        <v>4836.8999999999996</v>
      </c>
      <c r="O30" s="93">
        <f t="shared" si="1"/>
        <v>409.27000000000044</v>
      </c>
      <c r="P30" s="123">
        <v>21</v>
      </c>
      <c r="Q30" s="124">
        <v>21</v>
      </c>
      <c r="R30" s="124">
        <v>16</v>
      </c>
      <c r="S30" s="97">
        <v>39414.6</v>
      </c>
      <c r="T30" s="97">
        <f>7176.8+21702.37</f>
        <v>28879.17</v>
      </c>
      <c r="U30" s="97">
        <f t="shared" si="2"/>
        <v>10535.43</v>
      </c>
      <c r="V30" s="14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1" t="s">
        <v>38</v>
      </c>
      <c r="D31" s="100" t="s">
        <v>124</v>
      </c>
      <c r="E31" s="101"/>
      <c r="F31" s="17" t="s">
        <v>106</v>
      </c>
      <c r="G31" s="72" t="s">
        <v>157</v>
      </c>
      <c r="H31" s="77">
        <v>4</v>
      </c>
      <c r="I31" s="75">
        <v>1</v>
      </c>
      <c r="J31" s="75">
        <v>2</v>
      </c>
      <c r="K31" s="75">
        <v>2</v>
      </c>
      <c r="L31" s="75">
        <v>2</v>
      </c>
      <c r="M31" s="97">
        <v>859.25</v>
      </c>
      <c r="N31" s="97">
        <v>859.25</v>
      </c>
      <c r="O31" s="93">
        <f t="shared" si="1"/>
        <v>0</v>
      </c>
      <c r="P31" s="123">
        <v>2</v>
      </c>
      <c r="Q31" s="12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4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0" t="s">
        <v>39</v>
      </c>
      <c r="D32" s="100" t="s">
        <v>124</v>
      </c>
      <c r="E32" s="101"/>
      <c r="F32" s="10" t="s">
        <v>105</v>
      </c>
      <c r="G32" s="72" t="s">
        <v>220</v>
      </c>
      <c r="H32" s="77"/>
      <c r="I32" s="75"/>
      <c r="J32" s="75"/>
      <c r="K32" s="75"/>
      <c r="L32" s="75"/>
      <c r="M32" s="97"/>
      <c r="N32" s="97"/>
      <c r="O32" s="93">
        <f t="shared" si="1"/>
        <v>0</v>
      </c>
      <c r="P32" s="123"/>
      <c r="Q32" s="124"/>
      <c r="R32" s="124"/>
      <c r="S32" s="97"/>
      <c r="T32" s="97"/>
      <c r="U32" s="97">
        <f t="shared" si="2"/>
        <v>0</v>
      </c>
      <c r="V32" s="135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0" t="s">
        <v>137</v>
      </c>
      <c r="D33" s="100" t="s">
        <v>124</v>
      </c>
      <c r="E33" s="101"/>
      <c r="F33" s="17" t="s">
        <v>106</v>
      </c>
      <c r="G33" s="72" t="s">
        <v>158</v>
      </c>
      <c r="H33" s="77">
        <v>10</v>
      </c>
      <c r="I33" s="75">
        <v>6</v>
      </c>
      <c r="J33" s="75">
        <v>7</v>
      </c>
      <c r="K33" s="75">
        <v>7</v>
      </c>
      <c r="L33" s="75">
        <v>4</v>
      </c>
      <c r="M33" s="97">
        <v>4065.1</v>
      </c>
      <c r="N33" s="97">
        <f>1929.2</f>
        <v>1929.2</v>
      </c>
      <c r="O33" s="93">
        <f t="shared" si="1"/>
        <v>2135.8999999999996</v>
      </c>
      <c r="P33" s="123"/>
      <c r="Q33" s="124"/>
      <c r="R33" s="124"/>
      <c r="S33" s="97"/>
      <c r="T33" s="97"/>
      <c r="U33" s="97">
        <f t="shared" si="2"/>
        <v>0</v>
      </c>
      <c r="V33" s="135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2" t="s">
        <v>40</v>
      </c>
      <c r="D34" s="100" t="s">
        <v>124</v>
      </c>
      <c r="E34" s="101"/>
      <c r="F34" s="19" t="s">
        <v>115</v>
      </c>
      <c r="G34" s="72" t="s">
        <v>159</v>
      </c>
      <c r="H34" s="77">
        <v>13</v>
      </c>
      <c r="I34" s="75">
        <v>9</v>
      </c>
      <c r="J34" s="75">
        <v>14</v>
      </c>
      <c r="K34" s="75">
        <v>14</v>
      </c>
      <c r="L34" s="75">
        <v>14</v>
      </c>
      <c r="M34" s="97">
        <v>8742.16</v>
      </c>
      <c r="N34" s="97">
        <f>1580.26+3633.22+2321.45</f>
        <v>7534.9299999999994</v>
      </c>
      <c r="O34" s="93">
        <f t="shared" si="1"/>
        <v>1207.2300000000005</v>
      </c>
      <c r="P34" s="123">
        <v>2</v>
      </c>
      <c r="Q34" s="12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43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1" t="s">
        <v>41</v>
      </c>
      <c r="D35" s="100" t="s">
        <v>124</v>
      </c>
      <c r="E35" s="101"/>
      <c r="F35" s="17" t="s">
        <v>106</v>
      </c>
      <c r="G35" s="72" t="s">
        <v>160</v>
      </c>
      <c r="H35" s="77">
        <v>11</v>
      </c>
      <c r="I35" s="75">
        <v>6</v>
      </c>
      <c r="J35" s="75">
        <v>9</v>
      </c>
      <c r="K35" s="75">
        <v>9</v>
      </c>
      <c r="L35" s="75">
        <v>9</v>
      </c>
      <c r="M35" s="97">
        <v>8755.24</v>
      </c>
      <c r="N35" s="97">
        <f>738.32+1081.83</f>
        <v>1820.15</v>
      </c>
      <c r="O35" s="93">
        <f t="shared" si="1"/>
        <v>6935.09</v>
      </c>
      <c r="P35" s="123">
        <v>8</v>
      </c>
      <c r="Q35" s="124">
        <v>8</v>
      </c>
      <c r="R35" s="124">
        <v>8</v>
      </c>
      <c r="S35" s="97">
        <v>9249.99</v>
      </c>
      <c r="T35" s="97">
        <f>7876.12+900.18</f>
        <v>8776.2999999999993</v>
      </c>
      <c r="U35" s="97">
        <f t="shared" si="2"/>
        <v>473.69000000000051</v>
      </c>
      <c r="V35" s="141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3" t="s">
        <v>42</v>
      </c>
      <c r="D36" s="100" t="s">
        <v>124</v>
      </c>
      <c r="E36" s="101"/>
      <c r="F36" s="17" t="s">
        <v>106</v>
      </c>
      <c r="G36" s="72" t="s">
        <v>221</v>
      </c>
      <c r="H36" s="77">
        <v>9</v>
      </c>
      <c r="I36" s="75">
        <v>3</v>
      </c>
      <c r="J36" s="75">
        <v>3</v>
      </c>
      <c r="K36" s="75">
        <v>3</v>
      </c>
      <c r="L36" s="75">
        <v>2</v>
      </c>
      <c r="M36" s="97">
        <v>2360</v>
      </c>
      <c r="N36" s="97"/>
      <c r="O36" s="93">
        <f t="shared" si="1"/>
        <v>2360</v>
      </c>
      <c r="P36" s="123">
        <v>4</v>
      </c>
      <c r="Q36" s="124">
        <v>4</v>
      </c>
      <c r="R36" s="124">
        <v>4</v>
      </c>
      <c r="S36" s="97">
        <f>1436.08+3433.93</f>
        <v>4870.01</v>
      </c>
      <c r="T36" s="97">
        <f>1436.08+3433.93</f>
        <v>4870.01</v>
      </c>
      <c r="U36" s="97">
        <f t="shared" si="2"/>
        <v>0</v>
      </c>
      <c r="V36" s="142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3" t="s">
        <v>43</v>
      </c>
      <c r="D37" s="100" t="s">
        <v>124</v>
      </c>
      <c r="E37" s="101"/>
      <c r="F37" s="17" t="s">
        <v>106</v>
      </c>
      <c r="G37" s="72" t="s">
        <v>161</v>
      </c>
      <c r="H37" s="77">
        <v>8</v>
      </c>
      <c r="I37" s="75">
        <v>6</v>
      </c>
      <c r="J37" s="75">
        <v>7</v>
      </c>
      <c r="K37" s="75">
        <v>7</v>
      </c>
      <c r="L37" s="75">
        <v>6</v>
      </c>
      <c r="M37" s="97">
        <v>4126.5600000000004</v>
      </c>
      <c r="N37" s="97">
        <f>568.43+3282.53</f>
        <v>3850.96</v>
      </c>
      <c r="O37" s="93">
        <f t="shared" si="1"/>
        <v>275.60000000000036</v>
      </c>
      <c r="P37" s="123">
        <v>2</v>
      </c>
      <c r="Q37" s="124">
        <v>1</v>
      </c>
      <c r="R37" s="124">
        <v>1</v>
      </c>
      <c r="S37" s="97">
        <v>552.96</v>
      </c>
      <c r="T37" s="97">
        <v>552.96</v>
      </c>
      <c r="U37" s="97">
        <f t="shared" si="2"/>
        <v>0</v>
      </c>
      <c r="V37" s="142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1" t="s">
        <v>44</v>
      </c>
      <c r="D38" s="100" t="s">
        <v>124</v>
      </c>
      <c r="E38" s="101"/>
      <c r="F38" s="17" t="s">
        <v>105</v>
      </c>
      <c r="G38" s="72" t="s">
        <v>162</v>
      </c>
      <c r="H38" s="77">
        <v>40</v>
      </c>
      <c r="I38" s="75">
        <v>17</v>
      </c>
      <c r="J38" s="75">
        <v>23</v>
      </c>
      <c r="K38" s="75">
        <v>23</v>
      </c>
      <c r="L38" s="75">
        <v>21</v>
      </c>
      <c r="M38" s="97">
        <v>18043.849999999999</v>
      </c>
      <c r="N38" s="97">
        <v>18043.849999999999</v>
      </c>
      <c r="O38" s="93">
        <f t="shared" si="1"/>
        <v>0</v>
      </c>
      <c r="P38" s="123">
        <v>18</v>
      </c>
      <c r="Q38" s="124">
        <v>18</v>
      </c>
      <c r="R38" s="124">
        <v>18</v>
      </c>
      <c r="S38" s="97">
        <v>22326.77</v>
      </c>
      <c r="T38" s="97">
        <v>22326.77</v>
      </c>
      <c r="U38" s="97">
        <f t="shared" si="2"/>
        <v>0</v>
      </c>
      <c r="V38" s="14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1" t="s">
        <v>45</v>
      </c>
      <c r="D39" s="100" t="s">
        <v>124</v>
      </c>
      <c r="E39" s="101"/>
      <c r="F39" s="17" t="s">
        <v>111</v>
      </c>
      <c r="G39" s="72" t="s">
        <v>163</v>
      </c>
      <c r="H39" s="77">
        <v>16</v>
      </c>
      <c r="I39" s="75">
        <v>8</v>
      </c>
      <c r="J39" s="75">
        <v>11</v>
      </c>
      <c r="K39" s="75">
        <v>11</v>
      </c>
      <c r="L39" s="75">
        <v>7</v>
      </c>
      <c r="M39" s="97">
        <v>4309.67</v>
      </c>
      <c r="N39" s="97">
        <v>4309.67</v>
      </c>
      <c r="O39" s="93">
        <f t="shared" si="1"/>
        <v>0</v>
      </c>
      <c r="P39" s="123">
        <v>3</v>
      </c>
      <c r="Q39" s="124">
        <v>3</v>
      </c>
      <c r="R39" s="124">
        <v>3</v>
      </c>
      <c r="S39" s="97">
        <v>84.92</v>
      </c>
      <c r="T39" s="97">
        <v>84.92</v>
      </c>
      <c r="U39" s="97">
        <f t="shared" si="2"/>
        <v>0</v>
      </c>
      <c r="V39" s="14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0" t="s">
        <v>46</v>
      </c>
      <c r="D40" s="100" t="s">
        <v>124</v>
      </c>
      <c r="E40" s="101"/>
      <c r="F40" s="17" t="s">
        <v>106</v>
      </c>
      <c r="G40" s="72" t="s">
        <v>164</v>
      </c>
      <c r="H40" s="77">
        <v>6</v>
      </c>
      <c r="I40" s="75">
        <v>5</v>
      </c>
      <c r="J40" s="75">
        <v>5</v>
      </c>
      <c r="K40" s="75">
        <v>5</v>
      </c>
      <c r="L40" s="75">
        <v>5</v>
      </c>
      <c r="M40" s="97">
        <v>5430.01</v>
      </c>
      <c r="N40" s="97">
        <f>2273.7+1002.51</f>
        <v>3276.21</v>
      </c>
      <c r="O40" s="93">
        <f t="shared" si="1"/>
        <v>2153.8000000000002</v>
      </c>
      <c r="P40" s="123">
        <v>4</v>
      </c>
      <c r="Q40" s="12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35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0" t="s">
        <v>47</v>
      </c>
      <c r="D41" s="100" t="s">
        <v>124</v>
      </c>
      <c r="E41" s="101"/>
      <c r="F41" s="17" t="s">
        <v>116</v>
      </c>
      <c r="G41" s="72" t="s">
        <v>165</v>
      </c>
      <c r="H41" s="77">
        <v>10</v>
      </c>
      <c r="I41" s="75">
        <v>7</v>
      </c>
      <c r="J41" s="75">
        <v>8</v>
      </c>
      <c r="K41" s="75">
        <v>8</v>
      </c>
      <c r="L41" s="75">
        <v>8</v>
      </c>
      <c r="M41" s="97">
        <v>4892.78</v>
      </c>
      <c r="N41" s="97">
        <f>1322.88+206.7</f>
        <v>1529.5800000000002</v>
      </c>
      <c r="O41" s="93">
        <f t="shared" si="1"/>
        <v>3363.2</v>
      </c>
      <c r="P41" s="123">
        <v>3</v>
      </c>
      <c r="Q41" s="124">
        <v>3</v>
      </c>
      <c r="R41" s="124">
        <v>3</v>
      </c>
      <c r="S41" s="97">
        <v>1842.88</v>
      </c>
      <c r="T41" s="97">
        <v>1016.08</v>
      </c>
      <c r="U41" s="97">
        <f t="shared" si="2"/>
        <v>826.80000000000007</v>
      </c>
      <c r="V41" s="135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3" t="s">
        <v>48</v>
      </c>
      <c r="D42" s="100" t="s">
        <v>124</v>
      </c>
      <c r="E42" s="101"/>
      <c r="F42" s="17" t="s">
        <v>106</v>
      </c>
      <c r="G42" s="72" t="s">
        <v>166</v>
      </c>
      <c r="H42" s="77">
        <v>9</v>
      </c>
      <c r="I42" s="75">
        <v>4</v>
      </c>
      <c r="J42" s="75">
        <v>4</v>
      </c>
      <c r="K42" s="75">
        <v>4</v>
      </c>
      <c r="L42" s="75">
        <v>4</v>
      </c>
      <c r="M42" s="97">
        <v>5095.29</v>
      </c>
      <c r="N42" s="97">
        <v>4681.8900000000003</v>
      </c>
      <c r="O42" s="93">
        <f t="shared" si="1"/>
        <v>413.39999999999964</v>
      </c>
      <c r="P42" s="123">
        <v>5</v>
      </c>
      <c r="Q42" s="124">
        <v>5</v>
      </c>
      <c r="R42" s="124">
        <v>5</v>
      </c>
      <c r="S42" s="97">
        <v>5832.14</v>
      </c>
      <c r="T42" s="97">
        <f>3907.41+583.58</f>
        <v>4490.99</v>
      </c>
      <c r="U42" s="97">
        <f t="shared" si="2"/>
        <v>1341.1500000000005</v>
      </c>
      <c r="V42" s="142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0" t="s">
        <v>49</v>
      </c>
      <c r="D43" s="100" t="s">
        <v>124</v>
      </c>
      <c r="E43" s="101"/>
      <c r="F43" s="17" t="s">
        <v>106</v>
      </c>
      <c r="G43" s="72" t="s">
        <v>167</v>
      </c>
      <c r="H43" s="77">
        <v>12</v>
      </c>
      <c r="I43" s="75">
        <v>6</v>
      </c>
      <c r="J43" s="75">
        <v>7</v>
      </c>
      <c r="K43" s="75">
        <v>7</v>
      </c>
      <c r="L43" s="75">
        <v>4</v>
      </c>
      <c r="M43" s="97">
        <v>1949.94</v>
      </c>
      <c r="N43" s="97">
        <v>1157.56</v>
      </c>
      <c r="O43" s="93">
        <f t="shared" si="1"/>
        <v>792.38000000000011</v>
      </c>
      <c r="P43" s="123">
        <v>7</v>
      </c>
      <c r="Q43" s="124">
        <v>6</v>
      </c>
      <c r="R43" s="124">
        <v>6</v>
      </c>
      <c r="S43" s="97">
        <v>7539.4</v>
      </c>
      <c r="T43" s="97">
        <v>6437</v>
      </c>
      <c r="U43" s="97">
        <f t="shared" si="2"/>
        <v>1102.3999999999996</v>
      </c>
      <c r="V43" s="135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3" t="s">
        <v>50</v>
      </c>
      <c r="D44" s="100" t="s">
        <v>124</v>
      </c>
      <c r="E44" s="101"/>
      <c r="F44" s="17" t="s">
        <v>106</v>
      </c>
      <c r="G44" s="72" t="s">
        <v>168</v>
      </c>
      <c r="H44" s="77">
        <v>6</v>
      </c>
      <c r="I44" s="75">
        <v>5</v>
      </c>
      <c r="J44" s="75">
        <v>8</v>
      </c>
      <c r="K44" s="75">
        <v>8</v>
      </c>
      <c r="L44" s="75">
        <v>8</v>
      </c>
      <c r="M44" s="97">
        <v>9600.9500000000007</v>
      </c>
      <c r="N44" s="97">
        <f>1345.04+387.91</f>
        <v>1732.95</v>
      </c>
      <c r="O44" s="93">
        <f t="shared" si="1"/>
        <v>7868.0000000000009</v>
      </c>
      <c r="P44" s="123">
        <v>5</v>
      </c>
      <c r="Q44" s="124">
        <v>5</v>
      </c>
      <c r="R44" s="124">
        <v>4</v>
      </c>
      <c r="S44" s="97">
        <f>3997.92+850.65</f>
        <v>4848.57</v>
      </c>
      <c r="T44" s="97">
        <f>3997.92+850.65</f>
        <v>4848.57</v>
      </c>
      <c r="U44" s="97">
        <f t="shared" si="2"/>
        <v>0</v>
      </c>
      <c r="V44" s="142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1" t="s">
        <v>51</v>
      </c>
      <c r="D45" s="100" t="s">
        <v>124</v>
      </c>
      <c r="E45" s="101"/>
      <c r="F45" s="22" t="s">
        <v>112</v>
      </c>
      <c r="G45" s="72"/>
      <c r="H45" s="77"/>
      <c r="I45" s="75"/>
      <c r="J45" s="75"/>
      <c r="K45" s="75"/>
      <c r="L45" s="75"/>
      <c r="M45" s="97"/>
      <c r="N45" s="97"/>
      <c r="O45" s="93">
        <f t="shared" si="1"/>
        <v>0</v>
      </c>
      <c r="P45" s="123"/>
      <c r="Q45" s="124"/>
      <c r="R45" s="124"/>
      <c r="S45" s="97"/>
      <c r="T45" s="97"/>
      <c r="U45" s="97">
        <f t="shared" si="2"/>
        <v>0</v>
      </c>
      <c r="V45" s="14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1" t="s">
        <v>131</v>
      </c>
      <c r="D46" s="100" t="s">
        <v>124</v>
      </c>
      <c r="E46" s="101"/>
      <c r="F46" s="22" t="s">
        <v>106</v>
      </c>
      <c r="G46" s="72" t="s">
        <v>171</v>
      </c>
      <c r="H46" s="77">
        <v>8</v>
      </c>
      <c r="I46" s="75"/>
      <c r="J46" s="75"/>
      <c r="K46" s="75"/>
      <c r="L46" s="75"/>
      <c r="M46" s="97"/>
      <c r="N46" s="97"/>
      <c r="O46" s="93">
        <f t="shared" si="1"/>
        <v>0</v>
      </c>
      <c r="P46" s="123">
        <v>2</v>
      </c>
      <c r="Q46" s="124">
        <v>2</v>
      </c>
      <c r="R46" s="124">
        <v>2</v>
      </c>
      <c r="S46" s="97">
        <v>12091.23</v>
      </c>
      <c r="T46" s="97">
        <v>12091.23</v>
      </c>
      <c r="U46" s="97">
        <f t="shared" si="2"/>
        <v>0</v>
      </c>
      <c r="V46" s="14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3" t="s">
        <v>52</v>
      </c>
      <c r="D47" s="100" t="s">
        <v>124</v>
      </c>
      <c r="E47" s="101"/>
      <c r="F47" s="17" t="s">
        <v>106</v>
      </c>
      <c r="G47" s="72" t="s">
        <v>169</v>
      </c>
      <c r="H47" s="77">
        <v>22</v>
      </c>
      <c r="I47" s="75">
        <v>16</v>
      </c>
      <c r="J47" s="75">
        <v>21</v>
      </c>
      <c r="K47" s="75">
        <v>19</v>
      </c>
      <c r="L47" s="75">
        <v>12</v>
      </c>
      <c r="M47" s="97">
        <v>9335.56</v>
      </c>
      <c r="N47" s="97">
        <f>2714.54+272.6</f>
        <v>2987.14</v>
      </c>
      <c r="O47" s="93">
        <f t="shared" si="1"/>
        <v>6348.42</v>
      </c>
      <c r="P47" s="123">
        <v>2</v>
      </c>
      <c r="Q47" s="124">
        <v>2</v>
      </c>
      <c r="R47" s="124">
        <v>2</v>
      </c>
      <c r="S47" s="97">
        <v>1209.1099999999999</v>
      </c>
      <c r="T47" s="97">
        <v>689</v>
      </c>
      <c r="U47" s="97">
        <f t="shared" si="2"/>
        <v>520.1099999999999</v>
      </c>
      <c r="V47" s="142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0" t="s">
        <v>53</v>
      </c>
      <c r="D48" s="100" t="s">
        <v>124</v>
      </c>
      <c r="E48" s="101"/>
      <c r="F48" s="17" t="s">
        <v>105</v>
      </c>
      <c r="G48" s="72" t="s">
        <v>170</v>
      </c>
      <c r="H48" s="77">
        <v>11</v>
      </c>
      <c r="I48" s="75">
        <v>5</v>
      </c>
      <c r="J48" s="75">
        <v>8</v>
      </c>
      <c r="K48" s="75">
        <v>8</v>
      </c>
      <c r="L48" s="75">
        <v>7</v>
      </c>
      <c r="M48" s="97">
        <v>8890.84</v>
      </c>
      <c r="N48" s="97">
        <v>8890.84</v>
      </c>
      <c r="O48" s="93">
        <f t="shared" si="1"/>
        <v>0</v>
      </c>
      <c r="P48" s="123">
        <v>3</v>
      </c>
      <c r="Q48" s="12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35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0" t="s">
        <v>54</v>
      </c>
      <c r="D49" s="100" t="s">
        <v>124</v>
      </c>
      <c r="E49" s="101"/>
      <c r="F49" s="17" t="s">
        <v>106</v>
      </c>
      <c r="G49" s="72" t="s">
        <v>172</v>
      </c>
      <c r="H49" s="77">
        <v>13</v>
      </c>
      <c r="I49" s="75">
        <v>4</v>
      </c>
      <c r="J49" s="75">
        <v>8</v>
      </c>
      <c r="K49" s="75">
        <v>4</v>
      </c>
      <c r="L49" s="75">
        <v>4</v>
      </c>
      <c r="M49" s="97">
        <v>1831.71</v>
      </c>
      <c r="N49" s="97">
        <v>397.9</v>
      </c>
      <c r="O49" s="93">
        <f t="shared" si="1"/>
        <v>1433.81</v>
      </c>
      <c r="P49" s="123">
        <v>8</v>
      </c>
      <c r="Q49" s="124">
        <v>8</v>
      </c>
      <c r="R49" s="124">
        <v>7</v>
      </c>
      <c r="S49" s="97">
        <v>8296.23</v>
      </c>
      <c r="T49" s="97">
        <f>4105.06+1454.92</f>
        <v>5559.9800000000005</v>
      </c>
      <c r="U49" s="97">
        <f t="shared" si="2"/>
        <v>2736.2499999999991</v>
      </c>
      <c r="V49" s="135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0" t="s">
        <v>55</v>
      </c>
      <c r="D50" s="100" t="s">
        <v>124</v>
      </c>
      <c r="E50" s="101"/>
      <c r="F50" s="17" t="s">
        <v>106</v>
      </c>
      <c r="G50" s="72" t="s">
        <v>173</v>
      </c>
      <c r="H50" s="77">
        <v>12</v>
      </c>
      <c r="I50" s="75">
        <v>10</v>
      </c>
      <c r="J50" s="75">
        <v>11</v>
      </c>
      <c r="K50" s="75">
        <v>11</v>
      </c>
      <c r="L50" s="75">
        <v>9</v>
      </c>
      <c r="M50" s="97">
        <v>8308.92</v>
      </c>
      <c r="N50" s="97">
        <v>6228.72</v>
      </c>
      <c r="O50" s="93">
        <f t="shared" si="1"/>
        <v>2080.1999999999998</v>
      </c>
      <c r="P50" s="123">
        <v>6</v>
      </c>
      <c r="Q50" s="124">
        <v>5</v>
      </c>
      <c r="R50" s="124">
        <v>5</v>
      </c>
      <c r="S50" s="97">
        <f>2457.28+1725.6</f>
        <v>4182.88</v>
      </c>
      <c r="T50" s="97">
        <f>2457.28+1725.6</f>
        <v>4182.88</v>
      </c>
      <c r="U50" s="97">
        <f t="shared" si="2"/>
        <v>0</v>
      </c>
      <c r="V50" s="135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0" t="s">
        <v>56</v>
      </c>
      <c r="D51" s="100" t="s">
        <v>124</v>
      </c>
      <c r="E51" s="101"/>
      <c r="F51" s="17" t="s">
        <v>106</v>
      </c>
      <c r="G51" s="72" t="s">
        <v>174</v>
      </c>
      <c r="H51" s="77">
        <v>15</v>
      </c>
      <c r="I51" s="75">
        <v>7</v>
      </c>
      <c r="J51" s="75">
        <v>8</v>
      </c>
      <c r="K51" s="75">
        <v>8</v>
      </c>
      <c r="L51" s="75">
        <v>6</v>
      </c>
      <c r="M51" s="97">
        <v>5580.75</v>
      </c>
      <c r="N51" s="97">
        <v>1308.27</v>
      </c>
      <c r="O51" s="93">
        <f t="shared" si="1"/>
        <v>4272.4799999999996</v>
      </c>
      <c r="P51" s="123">
        <v>1</v>
      </c>
      <c r="Q51" s="124">
        <v>1</v>
      </c>
      <c r="R51" s="124">
        <v>1</v>
      </c>
      <c r="S51" s="97">
        <v>728.15</v>
      </c>
      <c r="T51" s="97">
        <v>728.15</v>
      </c>
      <c r="U51" s="97">
        <f t="shared" si="2"/>
        <v>0</v>
      </c>
      <c r="V51" s="135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3" t="s">
        <v>57</v>
      </c>
      <c r="D52" s="100" t="s">
        <v>124</v>
      </c>
      <c r="E52" s="101"/>
      <c r="F52" s="17" t="s">
        <v>106</v>
      </c>
      <c r="G52" s="72" t="s">
        <v>175</v>
      </c>
      <c r="H52" s="77">
        <v>13</v>
      </c>
      <c r="I52" s="75">
        <v>7</v>
      </c>
      <c r="J52" s="75">
        <v>8</v>
      </c>
      <c r="K52" s="75">
        <v>8</v>
      </c>
      <c r="L52" s="75">
        <v>7</v>
      </c>
      <c r="M52" s="97">
        <v>3782.6</v>
      </c>
      <c r="N52" s="97">
        <f>613.9+1710.26</f>
        <v>2324.16</v>
      </c>
      <c r="O52" s="93">
        <f t="shared" si="1"/>
        <v>1458.44</v>
      </c>
      <c r="P52" s="123">
        <v>5</v>
      </c>
      <c r="Q52" s="124">
        <v>5</v>
      </c>
      <c r="R52" s="124">
        <v>4</v>
      </c>
      <c r="S52" s="97">
        <f>1535.39+1035.3</f>
        <v>2570.69</v>
      </c>
      <c r="T52" s="97">
        <f>1535.39+1035.3</f>
        <v>2570.69</v>
      </c>
      <c r="U52" s="97">
        <f t="shared" si="2"/>
        <v>0</v>
      </c>
      <c r="V52" s="142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3" t="s">
        <v>58</v>
      </c>
      <c r="D53" s="100" t="s">
        <v>124</v>
      </c>
      <c r="E53" s="101"/>
      <c r="F53" s="17" t="s">
        <v>106</v>
      </c>
      <c r="G53" s="72" t="s">
        <v>260</v>
      </c>
      <c r="H53" s="77">
        <v>6</v>
      </c>
      <c r="I53" s="75">
        <v>2</v>
      </c>
      <c r="J53" s="75">
        <v>2</v>
      </c>
      <c r="K53" s="75">
        <v>2</v>
      </c>
      <c r="L53" s="75"/>
      <c r="M53" s="97"/>
      <c r="N53" s="97"/>
      <c r="O53" s="93">
        <f t="shared" si="1"/>
        <v>0</v>
      </c>
      <c r="P53" s="123">
        <v>2</v>
      </c>
      <c r="Q53" s="12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42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3" t="s">
        <v>59</v>
      </c>
      <c r="D54" s="100" t="s">
        <v>124</v>
      </c>
      <c r="E54" s="101"/>
      <c r="F54" s="17" t="s">
        <v>112</v>
      </c>
      <c r="G54" s="72" t="s">
        <v>176</v>
      </c>
      <c r="H54" s="77">
        <v>44</v>
      </c>
      <c r="I54" s="75">
        <v>28</v>
      </c>
      <c r="J54" s="75">
        <v>35</v>
      </c>
      <c r="K54" s="75">
        <v>25</v>
      </c>
      <c r="L54" s="75">
        <v>25</v>
      </c>
      <c r="M54" s="97">
        <v>12031.27</v>
      </c>
      <c r="N54" s="97">
        <f>575.32+6377.18</f>
        <v>6952.5</v>
      </c>
      <c r="O54" s="93">
        <f t="shared" si="1"/>
        <v>5078.7700000000004</v>
      </c>
      <c r="P54" s="123">
        <v>17</v>
      </c>
      <c r="Q54" s="12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42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3" t="s">
        <v>60</v>
      </c>
      <c r="D55" s="100" t="s">
        <v>125</v>
      </c>
      <c r="E55" s="106" t="s">
        <v>126</v>
      </c>
      <c r="F55" s="17" t="s">
        <v>106</v>
      </c>
      <c r="G55" s="72" t="s">
        <v>177</v>
      </c>
      <c r="H55" s="77">
        <v>6</v>
      </c>
      <c r="I55" s="75">
        <v>2</v>
      </c>
      <c r="J55" s="75">
        <v>2</v>
      </c>
      <c r="K55" s="75">
        <v>2</v>
      </c>
      <c r="L55" s="75">
        <v>2</v>
      </c>
      <c r="M55" s="97">
        <v>5677.4</v>
      </c>
      <c r="N55" s="97">
        <v>4023.8</v>
      </c>
      <c r="O55" s="93">
        <f t="shared" si="1"/>
        <v>1653.5999999999995</v>
      </c>
      <c r="P55" s="123">
        <v>3</v>
      </c>
      <c r="Q55" s="12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42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1" t="s">
        <v>61</v>
      </c>
      <c r="D56" s="100" t="s">
        <v>124</v>
      </c>
      <c r="E56" s="101"/>
      <c r="F56" s="17" t="s">
        <v>107</v>
      </c>
      <c r="G56" s="72" t="s">
        <v>178</v>
      </c>
      <c r="H56" s="77">
        <v>34</v>
      </c>
      <c r="I56" s="75">
        <v>19</v>
      </c>
      <c r="J56" s="75">
        <v>24</v>
      </c>
      <c r="K56" s="75">
        <v>24</v>
      </c>
      <c r="L56" s="75">
        <v>18</v>
      </c>
      <c r="M56" s="97">
        <v>13145.7</v>
      </c>
      <c r="N56" s="97">
        <f>2880.54+7232.73</f>
        <v>10113.27</v>
      </c>
      <c r="O56" s="93">
        <f t="shared" si="1"/>
        <v>3032.4300000000003</v>
      </c>
      <c r="P56" s="123">
        <v>30</v>
      </c>
      <c r="Q56" s="124">
        <v>29</v>
      </c>
      <c r="R56" s="124">
        <v>29</v>
      </c>
      <c r="S56" s="97">
        <v>53733.15</v>
      </c>
      <c r="T56" s="97">
        <f>35028.07+10662.98</f>
        <v>45691.05</v>
      </c>
      <c r="U56" s="97">
        <f t="shared" si="2"/>
        <v>8042.0999999999985</v>
      </c>
      <c r="V56" s="14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1" t="s">
        <v>134</v>
      </c>
      <c r="D57" s="100" t="s">
        <v>124</v>
      </c>
      <c r="E57" s="101"/>
      <c r="F57" s="17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75">
        <v>3</v>
      </c>
      <c r="L57" s="75">
        <v>3</v>
      </c>
      <c r="M57" s="97">
        <v>1200.96</v>
      </c>
      <c r="N57" s="97">
        <v>1200.96</v>
      </c>
      <c r="O57" s="93">
        <f t="shared" si="1"/>
        <v>0</v>
      </c>
      <c r="P57" s="123"/>
      <c r="Q57" s="124"/>
      <c r="R57" s="124"/>
      <c r="S57" s="97"/>
      <c r="T57" s="97"/>
      <c r="U57" s="97">
        <f t="shared" si="2"/>
        <v>0</v>
      </c>
      <c r="V57" s="14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1" t="s">
        <v>62</v>
      </c>
      <c r="D58" s="100" t="s">
        <v>124</v>
      </c>
      <c r="E58" s="101"/>
      <c r="F58" s="17" t="s">
        <v>106</v>
      </c>
      <c r="G58" s="72" t="s">
        <v>230</v>
      </c>
      <c r="H58" s="77"/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97"/>
      <c r="U58" s="97">
        <f t="shared" si="2"/>
        <v>0</v>
      </c>
      <c r="V58" s="14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1" t="s">
        <v>63</v>
      </c>
      <c r="D59" s="100" t="s">
        <v>124</v>
      </c>
      <c r="E59" s="101"/>
      <c r="F59" s="22" t="s">
        <v>112</v>
      </c>
      <c r="G59" s="72" t="s">
        <v>224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97"/>
      <c r="U59" s="97">
        <f t="shared" si="2"/>
        <v>0</v>
      </c>
      <c r="V59" s="14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1" t="s">
        <v>64</v>
      </c>
      <c r="D60" s="100" t="s">
        <v>124</v>
      </c>
      <c r="E60" s="101"/>
      <c r="F60" s="22" t="s">
        <v>107</v>
      </c>
      <c r="G60" s="72" t="s">
        <v>180</v>
      </c>
      <c r="H60" s="77">
        <v>34</v>
      </c>
      <c r="I60" s="75">
        <v>18</v>
      </c>
      <c r="J60" s="75">
        <v>29</v>
      </c>
      <c r="K60" s="75">
        <v>27</v>
      </c>
      <c r="L60" s="75">
        <v>23</v>
      </c>
      <c r="M60" s="97">
        <v>19657.669999999998</v>
      </c>
      <c r="N60" s="97">
        <v>19367.669999999998</v>
      </c>
      <c r="O60" s="93">
        <f t="shared" si="1"/>
        <v>290</v>
      </c>
      <c r="P60" s="123">
        <v>6</v>
      </c>
      <c r="Q60" s="124">
        <v>6</v>
      </c>
      <c r="R60" s="124">
        <v>6</v>
      </c>
      <c r="S60" s="97">
        <v>7737.36</v>
      </c>
      <c r="T60" s="97">
        <v>7737.36</v>
      </c>
      <c r="U60" s="97">
        <f t="shared" si="2"/>
        <v>0</v>
      </c>
      <c r="V60" s="14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1" t="s">
        <v>135</v>
      </c>
      <c r="D61" s="100" t="s">
        <v>124</v>
      </c>
      <c r="E61" s="101"/>
      <c r="F61" s="22" t="s">
        <v>111</v>
      </c>
      <c r="G61" s="72" t="s">
        <v>181</v>
      </c>
      <c r="H61" s="77">
        <v>12</v>
      </c>
      <c r="I61" s="75">
        <v>8</v>
      </c>
      <c r="J61" s="75">
        <v>10</v>
      </c>
      <c r="K61" s="75">
        <v>8</v>
      </c>
      <c r="L61" s="75">
        <v>6</v>
      </c>
      <c r="M61" s="97">
        <v>3986.21</v>
      </c>
      <c r="N61" s="97">
        <v>2862.11</v>
      </c>
      <c r="O61" s="93">
        <f t="shared" si="1"/>
        <v>1124.0999999999999</v>
      </c>
      <c r="P61" s="123"/>
      <c r="Q61" s="124"/>
      <c r="R61" s="124"/>
      <c r="S61" s="97"/>
      <c r="T61" s="97"/>
      <c r="U61" s="97">
        <f t="shared" si="2"/>
        <v>0</v>
      </c>
      <c r="V61" s="14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3" t="s">
        <v>65</v>
      </c>
      <c r="D62" s="100" t="s">
        <v>124</v>
      </c>
      <c r="E62" s="101"/>
      <c r="F62" s="17" t="s">
        <v>106</v>
      </c>
      <c r="G62" s="72" t="s">
        <v>182</v>
      </c>
      <c r="H62" s="77">
        <v>13</v>
      </c>
      <c r="I62" s="75">
        <v>9</v>
      </c>
      <c r="J62" s="75">
        <v>9</v>
      </c>
      <c r="K62" s="75">
        <v>9</v>
      </c>
      <c r="L62" s="75">
        <v>2</v>
      </c>
      <c r="M62" s="97">
        <f>1263.45+2111.32</f>
        <v>3374.7700000000004</v>
      </c>
      <c r="N62" s="97">
        <f>1263.45+2111.32</f>
        <v>3374.7700000000004</v>
      </c>
      <c r="O62" s="93">
        <f t="shared" si="1"/>
        <v>0</v>
      </c>
      <c r="P62" s="123">
        <v>7</v>
      </c>
      <c r="Q62" s="124">
        <v>7</v>
      </c>
      <c r="R62" s="124">
        <v>6</v>
      </c>
      <c r="S62" s="97">
        <f>740.14+4736.32</f>
        <v>5476.46</v>
      </c>
      <c r="T62" s="97">
        <f>740.14+4736.32</f>
        <v>5476.46</v>
      </c>
      <c r="U62" s="97">
        <f t="shared" si="2"/>
        <v>0</v>
      </c>
    </row>
    <row r="63" spans="1:40" ht="20.100000000000001" customHeight="1" x14ac:dyDescent="0.25">
      <c r="B63" s="99">
        <f t="shared" si="3"/>
        <v>54</v>
      </c>
      <c r="C63" s="13" t="s">
        <v>66</v>
      </c>
      <c r="D63" s="100" t="s">
        <v>124</v>
      </c>
      <c r="E63" s="101"/>
      <c r="F63" s="17" t="s">
        <v>112</v>
      </c>
      <c r="G63" s="72" t="s">
        <v>227</v>
      </c>
      <c r="H63" s="77"/>
      <c r="I63" s="75"/>
      <c r="J63" s="75"/>
      <c r="K63" s="75"/>
      <c r="L63" s="75"/>
      <c r="M63" s="97">
        <v>482.3</v>
      </c>
      <c r="N63" s="97">
        <v>482.3</v>
      </c>
      <c r="O63" s="93">
        <f t="shared" si="1"/>
        <v>0</v>
      </c>
      <c r="P63" s="123">
        <v>28</v>
      </c>
      <c r="Q63" s="124">
        <v>28</v>
      </c>
      <c r="R63" s="124">
        <v>28</v>
      </c>
      <c r="S63" s="97">
        <v>9392.68</v>
      </c>
      <c r="T63" s="97">
        <v>9392.68</v>
      </c>
      <c r="U63" s="97">
        <f t="shared" si="2"/>
        <v>0</v>
      </c>
    </row>
    <row r="64" spans="1:40" ht="20.100000000000001" customHeight="1" x14ac:dyDescent="0.25">
      <c r="A64" s="155">
        <v>50</v>
      </c>
      <c r="B64" s="99">
        <f t="shared" si="3"/>
        <v>55</v>
      </c>
      <c r="C64" s="10" t="s">
        <v>67</v>
      </c>
      <c r="D64" s="100" t="s">
        <v>124</v>
      </c>
      <c r="E64" s="101"/>
      <c r="F64" s="17" t="s">
        <v>106</v>
      </c>
      <c r="G64" s="72" t="s">
        <v>183</v>
      </c>
      <c r="H64" s="77">
        <v>18</v>
      </c>
      <c r="I64" s="75">
        <v>10</v>
      </c>
      <c r="J64" s="75">
        <v>12</v>
      </c>
      <c r="K64" s="75">
        <v>12</v>
      </c>
      <c r="L64" s="75">
        <v>11</v>
      </c>
      <c r="M64" s="97">
        <v>6496.16</v>
      </c>
      <c r="N64" s="97">
        <v>4540.7700000000004</v>
      </c>
      <c r="O64" s="93">
        <f t="shared" si="1"/>
        <v>1955.3899999999994</v>
      </c>
      <c r="P64" s="123">
        <v>9</v>
      </c>
      <c r="Q64" s="124">
        <v>9</v>
      </c>
      <c r="R64" s="124">
        <v>9</v>
      </c>
      <c r="S64" s="97">
        <v>6866.56</v>
      </c>
      <c r="T64" s="97">
        <v>5100.46</v>
      </c>
      <c r="U64" s="97">
        <f t="shared" si="2"/>
        <v>1766.1000000000004</v>
      </c>
    </row>
    <row r="65" spans="1:21" ht="20.100000000000001" customHeight="1" x14ac:dyDescent="0.25">
      <c r="A65" s="155">
        <v>51</v>
      </c>
      <c r="B65" s="99">
        <f t="shared" si="3"/>
        <v>56</v>
      </c>
      <c r="C65" s="10" t="s">
        <v>68</v>
      </c>
      <c r="D65" s="100" t="s">
        <v>124</v>
      </c>
      <c r="E65" s="101"/>
      <c r="F65" s="17" t="s">
        <v>111</v>
      </c>
      <c r="G65" s="72" t="s">
        <v>184</v>
      </c>
      <c r="H65" s="77">
        <v>25</v>
      </c>
      <c r="I65" s="75">
        <v>21</v>
      </c>
      <c r="J65" s="75">
        <v>26</v>
      </c>
      <c r="K65" s="75">
        <v>24</v>
      </c>
      <c r="L65" s="75">
        <v>20</v>
      </c>
      <c r="M65" s="97">
        <v>21561.61</v>
      </c>
      <c r="N65" s="97">
        <f>620.1+6964.42</f>
        <v>7584.52</v>
      </c>
      <c r="O65" s="93">
        <f t="shared" si="1"/>
        <v>13977.09</v>
      </c>
      <c r="P65" s="123">
        <v>10</v>
      </c>
      <c r="Q65" s="124">
        <v>10</v>
      </c>
      <c r="R65" s="124">
        <v>10</v>
      </c>
      <c r="S65" s="97">
        <v>7456.7</v>
      </c>
      <c r="T65" s="97">
        <v>5363.21</v>
      </c>
      <c r="U65" s="97">
        <f t="shared" si="2"/>
        <v>2093.4899999999998</v>
      </c>
    </row>
    <row r="66" spans="1:21" ht="20.100000000000001" customHeight="1" x14ac:dyDescent="0.25">
      <c r="A66" s="155">
        <v>52</v>
      </c>
      <c r="B66" s="99">
        <f t="shared" si="3"/>
        <v>57</v>
      </c>
      <c r="C66" s="13" t="s">
        <v>69</v>
      </c>
      <c r="D66" s="100" t="s">
        <v>124</v>
      </c>
      <c r="E66" s="101"/>
      <c r="F66" s="17" t="s">
        <v>106</v>
      </c>
      <c r="G66" s="72" t="s">
        <v>185</v>
      </c>
      <c r="H66" s="77">
        <v>3</v>
      </c>
      <c r="I66" s="75">
        <v>2</v>
      </c>
      <c r="J66" s="75">
        <v>3</v>
      </c>
      <c r="K66" s="75">
        <v>3</v>
      </c>
      <c r="L66" s="75">
        <v>3</v>
      </c>
      <c r="M66" s="97">
        <f>463.83+1653.6</f>
        <v>2117.4299999999998</v>
      </c>
      <c r="N66" s="97">
        <f>463.83+1653.6</f>
        <v>2117.4299999999998</v>
      </c>
      <c r="O66" s="93">
        <f t="shared" si="1"/>
        <v>0</v>
      </c>
      <c r="P66" s="123">
        <v>4</v>
      </c>
      <c r="Q66" s="12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</row>
    <row r="67" spans="1:21" ht="20.100000000000001" customHeight="1" x14ac:dyDescent="0.25">
      <c r="A67" s="155">
        <v>53</v>
      </c>
      <c r="B67" s="99">
        <f t="shared" si="3"/>
        <v>58</v>
      </c>
      <c r="C67" s="11" t="s">
        <v>70</v>
      </c>
      <c r="D67" s="100" t="s">
        <v>124</v>
      </c>
      <c r="E67" s="101"/>
      <c r="F67" s="17" t="s">
        <v>107</v>
      </c>
      <c r="G67" s="72" t="s">
        <v>186</v>
      </c>
      <c r="H67" s="77">
        <v>32</v>
      </c>
      <c r="I67" s="75">
        <v>23</v>
      </c>
      <c r="J67" s="75">
        <v>29</v>
      </c>
      <c r="K67" s="75">
        <v>29</v>
      </c>
      <c r="L67" s="75">
        <v>24</v>
      </c>
      <c r="M67" s="97">
        <v>19710.93</v>
      </c>
      <c r="N67" s="97">
        <v>19710.93</v>
      </c>
      <c r="O67" s="93">
        <f t="shared" si="1"/>
        <v>0</v>
      </c>
      <c r="P67" s="123">
        <v>9</v>
      </c>
      <c r="Q67" s="124">
        <v>7</v>
      </c>
      <c r="R67" s="124">
        <v>7</v>
      </c>
      <c r="S67" s="97">
        <v>8355.57</v>
      </c>
      <c r="T67" s="97">
        <f>1207.07+5904.8</f>
        <v>7111.87</v>
      </c>
      <c r="U67" s="97">
        <f t="shared" si="2"/>
        <v>1243.6999999999998</v>
      </c>
    </row>
    <row r="68" spans="1:21" ht="20.100000000000001" customHeight="1" x14ac:dyDescent="0.25">
      <c r="A68" s="155">
        <v>54</v>
      </c>
      <c r="B68" s="99">
        <f t="shared" si="3"/>
        <v>59</v>
      </c>
      <c r="C68" s="11" t="s">
        <v>71</v>
      </c>
      <c r="D68" s="100" t="s">
        <v>124</v>
      </c>
      <c r="E68" s="101"/>
      <c r="F68" s="17" t="s">
        <v>117</v>
      </c>
      <c r="G68" s="72" t="s">
        <v>187</v>
      </c>
      <c r="H68" s="77">
        <v>27</v>
      </c>
      <c r="I68" s="75">
        <v>17</v>
      </c>
      <c r="J68" s="75">
        <v>26</v>
      </c>
      <c r="K68" s="75">
        <v>26</v>
      </c>
      <c r="L68" s="75">
        <v>26</v>
      </c>
      <c r="M68" s="97">
        <v>18750.75</v>
      </c>
      <c r="N68" s="97">
        <v>18750.75</v>
      </c>
      <c r="O68" s="93">
        <f t="shared" si="1"/>
        <v>0</v>
      </c>
      <c r="P68" s="123">
        <v>10</v>
      </c>
      <c r="Q68" s="124">
        <v>10</v>
      </c>
      <c r="R68" s="124">
        <v>10</v>
      </c>
      <c r="S68" s="97">
        <v>6249.15</v>
      </c>
      <c r="T68" s="97">
        <v>6249.15</v>
      </c>
      <c r="U68" s="97">
        <f t="shared" si="2"/>
        <v>0</v>
      </c>
    </row>
    <row r="69" spans="1:21" ht="20.100000000000001" customHeight="1" x14ac:dyDescent="0.25">
      <c r="A69" s="155">
        <v>55</v>
      </c>
      <c r="B69" s="99">
        <f t="shared" si="3"/>
        <v>60</v>
      </c>
      <c r="C69" s="11" t="s">
        <v>72</v>
      </c>
      <c r="D69" s="100" t="s">
        <v>125</v>
      </c>
      <c r="E69" s="106" t="s">
        <v>126</v>
      </c>
      <c r="F69" s="17" t="s">
        <v>106</v>
      </c>
      <c r="G69" s="72" t="s">
        <v>188</v>
      </c>
      <c r="H69" s="77">
        <v>7</v>
      </c>
      <c r="I69" s="75">
        <v>3</v>
      </c>
      <c r="J69" s="75">
        <v>3</v>
      </c>
      <c r="K69" s="75">
        <v>3</v>
      </c>
      <c r="L69" s="75">
        <v>3</v>
      </c>
      <c r="M69" s="97">
        <v>2756</v>
      </c>
      <c r="N69" s="97">
        <v>1722.5</v>
      </c>
      <c r="O69" s="93">
        <f t="shared" si="1"/>
        <v>1033.5</v>
      </c>
      <c r="P69" s="123"/>
      <c r="Q69" s="124"/>
      <c r="R69" s="124"/>
      <c r="S69" s="97"/>
      <c r="T69" s="97"/>
      <c r="U69" s="97">
        <f t="shared" si="2"/>
        <v>0</v>
      </c>
    </row>
    <row r="70" spans="1:21" ht="20.100000000000001" customHeight="1" x14ac:dyDescent="0.25">
      <c r="A70" s="155">
        <v>56</v>
      </c>
      <c r="B70" s="99">
        <f t="shared" si="3"/>
        <v>61</v>
      </c>
      <c r="C70" s="10" t="s">
        <v>73</v>
      </c>
      <c r="D70" s="100" t="s">
        <v>124</v>
      </c>
      <c r="E70" s="101"/>
      <c r="F70" s="17" t="s">
        <v>106</v>
      </c>
      <c r="G70" s="72" t="s">
        <v>189</v>
      </c>
      <c r="H70" s="77">
        <v>7</v>
      </c>
      <c r="I70" s="75">
        <v>4</v>
      </c>
      <c r="J70" s="75">
        <v>4</v>
      </c>
      <c r="K70" s="75">
        <v>4</v>
      </c>
      <c r="L70" s="75">
        <v>4</v>
      </c>
      <c r="M70" s="97">
        <v>2039.44</v>
      </c>
      <c r="N70" s="97"/>
      <c r="O70" s="93">
        <f t="shared" si="1"/>
        <v>2039.44</v>
      </c>
      <c r="P70" s="123">
        <v>4</v>
      </c>
      <c r="Q70" s="124">
        <v>4</v>
      </c>
      <c r="R70" s="124">
        <v>4</v>
      </c>
      <c r="S70" s="97">
        <v>3513.9</v>
      </c>
      <c r="T70" s="97">
        <v>551.20000000000005</v>
      </c>
      <c r="U70" s="97">
        <f t="shared" si="2"/>
        <v>2962.7</v>
      </c>
    </row>
    <row r="71" spans="1:21" ht="20.100000000000001" customHeight="1" x14ac:dyDescent="0.25">
      <c r="A71" s="155">
        <v>57</v>
      </c>
      <c r="B71" s="99">
        <f t="shared" si="3"/>
        <v>62</v>
      </c>
      <c r="C71" s="11" t="s">
        <v>74</v>
      </c>
      <c r="D71" s="100" t="s">
        <v>124</v>
      </c>
      <c r="E71" s="101"/>
      <c r="F71" s="17" t="s">
        <v>111</v>
      </c>
      <c r="G71" s="72" t="s">
        <v>190</v>
      </c>
      <c r="H71" s="77">
        <v>16</v>
      </c>
      <c r="I71" s="75">
        <v>4</v>
      </c>
      <c r="J71" s="75">
        <v>4</v>
      </c>
      <c r="K71" s="75">
        <v>3</v>
      </c>
      <c r="L71" s="75">
        <v>3</v>
      </c>
      <c r="M71" s="97">
        <v>2383.5300000000002</v>
      </c>
      <c r="N71" s="97">
        <v>2228.5</v>
      </c>
      <c r="O71" s="93">
        <f t="shared" si="1"/>
        <v>155.0300000000002</v>
      </c>
      <c r="P71" s="123">
        <v>22</v>
      </c>
      <c r="Q71" s="124">
        <v>22</v>
      </c>
      <c r="R71" s="124">
        <v>22</v>
      </c>
      <c r="S71" s="97">
        <v>52337.46</v>
      </c>
      <c r="T71" s="97">
        <f>27744.56+14819.18</f>
        <v>42563.740000000005</v>
      </c>
      <c r="U71" s="97">
        <f t="shared" si="2"/>
        <v>9773.7199999999939</v>
      </c>
    </row>
    <row r="72" spans="1:21" ht="20.100000000000001" customHeight="1" x14ac:dyDescent="0.25">
      <c r="A72" s="155">
        <v>58</v>
      </c>
      <c r="B72" s="99">
        <f t="shared" si="3"/>
        <v>63</v>
      </c>
      <c r="C72" s="11" t="s">
        <v>75</v>
      </c>
      <c r="D72" s="100" t="s">
        <v>124</v>
      </c>
      <c r="E72" s="101"/>
      <c r="F72" s="17" t="s">
        <v>118</v>
      </c>
      <c r="G72" s="72" t="s">
        <v>191</v>
      </c>
      <c r="H72" s="77">
        <v>7</v>
      </c>
      <c r="I72" s="75">
        <v>3</v>
      </c>
      <c r="J72" s="75">
        <v>4</v>
      </c>
      <c r="K72" s="75">
        <v>4</v>
      </c>
      <c r="L72" s="75">
        <v>4</v>
      </c>
      <c r="M72" s="97">
        <v>4703.53</v>
      </c>
      <c r="N72" s="97">
        <v>1163.72</v>
      </c>
      <c r="O72" s="93">
        <f t="shared" si="1"/>
        <v>3539.8099999999995</v>
      </c>
      <c r="P72" s="123">
        <v>7</v>
      </c>
      <c r="Q72" s="12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</row>
    <row r="73" spans="1:21" ht="20.100000000000001" customHeight="1" x14ac:dyDescent="0.25">
      <c r="A73" s="155">
        <v>59</v>
      </c>
      <c r="B73" s="99">
        <f t="shared" si="3"/>
        <v>64</v>
      </c>
      <c r="C73" s="10" t="s">
        <v>76</v>
      </c>
      <c r="D73" s="100" t="s">
        <v>124</v>
      </c>
      <c r="E73" s="101"/>
      <c r="F73" s="10" t="s">
        <v>105</v>
      </c>
      <c r="G73" s="72" t="s">
        <v>192</v>
      </c>
      <c r="H73" s="77">
        <v>10</v>
      </c>
      <c r="I73" s="75">
        <v>6</v>
      </c>
      <c r="J73" s="75">
        <v>6</v>
      </c>
      <c r="K73" s="75">
        <v>6</v>
      </c>
      <c r="L73" s="75">
        <v>4</v>
      </c>
      <c r="M73" s="97">
        <v>2095.52</v>
      </c>
      <c r="N73" s="97">
        <v>2095.52</v>
      </c>
      <c r="O73" s="93">
        <f t="shared" si="1"/>
        <v>0</v>
      </c>
      <c r="P73" s="123">
        <v>5</v>
      </c>
      <c r="Q73" s="124">
        <v>5</v>
      </c>
      <c r="R73" s="124">
        <v>3</v>
      </c>
      <c r="S73" s="97">
        <v>1821.06</v>
      </c>
      <c r="T73" s="97">
        <v>1821.06</v>
      </c>
      <c r="U73" s="97">
        <f t="shared" si="2"/>
        <v>0</v>
      </c>
    </row>
    <row r="74" spans="1:21" ht="20.100000000000001" customHeight="1" x14ac:dyDescent="0.25">
      <c r="B74" s="99">
        <f t="shared" si="3"/>
        <v>65</v>
      </c>
      <c r="C74" s="11" t="s">
        <v>77</v>
      </c>
      <c r="D74" s="100" t="s">
        <v>124</v>
      </c>
      <c r="E74" s="101"/>
      <c r="F74" s="10" t="s">
        <v>111</v>
      </c>
      <c r="G74" s="72" t="s">
        <v>225</v>
      </c>
      <c r="H74" s="77"/>
      <c r="I74" s="75"/>
      <c r="J74" s="75"/>
      <c r="K74" s="75"/>
      <c r="L74" s="75"/>
      <c r="M74" s="97"/>
      <c r="N74" s="97"/>
      <c r="O74" s="93">
        <f t="shared" si="1"/>
        <v>0</v>
      </c>
      <c r="P74" s="123">
        <v>1</v>
      </c>
      <c r="Q74" s="12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</row>
    <row r="75" spans="1:21" ht="20.100000000000001" customHeight="1" x14ac:dyDescent="0.25">
      <c r="A75" s="155">
        <v>60</v>
      </c>
      <c r="B75" s="99">
        <f t="shared" si="3"/>
        <v>66</v>
      </c>
      <c r="C75" s="10" t="s">
        <v>78</v>
      </c>
      <c r="D75" s="100" t="s">
        <v>124</v>
      </c>
      <c r="E75" s="101"/>
      <c r="F75" s="23" t="s">
        <v>119</v>
      </c>
      <c r="G75" s="72" t="s">
        <v>193</v>
      </c>
      <c r="H75" s="77">
        <v>7</v>
      </c>
      <c r="I75" s="75">
        <v>3</v>
      </c>
      <c r="J75" s="75">
        <v>3</v>
      </c>
      <c r="K75" s="75">
        <v>3</v>
      </c>
      <c r="L75" s="75">
        <v>1</v>
      </c>
      <c r="M75" s="97">
        <v>275.60000000000002</v>
      </c>
      <c r="N75" s="97"/>
      <c r="O75" s="93">
        <f t="shared" ref="O75:O104" si="4" xml:space="preserve"> (M75-N75)</f>
        <v>275.60000000000002</v>
      </c>
      <c r="P75" s="123">
        <v>3</v>
      </c>
      <c r="Q75" s="124">
        <v>3</v>
      </c>
      <c r="R75" s="124">
        <v>2</v>
      </c>
      <c r="S75" s="97">
        <v>617.03</v>
      </c>
      <c r="T75" s="97">
        <v>617.03</v>
      </c>
      <c r="U75" s="97">
        <f t="shared" ref="U75:U104" si="5" xml:space="preserve"> (S75-T75)</f>
        <v>0</v>
      </c>
    </row>
    <row r="76" spans="1:21" ht="20.100000000000001" customHeight="1" x14ac:dyDescent="0.25">
      <c r="A76" s="155">
        <v>61</v>
      </c>
      <c r="B76" s="99">
        <f t="shared" si="3"/>
        <v>67</v>
      </c>
      <c r="C76" s="11" t="s">
        <v>79</v>
      </c>
      <c r="D76" s="100" t="s">
        <v>124</v>
      </c>
      <c r="E76" s="101"/>
      <c r="F76" s="17" t="s">
        <v>106</v>
      </c>
      <c r="G76" s="72" t="s">
        <v>194</v>
      </c>
      <c r="H76" s="77">
        <v>20</v>
      </c>
      <c r="I76" s="75">
        <v>11</v>
      </c>
      <c r="J76" s="75">
        <v>15</v>
      </c>
      <c r="K76" s="75">
        <v>15</v>
      </c>
      <c r="L76" s="75">
        <v>14</v>
      </c>
      <c r="M76" s="97">
        <v>11803.63</v>
      </c>
      <c r="N76" s="97">
        <f>1065.4+3931.58</f>
        <v>4996.9799999999996</v>
      </c>
      <c r="O76" s="93">
        <f t="shared" si="4"/>
        <v>6806.65</v>
      </c>
      <c r="P76" s="123">
        <v>5</v>
      </c>
      <c r="Q76" s="124">
        <v>5</v>
      </c>
      <c r="R76" s="124">
        <v>5</v>
      </c>
      <c r="S76" s="97">
        <v>5751.78</v>
      </c>
      <c r="T76" s="97">
        <f>2337.1+1182.32</f>
        <v>3519.42</v>
      </c>
      <c r="U76" s="97">
        <f t="shared" si="5"/>
        <v>2232.3599999999997</v>
      </c>
    </row>
    <row r="77" spans="1:21" ht="20.100000000000001" customHeight="1" x14ac:dyDescent="0.25">
      <c r="A77" s="155">
        <v>62</v>
      </c>
      <c r="B77" s="99">
        <f t="shared" ref="B77:B101" si="6">B76+1</f>
        <v>68</v>
      </c>
      <c r="C77" s="11" t="s">
        <v>80</v>
      </c>
      <c r="D77" s="100" t="s">
        <v>124</v>
      </c>
      <c r="E77" s="101"/>
      <c r="F77" s="17" t="s">
        <v>106</v>
      </c>
      <c r="G77" s="72" t="s">
        <v>195</v>
      </c>
      <c r="H77" s="77">
        <v>11</v>
      </c>
      <c r="I77" s="75">
        <v>5</v>
      </c>
      <c r="J77" s="75">
        <v>5</v>
      </c>
      <c r="K77" s="75">
        <v>5</v>
      </c>
      <c r="L77" s="75">
        <v>5</v>
      </c>
      <c r="M77" s="97">
        <v>4234.67</v>
      </c>
      <c r="N77" s="97">
        <f>3034.57</f>
        <v>3034.57</v>
      </c>
      <c r="O77" s="93">
        <f t="shared" si="4"/>
        <v>1200.0999999999999</v>
      </c>
      <c r="P77" s="123"/>
      <c r="Q77" s="124"/>
      <c r="R77" s="124"/>
      <c r="S77" s="97"/>
      <c r="T77" s="97"/>
      <c r="U77" s="97">
        <f t="shared" si="5"/>
        <v>0</v>
      </c>
    </row>
    <row r="78" spans="1:21" ht="20.100000000000001" customHeight="1" x14ac:dyDescent="0.25">
      <c r="B78" s="99">
        <f t="shared" si="6"/>
        <v>69</v>
      </c>
      <c r="C78" s="14" t="s">
        <v>81</v>
      </c>
      <c r="D78" s="100" t="s">
        <v>124</v>
      </c>
      <c r="E78" s="101"/>
      <c r="F78" s="10" t="s">
        <v>106</v>
      </c>
      <c r="G78" s="72" t="s">
        <v>226</v>
      </c>
      <c r="H78" s="77"/>
      <c r="I78" s="75"/>
      <c r="J78" s="75"/>
      <c r="K78" s="75"/>
      <c r="L78" s="75"/>
      <c r="M78" s="97"/>
      <c r="N78" s="97"/>
      <c r="O78" s="93">
        <f t="shared" si="4"/>
        <v>0</v>
      </c>
      <c r="P78" s="123">
        <v>8</v>
      </c>
      <c r="Q78" s="12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</row>
    <row r="79" spans="1:21" ht="20.100000000000001" customHeight="1" x14ac:dyDescent="0.25">
      <c r="A79" s="155">
        <v>63</v>
      </c>
      <c r="B79" s="99">
        <f t="shared" si="6"/>
        <v>70</v>
      </c>
      <c r="C79" s="14" t="s">
        <v>82</v>
      </c>
      <c r="D79" s="100" t="s">
        <v>124</v>
      </c>
      <c r="E79" s="101"/>
      <c r="F79" s="10" t="s">
        <v>106</v>
      </c>
      <c r="G79" s="72" t="s">
        <v>196</v>
      </c>
      <c r="H79" s="77">
        <v>14</v>
      </c>
      <c r="I79" s="75">
        <v>10</v>
      </c>
      <c r="J79" s="75">
        <v>13</v>
      </c>
      <c r="K79" s="75">
        <v>13</v>
      </c>
      <c r="L79" s="75">
        <v>11</v>
      </c>
      <c r="M79" s="97">
        <v>8913.81</v>
      </c>
      <c r="N79" s="97">
        <v>7843.78</v>
      </c>
      <c r="O79" s="93">
        <f t="shared" si="4"/>
        <v>1070.0299999999997</v>
      </c>
      <c r="P79" s="123">
        <v>1</v>
      </c>
      <c r="Q79" s="124">
        <v>1</v>
      </c>
      <c r="R79" s="124">
        <v>1</v>
      </c>
      <c r="S79" s="97">
        <v>275.60000000000002</v>
      </c>
      <c r="T79" s="97">
        <v>275.60000000000002</v>
      </c>
      <c r="U79" s="97">
        <f t="shared" si="5"/>
        <v>0</v>
      </c>
    </row>
    <row r="80" spans="1:21" ht="20.100000000000001" customHeight="1" x14ac:dyDescent="0.25">
      <c r="A80" s="155">
        <v>64</v>
      </c>
      <c r="B80" s="99">
        <f t="shared" si="6"/>
        <v>71</v>
      </c>
      <c r="C80" s="14" t="s">
        <v>83</v>
      </c>
      <c r="D80" s="100" t="s">
        <v>124</v>
      </c>
      <c r="E80" s="101"/>
      <c r="F80" s="10" t="s">
        <v>106</v>
      </c>
      <c r="G80" s="72" t="s">
        <v>197</v>
      </c>
      <c r="H80" s="77">
        <v>15</v>
      </c>
      <c r="I80" s="75">
        <v>11</v>
      </c>
      <c r="J80" s="75">
        <v>14</v>
      </c>
      <c r="K80" s="75">
        <v>14</v>
      </c>
      <c r="L80" s="75">
        <v>9</v>
      </c>
      <c r="M80" s="97">
        <v>14959.64</v>
      </c>
      <c r="N80" s="97">
        <v>6798.08</v>
      </c>
      <c r="O80" s="93">
        <f t="shared" si="4"/>
        <v>8161.5599999999995</v>
      </c>
      <c r="P80" s="123">
        <v>8</v>
      </c>
      <c r="Q80" s="124">
        <v>8</v>
      </c>
      <c r="R80" s="124">
        <v>7</v>
      </c>
      <c r="S80" s="97">
        <v>13554.7</v>
      </c>
      <c r="T80" s="97">
        <v>13554.7</v>
      </c>
      <c r="U80" s="97">
        <f t="shared" si="5"/>
        <v>0</v>
      </c>
    </row>
    <row r="81" spans="1:21" ht="20.100000000000001" customHeight="1" x14ac:dyDescent="0.25">
      <c r="A81" s="155">
        <v>65</v>
      </c>
      <c r="B81" s="99">
        <f t="shared" si="6"/>
        <v>72</v>
      </c>
      <c r="C81" s="11" t="s">
        <v>84</v>
      </c>
      <c r="D81" s="100" t="s">
        <v>124</v>
      </c>
      <c r="E81" s="101"/>
      <c r="F81" s="10" t="s">
        <v>120</v>
      </c>
      <c r="G81" s="72" t="s">
        <v>198</v>
      </c>
      <c r="H81" s="77">
        <v>1</v>
      </c>
      <c r="I81" s="75"/>
      <c r="J81" s="75"/>
      <c r="K81" s="75"/>
      <c r="L81" s="75"/>
      <c r="M81" s="97"/>
      <c r="N81" s="97"/>
      <c r="O81" s="93">
        <f t="shared" si="4"/>
        <v>0</v>
      </c>
      <c r="P81" s="123"/>
      <c r="Q81" s="124"/>
      <c r="R81" s="124"/>
      <c r="S81" s="97"/>
      <c r="T81" s="97"/>
      <c r="U81" s="97">
        <f t="shared" si="5"/>
        <v>0</v>
      </c>
    </row>
    <row r="82" spans="1:21" ht="20.100000000000001" customHeight="1" x14ac:dyDescent="0.25">
      <c r="A82" s="155">
        <v>66</v>
      </c>
      <c r="B82" s="99">
        <f t="shared" si="6"/>
        <v>73</v>
      </c>
      <c r="C82" s="13" t="s">
        <v>85</v>
      </c>
      <c r="D82" s="100" t="s">
        <v>124</v>
      </c>
      <c r="E82" s="101"/>
      <c r="F82" s="19" t="s">
        <v>106</v>
      </c>
      <c r="G82" s="72" t="s">
        <v>199</v>
      </c>
      <c r="H82" s="77">
        <v>16</v>
      </c>
      <c r="I82" s="75">
        <v>10</v>
      </c>
      <c r="J82" s="75">
        <v>11</v>
      </c>
      <c r="K82" s="75">
        <v>11</v>
      </c>
      <c r="L82" s="75">
        <v>5</v>
      </c>
      <c r="M82" s="97">
        <v>2626.75</v>
      </c>
      <c r="N82" s="97">
        <v>2282.25</v>
      </c>
      <c r="O82" s="93">
        <f t="shared" si="4"/>
        <v>344.5</v>
      </c>
      <c r="P82" s="123">
        <v>7</v>
      </c>
      <c r="Q82" s="124">
        <v>7</v>
      </c>
      <c r="R82" s="124">
        <v>6</v>
      </c>
      <c r="S82" s="97">
        <f>15935.59+881.06</f>
        <v>16816.650000000001</v>
      </c>
      <c r="T82" s="97">
        <f>15935.59+881.06</f>
        <v>16816.650000000001</v>
      </c>
      <c r="U82" s="97">
        <f t="shared" si="5"/>
        <v>0</v>
      </c>
    </row>
    <row r="83" spans="1:21" ht="20.100000000000001" customHeight="1" x14ac:dyDescent="0.25">
      <c r="A83" s="155">
        <v>67</v>
      </c>
      <c r="B83" s="99">
        <f t="shared" si="6"/>
        <v>74</v>
      </c>
      <c r="C83" s="10" t="s">
        <v>86</v>
      </c>
      <c r="D83" s="100" t="s">
        <v>124</v>
      </c>
      <c r="E83" s="101"/>
      <c r="F83" s="22" t="s">
        <v>118</v>
      </c>
      <c r="G83" s="72" t="s">
        <v>200</v>
      </c>
      <c r="H83" s="77">
        <v>15</v>
      </c>
      <c r="I83" s="75">
        <v>11</v>
      </c>
      <c r="J83" s="75">
        <v>12</v>
      </c>
      <c r="K83" s="75">
        <v>12</v>
      </c>
      <c r="L83" s="75">
        <v>9</v>
      </c>
      <c r="M83" s="97">
        <v>11232.31</v>
      </c>
      <c r="N83" s="97">
        <f>2803.04+5035.5</f>
        <v>7838.54</v>
      </c>
      <c r="O83" s="93">
        <f t="shared" si="4"/>
        <v>3393.7699999999995</v>
      </c>
      <c r="P83" s="123">
        <v>9</v>
      </c>
      <c r="Q83" s="124">
        <v>6</v>
      </c>
      <c r="R83" s="124">
        <v>6</v>
      </c>
      <c r="S83" s="97">
        <f>6465.89+3406.65</f>
        <v>9872.5400000000009</v>
      </c>
      <c r="T83" s="97">
        <f>6465.89+3406.65</f>
        <v>9872.5400000000009</v>
      </c>
      <c r="U83" s="97">
        <f t="shared" si="5"/>
        <v>0</v>
      </c>
    </row>
    <row r="84" spans="1:21" ht="20.100000000000001" customHeight="1" x14ac:dyDescent="0.25">
      <c r="A84" s="155">
        <v>68</v>
      </c>
      <c r="B84" s="99">
        <f t="shared" si="6"/>
        <v>75</v>
      </c>
      <c r="C84" s="10" t="s">
        <v>87</v>
      </c>
      <c r="D84" s="100" t="s">
        <v>124</v>
      </c>
      <c r="E84" s="101"/>
      <c r="F84" s="22" t="s">
        <v>115</v>
      </c>
      <c r="G84" s="72" t="s">
        <v>201</v>
      </c>
      <c r="H84" s="77">
        <v>13</v>
      </c>
      <c r="I84" s="75">
        <v>6</v>
      </c>
      <c r="J84" s="75">
        <v>8</v>
      </c>
      <c r="K84" s="75">
        <v>8</v>
      </c>
      <c r="L84" s="75">
        <v>7</v>
      </c>
      <c r="M84" s="97">
        <v>5429.56</v>
      </c>
      <c r="N84" s="97">
        <v>4678.72</v>
      </c>
      <c r="O84" s="93">
        <f t="shared" si="4"/>
        <v>750.84000000000015</v>
      </c>
      <c r="P84" s="123">
        <v>1</v>
      </c>
      <c r="Q84" s="12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</row>
    <row r="85" spans="1:21" ht="20.100000000000001" customHeight="1" x14ac:dyDescent="0.25">
      <c r="A85" s="155">
        <v>70</v>
      </c>
      <c r="B85" s="99">
        <f t="shared" si="6"/>
        <v>76</v>
      </c>
      <c r="C85" s="11" t="s">
        <v>88</v>
      </c>
      <c r="D85" s="100" t="s">
        <v>124</v>
      </c>
      <c r="E85" s="101"/>
      <c r="F85" s="17" t="s">
        <v>121</v>
      </c>
      <c r="G85" s="72" t="s">
        <v>203</v>
      </c>
      <c r="H85" s="77">
        <v>24</v>
      </c>
      <c r="I85" s="75">
        <v>16</v>
      </c>
      <c r="J85" s="75">
        <v>28</v>
      </c>
      <c r="K85" s="75">
        <v>28</v>
      </c>
      <c r="L85" s="75">
        <v>21</v>
      </c>
      <c r="M85" s="97">
        <v>15506.09</v>
      </c>
      <c r="N85" s="97">
        <f>4781.94+3598.27</f>
        <v>8380.2099999999991</v>
      </c>
      <c r="O85" s="93">
        <f t="shared" si="4"/>
        <v>7125.880000000001</v>
      </c>
      <c r="P85" s="123">
        <v>6</v>
      </c>
      <c r="Q85" s="12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</row>
    <row r="86" spans="1:21" ht="20.100000000000001" customHeight="1" x14ac:dyDescent="0.25">
      <c r="A86" s="155">
        <v>69</v>
      </c>
      <c r="B86" s="99">
        <f t="shared" si="6"/>
        <v>77</v>
      </c>
      <c r="C86" s="14" t="s">
        <v>89</v>
      </c>
      <c r="D86" s="100" t="s">
        <v>124</v>
      </c>
      <c r="E86" s="101"/>
      <c r="F86" s="19" t="s">
        <v>106</v>
      </c>
      <c r="G86" s="72" t="s">
        <v>202</v>
      </c>
      <c r="H86" s="77">
        <v>9</v>
      </c>
      <c r="I86" s="75">
        <v>4</v>
      </c>
      <c r="J86" s="75">
        <v>4</v>
      </c>
      <c r="K86" s="75">
        <v>4</v>
      </c>
      <c r="L86" s="75"/>
      <c r="M86" s="97"/>
      <c r="N86" s="97"/>
      <c r="O86" s="93">
        <f t="shared" si="4"/>
        <v>0</v>
      </c>
      <c r="P86" s="123">
        <v>2</v>
      </c>
      <c r="Q86" s="12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</row>
    <row r="87" spans="1:21" ht="20.100000000000001" customHeight="1" x14ac:dyDescent="0.25">
      <c r="A87" s="155">
        <v>71</v>
      </c>
      <c r="B87" s="99">
        <f t="shared" si="6"/>
        <v>78</v>
      </c>
      <c r="C87" s="14" t="s">
        <v>90</v>
      </c>
      <c r="D87" s="100" t="s">
        <v>124</v>
      </c>
      <c r="E87" s="101"/>
      <c r="F87" s="19" t="s">
        <v>106</v>
      </c>
      <c r="G87" s="72" t="s">
        <v>204</v>
      </c>
      <c r="H87" s="77">
        <v>5</v>
      </c>
      <c r="I87" s="75">
        <v>4</v>
      </c>
      <c r="J87" s="75">
        <v>5</v>
      </c>
      <c r="K87" s="75">
        <v>4</v>
      </c>
      <c r="L87" s="75">
        <v>4</v>
      </c>
      <c r="M87" s="97">
        <f>795.8+4099.92</f>
        <v>4895.72</v>
      </c>
      <c r="N87" s="97">
        <f>795.8+4099.92</f>
        <v>4895.72</v>
      </c>
      <c r="O87" s="93">
        <f t="shared" si="4"/>
        <v>0</v>
      </c>
      <c r="P87" s="123">
        <v>5</v>
      </c>
      <c r="Q87" s="124">
        <v>4</v>
      </c>
      <c r="R87" s="124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</row>
    <row r="88" spans="1:21" ht="20.100000000000001" customHeight="1" x14ac:dyDescent="0.25">
      <c r="B88" s="99">
        <f t="shared" si="6"/>
        <v>79</v>
      </c>
      <c r="C88" s="10" t="s">
        <v>91</v>
      </c>
      <c r="D88" s="100" t="s">
        <v>124</v>
      </c>
      <c r="E88" s="101"/>
      <c r="F88" s="17" t="s">
        <v>111</v>
      </c>
      <c r="G88" s="72" t="s">
        <v>231</v>
      </c>
      <c r="H88" s="77">
        <v>1</v>
      </c>
      <c r="I88" s="75"/>
      <c r="J88" s="75"/>
      <c r="K88" s="75"/>
      <c r="L88" s="75"/>
      <c r="M88" s="97"/>
      <c r="N88" s="97"/>
      <c r="O88" s="93">
        <f t="shared" si="4"/>
        <v>0</v>
      </c>
      <c r="P88" s="123">
        <v>6</v>
      </c>
      <c r="Q88" s="12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</row>
    <row r="89" spans="1:21" ht="20.100000000000001" customHeight="1" x14ac:dyDescent="0.25">
      <c r="A89" s="155">
        <v>72</v>
      </c>
      <c r="B89" s="99">
        <f t="shared" si="6"/>
        <v>80</v>
      </c>
      <c r="C89" s="10" t="s">
        <v>92</v>
      </c>
      <c r="D89" s="100" t="s">
        <v>124</v>
      </c>
      <c r="E89" s="101"/>
      <c r="F89" s="19" t="s">
        <v>106</v>
      </c>
      <c r="G89" s="72" t="s">
        <v>205</v>
      </c>
      <c r="H89" s="77">
        <v>7</v>
      </c>
      <c r="I89" s="75">
        <v>3</v>
      </c>
      <c r="J89" s="75">
        <v>4</v>
      </c>
      <c r="K89" s="75">
        <v>4</v>
      </c>
      <c r="L89" s="75">
        <v>3</v>
      </c>
      <c r="M89" s="97">
        <v>2874.33</v>
      </c>
      <c r="N89" s="97">
        <f>725.77+1768.23</f>
        <v>2494</v>
      </c>
      <c r="O89" s="93">
        <f t="shared" si="4"/>
        <v>380.32999999999993</v>
      </c>
      <c r="P89" s="123">
        <v>5</v>
      </c>
      <c r="Q89" s="124">
        <v>5</v>
      </c>
      <c r="R89" s="124">
        <v>4</v>
      </c>
      <c r="S89" s="97">
        <f>8161.92+1118.75</f>
        <v>9280.67</v>
      </c>
      <c r="T89" s="97">
        <f>8161.92+1118.75</f>
        <v>9280.67</v>
      </c>
      <c r="U89" s="97">
        <f t="shared" si="5"/>
        <v>0</v>
      </c>
    </row>
    <row r="90" spans="1:21" ht="20.100000000000001" customHeight="1" x14ac:dyDescent="0.25">
      <c r="A90" s="155">
        <v>73</v>
      </c>
      <c r="B90" s="99">
        <f t="shared" si="6"/>
        <v>81</v>
      </c>
      <c r="C90" s="11" t="s">
        <v>93</v>
      </c>
      <c r="D90" s="100" t="s">
        <v>124</v>
      </c>
      <c r="E90" s="101"/>
      <c r="F90" s="17" t="s">
        <v>122</v>
      </c>
      <c r="G90" s="72" t="s">
        <v>206</v>
      </c>
      <c r="H90" s="77">
        <v>29</v>
      </c>
      <c r="I90" s="75">
        <v>20</v>
      </c>
      <c r="J90" s="75">
        <v>37</v>
      </c>
      <c r="K90" s="75">
        <v>35</v>
      </c>
      <c r="L90" s="75">
        <v>22</v>
      </c>
      <c r="M90" s="97">
        <v>14303.46</v>
      </c>
      <c r="N90" s="97">
        <v>14303.46</v>
      </c>
      <c r="O90" s="93">
        <f t="shared" si="4"/>
        <v>0</v>
      </c>
      <c r="P90" s="123">
        <v>8</v>
      </c>
      <c r="Q90" s="124">
        <v>7</v>
      </c>
      <c r="R90" s="124">
        <v>7</v>
      </c>
      <c r="S90" s="97">
        <v>3130.8</v>
      </c>
      <c r="T90" s="97">
        <v>3130.8</v>
      </c>
      <c r="U90" s="97">
        <f t="shared" si="5"/>
        <v>0</v>
      </c>
    </row>
    <row r="91" spans="1:21" ht="20.100000000000001" customHeight="1" x14ac:dyDescent="0.25">
      <c r="A91" s="155">
        <v>74</v>
      </c>
      <c r="B91" s="99">
        <f t="shared" si="6"/>
        <v>82</v>
      </c>
      <c r="C91" s="11" t="s">
        <v>94</v>
      </c>
      <c r="D91" s="100" t="s">
        <v>124</v>
      </c>
      <c r="E91" s="101"/>
      <c r="F91" s="19" t="s">
        <v>106</v>
      </c>
      <c r="G91" s="72" t="s">
        <v>218</v>
      </c>
      <c r="H91" s="77">
        <v>12</v>
      </c>
      <c r="I91" s="75">
        <v>5</v>
      </c>
      <c r="J91" s="75">
        <v>10</v>
      </c>
      <c r="K91" s="75">
        <v>10</v>
      </c>
      <c r="L91" s="75">
        <v>10</v>
      </c>
      <c r="M91" s="97">
        <v>5384.83</v>
      </c>
      <c r="N91" s="97">
        <v>5384.83</v>
      </c>
      <c r="O91" s="93">
        <f t="shared" si="4"/>
        <v>0</v>
      </c>
      <c r="P91" s="123">
        <v>6</v>
      </c>
      <c r="Q91" s="124">
        <v>6</v>
      </c>
      <c r="R91" s="124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</row>
    <row r="92" spans="1:21" ht="20.100000000000001" customHeight="1" x14ac:dyDescent="0.25">
      <c r="A92" s="155">
        <v>75</v>
      </c>
      <c r="B92" s="99">
        <f t="shared" si="6"/>
        <v>83</v>
      </c>
      <c r="C92" s="11" t="s">
        <v>95</v>
      </c>
      <c r="D92" s="100" t="s">
        <v>124</v>
      </c>
      <c r="E92" s="101"/>
      <c r="F92" s="19" t="s">
        <v>123</v>
      </c>
      <c r="G92" s="72" t="s">
        <v>217</v>
      </c>
      <c r="H92" s="77">
        <v>14</v>
      </c>
      <c r="I92" s="75">
        <v>10</v>
      </c>
      <c r="J92" s="75">
        <v>12</v>
      </c>
      <c r="K92" s="75">
        <v>11</v>
      </c>
      <c r="L92" s="75">
        <v>9</v>
      </c>
      <c r="M92" s="97">
        <f>2301.54+4352.56</f>
        <v>6654.1</v>
      </c>
      <c r="N92" s="97">
        <f>2301.54+4352.56</f>
        <v>6654.1</v>
      </c>
      <c r="O92" s="93">
        <f t="shared" si="4"/>
        <v>0</v>
      </c>
      <c r="P92" s="123">
        <v>1</v>
      </c>
      <c r="Q92" s="12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</row>
    <row r="93" spans="1:21" ht="20.100000000000001" customHeight="1" x14ac:dyDescent="0.25">
      <c r="A93" s="155">
        <v>76</v>
      </c>
      <c r="B93" s="99">
        <f t="shared" si="6"/>
        <v>84</v>
      </c>
      <c r="C93" s="11" t="s">
        <v>96</v>
      </c>
      <c r="D93" s="100" t="s">
        <v>124</v>
      </c>
      <c r="E93" s="101"/>
      <c r="F93" s="22" t="s">
        <v>112</v>
      </c>
      <c r="G93" s="72" t="s">
        <v>216</v>
      </c>
      <c r="H93" s="77">
        <v>41</v>
      </c>
      <c r="I93" s="75">
        <v>23</v>
      </c>
      <c r="J93" s="75">
        <v>28</v>
      </c>
      <c r="K93" s="75">
        <v>21</v>
      </c>
      <c r="L93" s="75">
        <v>21</v>
      </c>
      <c r="M93" s="97">
        <v>14656.12</v>
      </c>
      <c r="N93" s="97">
        <v>13626.75</v>
      </c>
      <c r="O93" s="93">
        <f t="shared" si="4"/>
        <v>1029.3700000000008</v>
      </c>
      <c r="P93" s="123">
        <v>8</v>
      </c>
      <c r="Q93" s="124">
        <v>8</v>
      </c>
      <c r="R93" s="124">
        <v>8</v>
      </c>
      <c r="S93" s="97">
        <v>11083.64</v>
      </c>
      <c r="T93" s="97">
        <v>11083.64</v>
      </c>
      <c r="U93" s="97">
        <f t="shared" si="5"/>
        <v>0</v>
      </c>
    </row>
    <row r="94" spans="1:21" ht="20.100000000000001" customHeight="1" x14ac:dyDescent="0.25">
      <c r="A94" s="155">
        <v>77</v>
      </c>
      <c r="B94" s="99">
        <f t="shared" si="6"/>
        <v>85</v>
      </c>
      <c r="C94" s="11" t="s">
        <v>97</v>
      </c>
      <c r="D94" s="100" t="s">
        <v>124</v>
      </c>
      <c r="E94" s="101"/>
      <c r="F94" s="17" t="s">
        <v>111</v>
      </c>
      <c r="G94" s="72" t="s">
        <v>215</v>
      </c>
      <c r="H94" s="77">
        <v>21</v>
      </c>
      <c r="I94" s="75">
        <v>12</v>
      </c>
      <c r="J94" s="75">
        <v>13</v>
      </c>
      <c r="K94" s="75">
        <v>10</v>
      </c>
      <c r="L94" s="75">
        <v>9</v>
      </c>
      <c r="M94" s="97">
        <v>6576.32</v>
      </c>
      <c r="N94" s="97">
        <v>3291.36</v>
      </c>
      <c r="O94" s="93">
        <f t="shared" si="4"/>
        <v>3284.9599999999996</v>
      </c>
      <c r="P94" s="123">
        <v>21</v>
      </c>
      <c r="Q94" s="124">
        <v>19</v>
      </c>
      <c r="R94" s="124">
        <v>19</v>
      </c>
      <c r="S94" s="97">
        <f>18253.04+4245.2</f>
        <v>22498.240000000002</v>
      </c>
      <c r="T94" s="97">
        <f>18253.04+4245.2</f>
        <v>22498.240000000002</v>
      </c>
      <c r="U94" s="97">
        <f t="shared" si="5"/>
        <v>0</v>
      </c>
    </row>
    <row r="95" spans="1:21" ht="20.100000000000001" customHeight="1" x14ac:dyDescent="0.25">
      <c r="A95" s="155">
        <v>78</v>
      </c>
      <c r="B95" s="99">
        <f t="shared" si="6"/>
        <v>86</v>
      </c>
      <c r="C95" s="10" t="s">
        <v>98</v>
      </c>
      <c r="D95" s="100" t="s">
        <v>124</v>
      </c>
      <c r="E95" s="101"/>
      <c r="F95" s="19" t="s">
        <v>106</v>
      </c>
      <c r="G95" s="72" t="s">
        <v>214</v>
      </c>
      <c r="H95" s="77">
        <v>22</v>
      </c>
      <c r="I95" s="75">
        <v>12</v>
      </c>
      <c r="J95" s="75">
        <v>13</v>
      </c>
      <c r="K95" s="75">
        <v>13</v>
      </c>
      <c r="L95" s="75">
        <v>13</v>
      </c>
      <c r="M95" s="97">
        <f>2362.32+22110.36+455.21</f>
        <v>24927.89</v>
      </c>
      <c r="N95" s="97">
        <f>2362.32+22110.36+455.21</f>
        <v>24927.89</v>
      </c>
      <c r="O95" s="93">
        <f t="shared" si="4"/>
        <v>0</v>
      </c>
      <c r="P95" s="123">
        <v>13</v>
      </c>
      <c r="Q95" s="124">
        <v>13</v>
      </c>
      <c r="R95" s="124">
        <v>12</v>
      </c>
      <c r="S95" s="97">
        <f>24552.24+1001.28+122.46</f>
        <v>25675.98</v>
      </c>
      <c r="T95" s="97">
        <f>24552.24+1001.28+122.46</f>
        <v>25675.98</v>
      </c>
      <c r="U95" s="97">
        <f t="shared" si="5"/>
        <v>0</v>
      </c>
    </row>
    <row r="96" spans="1:21" ht="20.100000000000001" customHeight="1" x14ac:dyDescent="0.25">
      <c r="A96" s="155">
        <v>80</v>
      </c>
      <c r="B96" s="99">
        <f t="shared" si="6"/>
        <v>87</v>
      </c>
      <c r="C96" s="10" t="s">
        <v>129</v>
      </c>
      <c r="D96" s="100" t="s">
        <v>124</v>
      </c>
      <c r="E96" s="101"/>
      <c r="F96" s="19" t="s">
        <v>106</v>
      </c>
      <c r="G96" s="72" t="s">
        <v>212</v>
      </c>
      <c r="H96" s="77">
        <v>9</v>
      </c>
      <c r="I96" s="75">
        <v>1</v>
      </c>
      <c r="J96" s="75">
        <v>2</v>
      </c>
      <c r="K96" s="75">
        <v>2</v>
      </c>
      <c r="L96" s="75"/>
      <c r="M96" s="97">
        <v>826.8</v>
      </c>
      <c r="N96" s="97"/>
      <c r="O96" s="93">
        <f t="shared" si="4"/>
        <v>826.8</v>
      </c>
      <c r="P96" s="123"/>
      <c r="Q96" s="124"/>
      <c r="R96" s="124"/>
      <c r="S96" s="97"/>
      <c r="T96" s="97"/>
      <c r="U96" s="97">
        <f t="shared" si="5"/>
        <v>0</v>
      </c>
    </row>
    <row r="97" spans="1:33" ht="20.100000000000001" customHeight="1" x14ac:dyDescent="0.25">
      <c r="A97" s="155">
        <v>79</v>
      </c>
      <c r="B97" s="99">
        <f t="shared" si="6"/>
        <v>88</v>
      </c>
      <c r="C97" s="10" t="s">
        <v>99</v>
      </c>
      <c r="D97" s="100" t="s">
        <v>124</v>
      </c>
      <c r="E97" s="101"/>
      <c r="F97" s="19" t="s">
        <v>106</v>
      </c>
      <c r="G97" s="72" t="s">
        <v>213</v>
      </c>
      <c r="H97" s="77">
        <v>8</v>
      </c>
      <c r="I97" s="75">
        <v>5</v>
      </c>
      <c r="J97" s="75">
        <v>6</v>
      </c>
      <c r="K97" s="75">
        <v>6</v>
      </c>
      <c r="L97" s="75">
        <v>6</v>
      </c>
      <c r="M97" s="97">
        <v>3171.93</v>
      </c>
      <c r="N97" s="97">
        <f>1545.67+969.43</f>
        <v>2515.1</v>
      </c>
      <c r="O97" s="93">
        <f t="shared" si="4"/>
        <v>656.82999999999993</v>
      </c>
      <c r="P97" s="123">
        <v>4</v>
      </c>
      <c r="Q97" s="12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</row>
    <row r="98" spans="1:33" ht="20.100000000000001" customHeight="1" x14ac:dyDescent="0.25">
      <c r="A98" s="155">
        <v>81</v>
      </c>
      <c r="B98" s="99">
        <f t="shared" si="6"/>
        <v>89</v>
      </c>
      <c r="C98" s="13" t="s">
        <v>100</v>
      </c>
      <c r="D98" s="100" t="s">
        <v>124</v>
      </c>
      <c r="E98" s="101"/>
      <c r="F98" s="19" t="s">
        <v>106</v>
      </c>
      <c r="G98" s="72" t="s">
        <v>211</v>
      </c>
      <c r="H98" s="77">
        <v>12</v>
      </c>
      <c r="I98" s="75">
        <v>4</v>
      </c>
      <c r="J98" s="75">
        <v>4</v>
      </c>
      <c r="K98" s="75">
        <v>4</v>
      </c>
      <c r="L98" s="75">
        <v>3</v>
      </c>
      <c r="M98" s="97">
        <v>757.9</v>
      </c>
      <c r="N98" s="97">
        <v>482.3</v>
      </c>
      <c r="O98" s="93">
        <f t="shared" si="4"/>
        <v>275.59999999999997</v>
      </c>
      <c r="P98" s="123">
        <v>7</v>
      </c>
      <c r="Q98" s="124">
        <v>7</v>
      </c>
      <c r="R98" s="124">
        <v>7</v>
      </c>
      <c r="S98" s="97">
        <v>8034.56</v>
      </c>
      <c r="T98" s="97">
        <f>6457+964.6</f>
        <v>7421.6</v>
      </c>
      <c r="U98" s="97">
        <f t="shared" si="5"/>
        <v>612.96</v>
      </c>
    </row>
    <row r="99" spans="1:33" ht="20.100000000000001" customHeight="1" x14ac:dyDescent="0.25">
      <c r="A99" s="155">
        <v>82</v>
      </c>
      <c r="B99" s="99">
        <f t="shared" si="6"/>
        <v>90</v>
      </c>
      <c r="C99" s="13" t="s">
        <v>101</v>
      </c>
      <c r="D99" s="100" t="s">
        <v>124</v>
      </c>
      <c r="E99" s="101"/>
      <c r="F99" s="17" t="s">
        <v>106</v>
      </c>
      <c r="G99" s="72" t="s">
        <v>210</v>
      </c>
      <c r="H99" s="77">
        <v>18</v>
      </c>
      <c r="I99" s="75">
        <v>6</v>
      </c>
      <c r="J99" s="75">
        <v>7</v>
      </c>
      <c r="K99" s="75">
        <v>7</v>
      </c>
      <c r="L99" s="75">
        <v>5</v>
      </c>
      <c r="M99" s="97">
        <v>4782.2299999999996</v>
      </c>
      <c r="N99" s="97">
        <v>545.69000000000005</v>
      </c>
      <c r="O99" s="93">
        <f t="shared" si="4"/>
        <v>4236.5399999999991</v>
      </c>
      <c r="P99" s="123">
        <v>10</v>
      </c>
      <c r="Q99" s="124">
        <v>8</v>
      </c>
      <c r="R99" s="124">
        <v>8</v>
      </c>
      <c r="S99" s="97">
        <v>12321.66</v>
      </c>
      <c r="T99" s="97">
        <v>5077.71</v>
      </c>
      <c r="U99" s="97">
        <f t="shared" si="5"/>
        <v>7243.95</v>
      </c>
    </row>
    <row r="100" spans="1:33" ht="20.100000000000001" customHeight="1" x14ac:dyDescent="0.25">
      <c r="A100" s="155">
        <v>83</v>
      </c>
      <c r="B100" s="99">
        <f t="shared" si="6"/>
        <v>91</v>
      </c>
      <c r="C100" s="13" t="s">
        <v>102</v>
      </c>
      <c r="D100" s="100" t="s">
        <v>124</v>
      </c>
      <c r="E100" s="101"/>
      <c r="F100" s="17" t="s">
        <v>106</v>
      </c>
      <c r="G100" s="72" t="s">
        <v>209</v>
      </c>
      <c r="H100" s="77">
        <v>15</v>
      </c>
      <c r="I100" s="75">
        <v>10</v>
      </c>
      <c r="J100" s="75">
        <v>12</v>
      </c>
      <c r="K100" s="75">
        <v>12</v>
      </c>
      <c r="L100" s="75">
        <v>10</v>
      </c>
      <c r="M100" s="97">
        <v>10862.96</v>
      </c>
      <c r="N100" s="97">
        <f>4459.37+1998.1</f>
        <v>6457.4699999999993</v>
      </c>
      <c r="O100" s="93">
        <f t="shared" si="4"/>
        <v>4405.49</v>
      </c>
      <c r="P100" s="123">
        <v>10</v>
      </c>
      <c r="Q100" s="124">
        <v>10</v>
      </c>
      <c r="R100" s="124">
        <v>9</v>
      </c>
      <c r="S100" s="97">
        <v>4780.1000000000004</v>
      </c>
      <c r="T100" s="97">
        <v>4232.91</v>
      </c>
      <c r="U100" s="97">
        <f t="shared" si="5"/>
        <v>547.19000000000051</v>
      </c>
    </row>
    <row r="101" spans="1:33" ht="20.100000000000001" customHeight="1" x14ac:dyDescent="0.25">
      <c r="A101" s="155">
        <v>84</v>
      </c>
      <c r="B101" s="99">
        <f t="shared" si="6"/>
        <v>92</v>
      </c>
      <c r="C101" s="11" t="s">
        <v>103</v>
      </c>
      <c r="D101" s="100" t="s">
        <v>124</v>
      </c>
      <c r="E101" s="101"/>
      <c r="F101" s="22" t="s">
        <v>112</v>
      </c>
      <c r="G101" s="72" t="s">
        <v>208</v>
      </c>
      <c r="H101" s="77">
        <v>41</v>
      </c>
      <c r="I101" s="75">
        <v>25</v>
      </c>
      <c r="J101" s="75">
        <v>28</v>
      </c>
      <c r="K101" s="75">
        <v>20</v>
      </c>
      <c r="L101" s="75">
        <v>13</v>
      </c>
      <c r="M101" s="97">
        <v>16276.16</v>
      </c>
      <c r="N101" s="97">
        <v>16276.16</v>
      </c>
      <c r="O101" s="93">
        <f t="shared" si="4"/>
        <v>0</v>
      </c>
      <c r="P101" s="123">
        <v>24</v>
      </c>
      <c r="Q101" s="124">
        <v>23</v>
      </c>
      <c r="R101" s="124">
        <v>22</v>
      </c>
      <c r="S101" s="97">
        <f>21329.45-2252.12</f>
        <v>19077.330000000002</v>
      </c>
      <c r="T101" s="97">
        <f>21329.45-2252.12</f>
        <v>19077.330000000002</v>
      </c>
      <c r="U101" s="97">
        <f t="shared" si="5"/>
        <v>0</v>
      </c>
    </row>
    <row r="102" spans="1:33" ht="20.100000000000001" customHeight="1" x14ac:dyDescent="0.25">
      <c r="A102" s="155">
        <v>85</v>
      </c>
      <c r="B102" s="115">
        <f>B101+1</f>
        <v>93</v>
      </c>
      <c r="C102" s="116" t="s">
        <v>104</v>
      </c>
      <c r="D102" s="111" t="s">
        <v>124</v>
      </c>
      <c r="E102" s="112"/>
      <c r="F102" s="117" t="s">
        <v>106</v>
      </c>
      <c r="G102" s="118" t="s">
        <v>207</v>
      </c>
      <c r="H102" s="113">
        <v>7</v>
      </c>
      <c r="I102" s="114">
        <v>4</v>
      </c>
      <c r="J102" s="114">
        <v>5</v>
      </c>
      <c r="K102" s="114">
        <v>5</v>
      </c>
      <c r="L102" s="114">
        <v>5</v>
      </c>
      <c r="M102" s="147">
        <v>3259.83</v>
      </c>
      <c r="N102" s="147">
        <v>649.38</v>
      </c>
      <c r="O102" s="93">
        <f t="shared" si="4"/>
        <v>2610.4499999999998</v>
      </c>
      <c r="P102" s="149">
        <v>3</v>
      </c>
      <c r="Q102" s="150">
        <v>3</v>
      </c>
      <c r="R102" s="150">
        <v>3</v>
      </c>
      <c r="S102" s="147">
        <v>1193.3</v>
      </c>
      <c r="T102" s="147">
        <v>1193.3</v>
      </c>
      <c r="U102" s="148">
        <f t="shared" si="5"/>
        <v>0</v>
      </c>
      <c r="V102" s="145"/>
    </row>
    <row r="103" spans="1:33" ht="20.100000000000001" customHeight="1" x14ac:dyDescent="0.25">
      <c r="A103" s="155">
        <v>88</v>
      </c>
      <c r="B103" s="106">
        <v>94</v>
      </c>
      <c r="C103" s="10" t="s">
        <v>258</v>
      </c>
      <c r="D103" s="111" t="s">
        <v>124</v>
      </c>
      <c r="E103" s="101"/>
      <c r="F103" s="12" t="s">
        <v>106</v>
      </c>
      <c r="G103" s="118" t="s">
        <v>261</v>
      </c>
      <c r="H103" s="75">
        <v>6</v>
      </c>
      <c r="I103" s="75">
        <v>1</v>
      </c>
      <c r="J103" s="75">
        <v>1</v>
      </c>
      <c r="K103" s="75">
        <v>1</v>
      </c>
      <c r="L103" s="75"/>
      <c r="M103" s="97"/>
      <c r="N103" s="97"/>
      <c r="O103" s="93">
        <f t="shared" si="4"/>
        <v>0</v>
      </c>
      <c r="P103" s="124"/>
      <c r="Q103" s="124"/>
      <c r="R103" s="124"/>
      <c r="S103" s="97"/>
      <c r="T103" s="97"/>
      <c r="U103" s="148">
        <f t="shared" si="5"/>
        <v>0</v>
      </c>
      <c r="V103" s="145"/>
    </row>
    <row r="104" spans="1:33" ht="20.100000000000001" customHeight="1" x14ac:dyDescent="0.25">
      <c r="B104" s="106">
        <v>95</v>
      </c>
      <c r="C104" s="10" t="s">
        <v>242</v>
      </c>
      <c r="D104" s="111" t="s">
        <v>124</v>
      </c>
      <c r="E104" s="101"/>
      <c r="F104" s="12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75">
        <v>2</v>
      </c>
      <c r="L104" s="75">
        <v>2</v>
      </c>
      <c r="M104" s="97">
        <v>2252.12</v>
      </c>
      <c r="N104" s="97">
        <v>2252.12</v>
      </c>
      <c r="O104" s="93">
        <f t="shared" si="4"/>
        <v>0</v>
      </c>
      <c r="P104" s="124"/>
      <c r="Q104" s="124"/>
      <c r="R104" s="124"/>
      <c r="S104" s="97"/>
      <c r="T104" s="97"/>
      <c r="U104" s="148">
        <f t="shared" si="5"/>
        <v>0</v>
      </c>
      <c r="V104" s="145"/>
      <c r="AF104" s="145"/>
    </row>
    <row r="105" spans="1:33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Q105" si="7">SUM(H10:H104)</f>
        <v>1303</v>
      </c>
      <c r="I105" s="119">
        <f t="shared" si="7"/>
        <v>719</v>
      </c>
      <c r="J105" s="119">
        <f t="shared" si="7"/>
        <v>938</v>
      </c>
      <c r="K105" s="119">
        <f t="shared" si="7"/>
        <v>879</v>
      </c>
      <c r="L105" s="119">
        <f t="shared" si="7"/>
        <v>712</v>
      </c>
      <c r="M105" s="151">
        <f t="shared" si="7"/>
        <v>574674.14000000013</v>
      </c>
      <c r="N105" s="151">
        <f t="shared" si="7"/>
        <v>425017.81999999977</v>
      </c>
      <c r="O105" s="151">
        <f t="shared" si="7"/>
        <v>149656.31999999998</v>
      </c>
      <c r="P105" s="152">
        <f t="shared" si="7"/>
        <v>644</v>
      </c>
      <c r="Q105" s="152">
        <f t="shared" si="7"/>
        <v>621</v>
      </c>
      <c r="R105" s="152">
        <f>SUM(R11:R104)</f>
        <v>593</v>
      </c>
      <c r="S105" s="151">
        <f>SUM(S10:S104)</f>
        <v>760118.7000000003</v>
      </c>
      <c r="T105" s="146">
        <f>SUM(T10:T104)</f>
        <v>686670.02000000014</v>
      </c>
      <c r="U105" s="120">
        <f>SUM(U10:U104)</f>
        <v>73448.679999999978</v>
      </c>
      <c r="V105" s="159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59"/>
      <c r="AG105" s="159"/>
    </row>
    <row r="106" spans="1:33" x14ac:dyDescent="0.25"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</row>
    <row r="107" spans="1:33" x14ac:dyDescent="0.25">
      <c r="V107" s="145"/>
      <c r="W107" s="145"/>
      <c r="AF107" s="159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412" priority="4" stopIfTrue="1" operator="equal">
      <formula>0</formula>
    </cfRule>
  </conditionalFormatting>
  <conditionalFormatting sqref="AL45">
    <cfRule type="cellIs" dxfId="411" priority="3" stopIfTrue="1" operator="equal">
      <formula>0</formula>
    </cfRule>
  </conditionalFormatting>
  <conditionalFormatting sqref="T45">
    <cfRule type="cellIs" dxfId="410" priority="2" stopIfTrue="1" operator="equal">
      <formula>0</formula>
    </cfRule>
  </conditionalFormatting>
  <conditionalFormatting sqref="T45">
    <cfRule type="cellIs" dxfId="409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9"/>
  <sheetViews>
    <sheetView topLeftCell="B86" zoomScale="80" zoomScaleNormal="80" workbookViewId="0">
      <selection activeCell="T105" sqref="T105"/>
    </sheetView>
  </sheetViews>
  <sheetFormatPr defaultRowHeight="15.75" x14ac:dyDescent="0.25"/>
  <cols>
    <col min="1" max="1" width="9.140625" style="155" hidden="1" customWidth="1"/>
    <col min="2" max="2" width="9.140625" style="55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12.42578125" style="109" customWidth="1"/>
    <col min="15" max="15" width="12.28515625" style="109" customWidth="1"/>
    <col min="16" max="18" width="9.140625" style="109" customWidth="1"/>
    <col min="19" max="19" width="16.85546875" style="109" customWidth="1"/>
    <col min="20" max="20" width="10.7109375" style="109" customWidth="1"/>
    <col min="21" max="21" width="10.7109375" style="133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0.28515625" style="134" bestFit="1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280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279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26</v>
      </c>
      <c r="I10" s="75">
        <v>14</v>
      </c>
      <c r="J10" s="75">
        <v>16</v>
      </c>
      <c r="K10" s="75">
        <v>11</v>
      </c>
      <c r="L10" s="75">
        <v>11</v>
      </c>
      <c r="M10" s="97">
        <f>8818.63+2629.32</f>
        <v>11447.949999999999</v>
      </c>
      <c r="N10" s="97">
        <v>8818.6299999999992</v>
      </c>
      <c r="O10" s="93">
        <f xml:space="preserve"> (M10-N10)</f>
        <v>2629.3199999999997</v>
      </c>
      <c r="P10" s="123">
        <v>6</v>
      </c>
      <c r="Q10" s="124">
        <v>6</v>
      </c>
      <c r="R10" s="124">
        <v>6</v>
      </c>
      <c r="S10" s="97">
        <v>4246.75</v>
      </c>
      <c r="T10" s="97">
        <v>4246.75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5</v>
      </c>
      <c r="I11" s="75">
        <v>5</v>
      </c>
      <c r="J11" s="75">
        <v>5</v>
      </c>
      <c r="K11" s="75">
        <v>5</v>
      </c>
      <c r="L11" s="75">
        <v>5</v>
      </c>
      <c r="M11" s="97">
        <v>1778.86</v>
      </c>
      <c r="N11" s="97">
        <v>1778.86</v>
      </c>
      <c r="O11" s="93">
        <f t="shared" ref="O11:O74" si="1" xml:space="preserve"> (M11-N11)</f>
        <v>0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15</v>
      </c>
      <c r="I13" s="75">
        <v>8</v>
      </c>
      <c r="J13" s="75">
        <v>11</v>
      </c>
      <c r="K13" s="75">
        <v>11</v>
      </c>
      <c r="L13" s="75">
        <v>11</v>
      </c>
      <c r="M13" s="97">
        <f>272.84+2699.54+4096.17</f>
        <v>7068.55</v>
      </c>
      <c r="N13" s="97">
        <f>272.84+2699.54</f>
        <v>2972.38</v>
      </c>
      <c r="O13" s="93">
        <f t="shared" si="1"/>
        <v>4096.17</v>
      </c>
      <c r="P13" s="123">
        <v>5</v>
      </c>
      <c r="Q13" s="124">
        <v>5</v>
      </c>
      <c r="R13" s="124">
        <v>5</v>
      </c>
      <c r="S13" s="97">
        <f>7385.53+1228.66+7042.2</f>
        <v>15656.39</v>
      </c>
      <c r="T13" s="97">
        <f>7385.53+1228.66</f>
        <v>8614.19</v>
      </c>
      <c r="U13" s="97">
        <f t="shared" si="2"/>
        <v>7042.1999999999989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23</v>
      </c>
      <c r="I14" s="75">
        <v>10</v>
      </c>
      <c r="J14" s="75">
        <v>11</v>
      </c>
      <c r="K14" s="75">
        <v>10</v>
      </c>
      <c r="L14" s="75">
        <v>10</v>
      </c>
      <c r="M14" s="97">
        <v>4932.74</v>
      </c>
      <c r="N14" s="97">
        <v>4932.74</v>
      </c>
      <c r="O14" s="93">
        <f t="shared" si="1"/>
        <v>0</v>
      </c>
      <c r="P14" s="123">
        <v>6</v>
      </c>
      <c r="Q14" s="124">
        <v>6</v>
      </c>
      <c r="R14" s="124">
        <v>5</v>
      </c>
      <c r="S14" s="97">
        <v>2847.1</v>
      </c>
      <c r="T14" s="97">
        <v>2847.1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20</v>
      </c>
      <c r="I15" s="75">
        <v>15</v>
      </c>
      <c r="J15" s="75">
        <v>21</v>
      </c>
      <c r="K15" s="75">
        <v>21</v>
      </c>
      <c r="L15" s="75">
        <v>21</v>
      </c>
      <c r="M15" s="97">
        <v>16942.87</v>
      </c>
      <c r="N15" s="97">
        <v>16942.87</v>
      </c>
      <c r="O15" s="93">
        <f t="shared" si="1"/>
        <v>0</v>
      </c>
      <c r="P15" s="123">
        <v>13</v>
      </c>
      <c r="Q15" s="124">
        <v>13</v>
      </c>
      <c r="R15" s="124">
        <v>13</v>
      </c>
      <c r="S15" s="97">
        <v>13813.9</v>
      </c>
      <c r="T15" s="97">
        <v>13813.9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18</v>
      </c>
      <c r="I17" s="75">
        <v>8</v>
      </c>
      <c r="J17" s="75">
        <v>11</v>
      </c>
      <c r="K17" s="75">
        <v>9</v>
      </c>
      <c r="L17" s="75">
        <v>9</v>
      </c>
      <c r="M17" s="97">
        <v>7235.14</v>
      </c>
      <c r="N17" s="97">
        <f>7235.14-413.4</f>
        <v>6821.7400000000007</v>
      </c>
      <c r="O17" s="93">
        <f t="shared" si="1"/>
        <v>413.39999999999964</v>
      </c>
      <c r="P17" s="123">
        <v>1</v>
      </c>
      <c r="Q17" s="124">
        <v>1</v>
      </c>
      <c r="R17" s="124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9</v>
      </c>
      <c r="I18" s="75"/>
      <c r="J18" s="75"/>
      <c r="K18" s="75"/>
      <c r="L18" s="75"/>
      <c r="M18" s="97">
        <v>2118.92</v>
      </c>
      <c r="N18" s="97">
        <v>2118.92</v>
      </c>
      <c r="O18" s="93">
        <f t="shared" si="1"/>
        <v>0</v>
      </c>
      <c r="P18" s="123">
        <v>5</v>
      </c>
      <c r="Q18" s="124">
        <v>5</v>
      </c>
      <c r="R18" s="124">
        <v>5</v>
      </c>
      <c r="S18" s="97">
        <v>14748.55</v>
      </c>
      <c r="T18" s="97">
        <v>14748.55</v>
      </c>
      <c r="U18" s="97">
        <f t="shared" si="2"/>
        <v>0</v>
      </c>
      <c r="V18" s="161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19</v>
      </c>
      <c r="I19" s="75">
        <v>12</v>
      </c>
      <c r="J19" s="75">
        <v>18</v>
      </c>
      <c r="K19" s="75">
        <v>15</v>
      </c>
      <c r="L19" s="75">
        <v>15</v>
      </c>
      <c r="M19" s="97">
        <f>5345.36+3385.2</f>
        <v>8730.56</v>
      </c>
      <c r="N19" s="97">
        <v>5345.36</v>
      </c>
      <c r="O19" s="93">
        <f t="shared" si="1"/>
        <v>3385.2</v>
      </c>
      <c r="P19" s="123">
        <v>14</v>
      </c>
      <c r="Q19" s="124">
        <v>13</v>
      </c>
      <c r="R19" s="124">
        <v>13</v>
      </c>
      <c r="S19" s="97">
        <f>12589.36+4299.58+3922.41+8458.25</f>
        <v>29269.600000000002</v>
      </c>
      <c r="T19" s="97">
        <f>12589.36+4299.58+3922.41</f>
        <v>20811.350000000002</v>
      </c>
      <c r="U19" s="97">
        <f t="shared" si="2"/>
        <v>8458.25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25</v>
      </c>
      <c r="I20" s="75">
        <v>7</v>
      </c>
      <c r="J20" s="75">
        <v>11</v>
      </c>
      <c r="K20" s="75">
        <v>11</v>
      </c>
      <c r="L20" s="75">
        <v>11</v>
      </c>
      <c r="M20" s="97">
        <f>5728.14+3727.02</f>
        <v>9455.16</v>
      </c>
      <c r="N20" s="97">
        <v>5728.14</v>
      </c>
      <c r="O20" s="93">
        <f t="shared" si="1"/>
        <v>3727.0199999999995</v>
      </c>
      <c r="P20" s="123">
        <v>23</v>
      </c>
      <c r="Q20" s="124">
        <v>23</v>
      </c>
      <c r="R20" s="124">
        <v>23</v>
      </c>
      <c r="S20" s="97">
        <v>36404.57</v>
      </c>
      <c r="T20" s="97">
        <v>36404.57</v>
      </c>
      <c r="U20" s="97">
        <f t="shared" si="2"/>
        <v>0</v>
      </c>
      <c r="V20" s="16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13</v>
      </c>
      <c r="I21" s="75">
        <v>5</v>
      </c>
      <c r="J21" s="75">
        <v>6</v>
      </c>
      <c r="K21" s="75">
        <v>6</v>
      </c>
      <c r="L21" s="75">
        <v>6</v>
      </c>
      <c r="M21" s="97">
        <f>3586.84+1791.4</f>
        <v>5378.24</v>
      </c>
      <c r="N21" s="97">
        <f>3586.84-551.2-1776.85</f>
        <v>1258.7900000000004</v>
      </c>
      <c r="O21" s="93">
        <f t="shared" si="1"/>
        <v>4119.4499999999989</v>
      </c>
      <c r="P21" s="123">
        <v>5</v>
      </c>
      <c r="Q21" s="124">
        <v>5</v>
      </c>
      <c r="R21" s="124">
        <v>5</v>
      </c>
      <c r="S21" s="97">
        <v>7288.02</v>
      </c>
      <c r="T21" s="97">
        <v>7288.02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53</v>
      </c>
      <c r="I22" s="75">
        <v>22</v>
      </c>
      <c r="J22" s="75">
        <v>31</v>
      </c>
      <c r="K22" s="75">
        <v>31</v>
      </c>
      <c r="L22" s="75">
        <v>31</v>
      </c>
      <c r="M22" s="97">
        <f>19787.02+2513.73</f>
        <v>22300.75</v>
      </c>
      <c r="N22" s="97">
        <v>19787.02</v>
      </c>
      <c r="O22" s="93">
        <f t="shared" si="1"/>
        <v>2513.7299999999996</v>
      </c>
      <c r="P22" s="123">
        <v>20</v>
      </c>
      <c r="Q22" s="124">
        <v>19</v>
      </c>
      <c r="R22" s="124">
        <v>19</v>
      </c>
      <c r="S22" s="97">
        <v>24103.23</v>
      </c>
      <c r="T22" s="97">
        <f>24103.23-825.11</f>
        <v>23278.12</v>
      </c>
      <c r="U22" s="97">
        <f t="shared" si="2"/>
        <v>825.11000000000058</v>
      </c>
      <c r="V22" s="161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10</v>
      </c>
      <c r="I23" s="75">
        <v>5</v>
      </c>
      <c r="J23" s="75">
        <v>7</v>
      </c>
      <c r="K23" s="75">
        <v>7</v>
      </c>
      <c r="L23" s="75">
        <v>7</v>
      </c>
      <c r="M23" s="97">
        <f>5739.04+1828.05</f>
        <v>7567.09</v>
      </c>
      <c r="N23" s="97">
        <v>5739.04</v>
      </c>
      <c r="O23" s="93">
        <f t="shared" si="1"/>
        <v>1828.0500000000002</v>
      </c>
      <c r="P23" s="123">
        <v>11</v>
      </c>
      <c r="Q23" s="124">
        <v>11</v>
      </c>
      <c r="R23" s="124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13</v>
      </c>
      <c r="I24" s="75">
        <v>8</v>
      </c>
      <c r="J24" s="75">
        <v>10</v>
      </c>
      <c r="K24" s="75">
        <v>10</v>
      </c>
      <c r="L24" s="75">
        <v>10</v>
      </c>
      <c r="M24" s="97">
        <v>1515.11</v>
      </c>
      <c r="N24" s="97">
        <v>1515.11</v>
      </c>
      <c r="O24" s="93">
        <f t="shared" si="1"/>
        <v>0</v>
      </c>
      <c r="P24" s="123">
        <v>8</v>
      </c>
      <c r="Q24" s="124">
        <v>7</v>
      </c>
      <c r="R24" s="124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21</v>
      </c>
      <c r="I25" s="75">
        <v>9</v>
      </c>
      <c r="J25" s="75">
        <v>14</v>
      </c>
      <c r="K25" s="75">
        <v>12</v>
      </c>
      <c r="L25" s="75">
        <v>12</v>
      </c>
      <c r="M25" s="97">
        <v>9005.69</v>
      </c>
      <c r="N25" s="97">
        <v>9005.69</v>
      </c>
      <c r="O25" s="93">
        <f t="shared" si="1"/>
        <v>0</v>
      </c>
      <c r="P25" s="123">
        <v>21</v>
      </c>
      <c r="Q25" s="124">
        <v>20</v>
      </c>
      <c r="R25" s="124">
        <v>20</v>
      </c>
      <c r="S25" s="97">
        <v>24213.05</v>
      </c>
      <c r="T25" s="97">
        <v>24213.05</v>
      </c>
      <c r="U25" s="97">
        <f t="shared" si="2"/>
        <v>0</v>
      </c>
      <c r="V25" s="161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18</v>
      </c>
      <c r="I26" s="75">
        <v>8</v>
      </c>
      <c r="J26" s="75">
        <v>13</v>
      </c>
      <c r="K26" s="75">
        <v>13</v>
      </c>
      <c r="L26" s="75">
        <v>13</v>
      </c>
      <c r="M26" s="97">
        <f>3777.1+6399.51</f>
        <v>10176.61</v>
      </c>
      <c r="N26" s="97">
        <v>3777.1</v>
      </c>
      <c r="O26" s="93">
        <f t="shared" si="1"/>
        <v>6399.51</v>
      </c>
      <c r="P26" s="123">
        <v>10</v>
      </c>
      <c r="Q26" s="124">
        <v>10</v>
      </c>
      <c r="R26" s="124">
        <v>10</v>
      </c>
      <c r="S26" s="97">
        <v>3386.7</v>
      </c>
      <c r="T26" s="97">
        <v>3386.7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21</v>
      </c>
      <c r="I27" s="75">
        <v>7</v>
      </c>
      <c r="J27" s="75">
        <v>14</v>
      </c>
      <c r="K27" s="75">
        <v>14</v>
      </c>
      <c r="L27" s="75">
        <v>14</v>
      </c>
      <c r="M27" s="97">
        <v>6801.73</v>
      </c>
      <c r="N27" s="97">
        <v>6801.73</v>
      </c>
      <c r="O27" s="93">
        <f t="shared" si="1"/>
        <v>0</v>
      </c>
      <c r="P27" s="123">
        <v>14</v>
      </c>
      <c r="Q27" s="124">
        <v>14</v>
      </c>
      <c r="R27" s="124">
        <v>13</v>
      </c>
      <c r="S27" s="97">
        <v>12827.9</v>
      </c>
      <c r="T27" s="97">
        <v>12827.9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16</v>
      </c>
      <c r="I29" s="75">
        <v>12</v>
      </c>
      <c r="J29" s="75">
        <v>17</v>
      </c>
      <c r="K29" s="75">
        <v>17</v>
      </c>
      <c r="L29" s="75">
        <v>17</v>
      </c>
      <c r="M29" s="97">
        <f>7765.28+1107.91</f>
        <v>8873.19</v>
      </c>
      <c r="N29" s="97">
        <v>7765.28</v>
      </c>
      <c r="O29" s="93">
        <f t="shared" si="1"/>
        <v>1107.9100000000008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21</v>
      </c>
      <c r="I30" s="75">
        <v>15</v>
      </c>
      <c r="J30" s="75">
        <v>16</v>
      </c>
      <c r="K30" s="75">
        <v>16</v>
      </c>
      <c r="L30" s="75">
        <v>15</v>
      </c>
      <c r="M30" s="97">
        <f>5246.17+4965.96</f>
        <v>10212.130000000001</v>
      </c>
      <c r="N30" s="97">
        <f>5246.17-409.27</f>
        <v>4836.8999999999996</v>
      </c>
      <c r="O30" s="93">
        <f t="shared" si="1"/>
        <v>5375.2300000000014</v>
      </c>
      <c r="P30" s="123">
        <v>21</v>
      </c>
      <c r="Q30" s="124">
        <v>21</v>
      </c>
      <c r="R30" s="124">
        <v>19</v>
      </c>
      <c r="S30" s="97">
        <f>39414.6+4786.67</f>
        <v>44201.27</v>
      </c>
      <c r="T30" s="97">
        <f>39414.6-10535.43</f>
        <v>28879.17</v>
      </c>
      <c r="U30" s="97">
        <f t="shared" si="2"/>
        <v>15322.099999999999</v>
      </c>
      <c r="V30" s="16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1" t="s">
        <v>38</v>
      </c>
      <c r="D31" s="100" t="s">
        <v>124</v>
      </c>
      <c r="E31" s="101"/>
      <c r="F31" s="17" t="s">
        <v>106</v>
      </c>
      <c r="G31" s="72" t="s">
        <v>157</v>
      </c>
      <c r="H31" s="77">
        <v>4</v>
      </c>
      <c r="I31" s="75">
        <v>1</v>
      </c>
      <c r="J31" s="75">
        <v>2</v>
      </c>
      <c r="K31" s="75">
        <v>2</v>
      </c>
      <c r="L31" s="75">
        <v>2</v>
      </c>
      <c r="M31" s="97">
        <v>859.25</v>
      </c>
      <c r="N31" s="97">
        <v>859.25</v>
      </c>
      <c r="O31" s="93">
        <f t="shared" si="1"/>
        <v>0</v>
      </c>
      <c r="P31" s="123">
        <v>2</v>
      </c>
      <c r="Q31" s="12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0" t="s">
        <v>39</v>
      </c>
      <c r="D32" s="100" t="s">
        <v>124</v>
      </c>
      <c r="E32" s="101"/>
      <c r="F32" s="10" t="s">
        <v>105</v>
      </c>
      <c r="G32" s="72" t="s">
        <v>220</v>
      </c>
      <c r="H32" s="77"/>
      <c r="I32" s="75"/>
      <c r="J32" s="75"/>
      <c r="K32" s="75"/>
      <c r="L32" s="75"/>
      <c r="M32" s="97"/>
      <c r="N32" s="97"/>
      <c r="O32" s="93">
        <f t="shared" si="1"/>
        <v>0</v>
      </c>
      <c r="P32" s="123"/>
      <c r="Q32" s="124"/>
      <c r="R32" s="124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0" t="s">
        <v>137</v>
      </c>
      <c r="D33" s="100" t="s">
        <v>124</v>
      </c>
      <c r="E33" s="101"/>
      <c r="F33" s="17" t="s">
        <v>106</v>
      </c>
      <c r="G33" s="72" t="s">
        <v>158</v>
      </c>
      <c r="H33" s="77">
        <v>10</v>
      </c>
      <c r="I33" s="75">
        <v>6</v>
      </c>
      <c r="J33" s="75">
        <v>7</v>
      </c>
      <c r="K33" s="75">
        <v>7</v>
      </c>
      <c r="L33" s="75">
        <v>7</v>
      </c>
      <c r="M33" s="97">
        <f>4065.1+2226.4</f>
        <v>6291.5</v>
      </c>
      <c r="N33" s="97">
        <v>4065.1</v>
      </c>
      <c r="O33" s="93">
        <f t="shared" si="1"/>
        <v>2226.4</v>
      </c>
      <c r="P33" s="123"/>
      <c r="Q33" s="124"/>
      <c r="R33" s="124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2" t="s">
        <v>40</v>
      </c>
      <c r="D34" s="100" t="s">
        <v>124</v>
      </c>
      <c r="E34" s="101"/>
      <c r="F34" s="19" t="s">
        <v>115</v>
      </c>
      <c r="G34" s="72" t="s">
        <v>159</v>
      </c>
      <c r="H34" s="77">
        <v>14</v>
      </c>
      <c r="I34" s="75">
        <v>9</v>
      </c>
      <c r="J34" s="75">
        <v>14</v>
      </c>
      <c r="K34" s="75">
        <v>14</v>
      </c>
      <c r="L34" s="75">
        <v>14</v>
      </c>
      <c r="M34" s="97">
        <v>8742.16</v>
      </c>
      <c r="N34" s="97">
        <v>8742.16</v>
      </c>
      <c r="O34" s="93">
        <f t="shared" si="1"/>
        <v>0</v>
      </c>
      <c r="P34" s="123">
        <v>2</v>
      </c>
      <c r="Q34" s="12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1" t="s">
        <v>41</v>
      </c>
      <c r="D35" s="100" t="s">
        <v>124</v>
      </c>
      <c r="E35" s="101"/>
      <c r="F35" s="17" t="s">
        <v>106</v>
      </c>
      <c r="G35" s="72" t="s">
        <v>160</v>
      </c>
      <c r="H35" s="77">
        <v>11</v>
      </c>
      <c r="I35" s="75">
        <v>6</v>
      </c>
      <c r="J35" s="75">
        <v>9</v>
      </c>
      <c r="K35" s="75">
        <v>9</v>
      </c>
      <c r="L35" s="75">
        <v>9</v>
      </c>
      <c r="M35" s="97">
        <v>8755.24</v>
      </c>
      <c r="N35" s="97">
        <v>8755.24</v>
      </c>
      <c r="O35" s="93">
        <f t="shared" si="1"/>
        <v>0</v>
      </c>
      <c r="P35" s="123">
        <v>8</v>
      </c>
      <c r="Q35" s="124">
        <v>8</v>
      </c>
      <c r="R35" s="124">
        <v>8</v>
      </c>
      <c r="S35" s="97">
        <v>9249.99</v>
      </c>
      <c r="T35" s="97">
        <v>9249.99</v>
      </c>
      <c r="U35" s="97">
        <f t="shared" si="2"/>
        <v>0</v>
      </c>
      <c r="V35" s="161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3" t="s">
        <v>42</v>
      </c>
      <c r="D36" s="100" t="s">
        <v>124</v>
      </c>
      <c r="E36" s="101"/>
      <c r="F36" s="17" t="s">
        <v>106</v>
      </c>
      <c r="G36" s="72" t="s">
        <v>221</v>
      </c>
      <c r="H36" s="77">
        <v>10</v>
      </c>
      <c r="I36" s="75">
        <v>3</v>
      </c>
      <c r="J36" s="75">
        <v>3</v>
      </c>
      <c r="K36" s="75">
        <v>3</v>
      </c>
      <c r="L36" s="75">
        <v>2</v>
      </c>
      <c r="M36" s="97">
        <v>2360</v>
      </c>
      <c r="N36" s="97">
        <v>2360</v>
      </c>
      <c r="O36" s="93">
        <f t="shared" si="1"/>
        <v>0</v>
      </c>
      <c r="P36" s="123">
        <v>4</v>
      </c>
      <c r="Q36" s="124">
        <v>4</v>
      </c>
      <c r="R36" s="124">
        <v>4</v>
      </c>
      <c r="S36" s="97">
        <f>1436.08+3433.93</f>
        <v>4870.01</v>
      </c>
      <c r="T36" s="97">
        <f>1436.08+3433.93</f>
        <v>4870.01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3" t="s">
        <v>43</v>
      </c>
      <c r="D37" s="100" t="s">
        <v>124</v>
      </c>
      <c r="E37" s="101"/>
      <c r="F37" s="17" t="s">
        <v>106</v>
      </c>
      <c r="G37" s="72" t="s">
        <v>161</v>
      </c>
      <c r="H37" s="77">
        <v>9</v>
      </c>
      <c r="I37" s="75">
        <v>6</v>
      </c>
      <c r="J37" s="75">
        <v>7</v>
      </c>
      <c r="K37" s="75">
        <v>7</v>
      </c>
      <c r="L37" s="75">
        <v>7</v>
      </c>
      <c r="M37" s="97">
        <f>4126.56+990.2</f>
        <v>5116.76</v>
      </c>
      <c r="N37" s="97">
        <f>4126.56-275.6</f>
        <v>3850.9600000000005</v>
      </c>
      <c r="O37" s="93">
        <f t="shared" si="1"/>
        <v>1265.7999999999997</v>
      </c>
      <c r="P37" s="123">
        <v>2</v>
      </c>
      <c r="Q37" s="124">
        <v>1</v>
      </c>
      <c r="R37" s="124">
        <v>1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1" t="s">
        <v>44</v>
      </c>
      <c r="D38" s="100" t="s">
        <v>124</v>
      </c>
      <c r="E38" s="101"/>
      <c r="F38" s="17" t="s">
        <v>105</v>
      </c>
      <c r="G38" s="72" t="s">
        <v>162</v>
      </c>
      <c r="H38" s="77">
        <v>41</v>
      </c>
      <c r="I38" s="75">
        <v>17</v>
      </c>
      <c r="J38" s="75">
        <v>23</v>
      </c>
      <c r="K38" s="75">
        <v>23</v>
      </c>
      <c r="L38" s="75">
        <v>23</v>
      </c>
      <c r="M38" s="97">
        <f>18043.85+1739.74</f>
        <v>19783.59</v>
      </c>
      <c r="N38" s="97">
        <v>18043.849999999999</v>
      </c>
      <c r="O38" s="93">
        <f t="shared" si="1"/>
        <v>1739.7400000000016</v>
      </c>
      <c r="P38" s="123">
        <v>18</v>
      </c>
      <c r="Q38" s="124">
        <v>18</v>
      </c>
      <c r="R38" s="124">
        <v>18</v>
      </c>
      <c r="S38" s="97">
        <v>22326.77</v>
      </c>
      <c r="T38" s="97">
        <v>22326.77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1" t="s">
        <v>45</v>
      </c>
      <c r="D39" s="100" t="s">
        <v>124</v>
      </c>
      <c r="E39" s="101"/>
      <c r="F39" s="17" t="s">
        <v>111</v>
      </c>
      <c r="G39" s="72" t="s">
        <v>163</v>
      </c>
      <c r="H39" s="77">
        <v>19</v>
      </c>
      <c r="I39" s="75">
        <v>8</v>
      </c>
      <c r="J39" s="75">
        <v>11</v>
      </c>
      <c r="K39" s="75">
        <v>11</v>
      </c>
      <c r="L39" s="75">
        <v>11</v>
      </c>
      <c r="M39" s="97">
        <f>4309.67+3353.38</f>
        <v>7663.05</v>
      </c>
      <c r="N39" s="97">
        <v>4309.67</v>
      </c>
      <c r="O39" s="93">
        <f t="shared" si="1"/>
        <v>3353.38</v>
      </c>
      <c r="P39" s="123">
        <v>3</v>
      </c>
      <c r="Q39" s="124">
        <v>3</v>
      </c>
      <c r="R39" s="124">
        <v>3</v>
      </c>
      <c r="S39" s="97">
        <v>84.92</v>
      </c>
      <c r="T39" s="97">
        <v>84.92</v>
      </c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0" t="s">
        <v>46</v>
      </c>
      <c r="D40" s="100" t="s">
        <v>124</v>
      </c>
      <c r="E40" s="101"/>
      <c r="F40" s="17" t="s">
        <v>106</v>
      </c>
      <c r="G40" s="72" t="s">
        <v>164</v>
      </c>
      <c r="H40" s="77">
        <v>6</v>
      </c>
      <c r="I40" s="75">
        <v>5</v>
      </c>
      <c r="J40" s="75">
        <v>5</v>
      </c>
      <c r="K40" s="75">
        <v>5</v>
      </c>
      <c r="L40" s="75">
        <v>5</v>
      </c>
      <c r="M40" s="97">
        <v>5430.01</v>
      </c>
      <c r="N40" s="97">
        <v>5430.01</v>
      </c>
      <c r="O40" s="93">
        <f t="shared" si="1"/>
        <v>0</v>
      </c>
      <c r="P40" s="123">
        <v>4</v>
      </c>
      <c r="Q40" s="12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0" t="s">
        <v>47</v>
      </c>
      <c r="D41" s="100" t="s">
        <v>124</v>
      </c>
      <c r="E41" s="101"/>
      <c r="F41" s="17" t="s">
        <v>116</v>
      </c>
      <c r="G41" s="72" t="s">
        <v>165</v>
      </c>
      <c r="H41" s="77">
        <v>10</v>
      </c>
      <c r="I41" s="75">
        <v>7</v>
      </c>
      <c r="J41" s="75">
        <v>8</v>
      </c>
      <c r="K41" s="75">
        <v>8</v>
      </c>
      <c r="L41" s="75">
        <v>8</v>
      </c>
      <c r="M41" s="97">
        <v>4892.78</v>
      </c>
      <c r="N41" s="97">
        <v>4892.78</v>
      </c>
      <c r="O41" s="93">
        <f t="shared" si="1"/>
        <v>0</v>
      </c>
      <c r="P41" s="123">
        <v>3</v>
      </c>
      <c r="Q41" s="124">
        <v>3</v>
      </c>
      <c r="R41" s="124">
        <v>3</v>
      </c>
      <c r="S41" s="97">
        <v>1842.88</v>
      </c>
      <c r="T41" s="97">
        <v>1842.88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3" t="s">
        <v>48</v>
      </c>
      <c r="D42" s="100" t="s">
        <v>124</v>
      </c>
      <c r="E42" s="101"/>
      <c r="F42" s="17" t="s">
        <v>106</v>
      </c>
      <c r="G42" s="72" t="s">
        <v>166</v>
      </c>
      <c r="H42" s="77">
        <v>9</v>
      </c>
      <c r="I42" s="75">
        <v>4</v>
      </c>
      <c r="J42" s="75">
        <v>4</v>
      </c>
      <c r="K42" s="75">
        <v>4</v>
      </c>
      <c r="L42" s="75">
        <v>4</v>
      </c>
      <c r="M42" s="97">
        <v>5095.29</v>
      </c>
      <c r="N42" s="97">
        <v>5095.29</v>
      </c>
      <c r="O42" s="93">
        <f t="shared" si="1"/>
        <v>0</v>
      </c>
      <c r="P42" s="123">
        <v>5</v>
      </c>
      <c r="Q42" s="124">
        <v>5</v>
      </c>
      <c r="R42" s="124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0" t="s">
        <v>49</v>
      </c>
      <c r="D43" s="100" t="s">
        <v>124</v>
      </c>
      <c r="E43" s="101"/>
      <c r="F43" s="17" t="s">
        <v>106</v>
      </c>
      <c r="G43" s="72" t="s">
        <v>167</v>
      </c>
      <c r="H43" s="77">
        <v>13</v>
      </c>
      <c r="I43" s="75">
        <v>6</v>
      </c>
      <c r="J43" s="75">
        <v>7</v>
      </c>
      <c r="K43" s="75">
        <v>7</v>
      </c>
      <c r="L43" s="75">
        <v>7</v>
      </c>
      <c r="M43" s="97">
        <f>1949.94+11241.95</f>
        <v>13191.890000000001</v>
      </c>
      <c r="N43" s="97">
        <v>1949.94</v>
      </c>
      <c r="O43" s="93">
        <f t="shared" si="1"/>
        <v>11241.95</v>
      </c>
      <c r="P43" s="123">
        <v>7</v>
      </c>
      <c r="Q43" s="124">
        <v>6</v>
      </c>
      <c r="R43" s="124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3" t="s">
        <v>50</v>
      </c>
      <c r="D44" s="100" t="s">
        <v>124</v>
      </c>
      <c r="E44" s="101"/>
      <c r="F44" s="17" t="s">
        <v>106</v>
      </c>
      <c r="G44" s="72" t="s">
        <v>168</v>
      </c>
      <c r="H44" s="77">
        <v>6</v>
      </c>
      <c r="I44" s="75">
        <v>5</v>
      </c>
      <c r="J44" s="75">
        <v>8</v>
      </c>
      <c r="K44" s="75">
        <v>8</v>
      </c>
      <c r="L44" s="75">
        <v>8</v>
      </c>
      <c r="M44" s="97">
        <v>9600.9500000000007</v>
      </c>
      <c r="N44" s="97">
        <v>9600.9500000000007</v>
      </c>
      <c r="O44" s="93">
        <f t="shared" si="1"/>
        <v>0</v>
      </c>
      <c r="P44" s="123">
        <v>5</v>
      </c>
      <c r="Q44" s="124">
        <v>5</v>
      </c>
      <c r="R44" s="124">
        <v>4</v>
      </c>
      <c r="S44" s="97">
        <f>3997.92+850.65</f>
        <v>4848.57</v>
      </c>
      <c r="T44" s="97">
        <f>3997.92+850.65</f>
        <v>4848.57</v>
      </c>
      <c r="U44" s="97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1" t="s">
        <v>51</v>
      </c>
      <c r="D45" s="100" t="s">
        <v>124</v>
      </c>
      <c r="E45" s="101"/>
      <c r="F45" s="22" t="s">
        <v>112</v>
      </c>
      <c r="G45" s="72"/>
      <c r="H45" s="77"/>
      <c r="I45" s="75"/>
      <c r="J45" s="75"/>
      <c r="K45" s="75"/>
      <c r="L45" s="75"/>
      <c r="M45" s="97"/>
      <c r="N45" s="97"/>
      <c r="O45" s="93">
        <f t="shared" si="1"/>
        <v>0</v>
      </c>
      <c r="P45" s="123"/>
      <c r="Q45" s="124"/>
      <c r="R45" s="124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1" t="s">
        <v>131</v>
      </c>
      <c r="D46" s="100" t="s">
        <v>124</v>
      </c>
      <c r="E46" s="101"/>
      <c r="F46" s="22" t="s">
        <v>106</v>
      </c>
      <c r="G46" s="72" t="s">
        <v>171</v>
      </c>
      <c r="H46" s="77">
        <v>8</v>
      </c>
      <c r="I46" s="75"/>
      <c r="J46" s="75"/>
      <c r="K46" s="75"/>
      <c r="L46" s="75"/>
      <c r="M46" s="97"/>
      <c r="N46" s="97"/>
      <c r="O46" s="93">
        <f t="shared" si="1"/>
        <v>0</v>
      </c>
      <c r="P46" s="123">
        <v>2</v>
      </c>
      <c r="Q46" s="124">
        <v>2</v>
      </c>
      <c r="R46" s="124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3" t="s">
        <v>52</v>
      </c>
      <c r="D47" s="100" t="s">
        <v>124</v>
      </c>
      <c r="E47" s="101"/>
      <c r="F47" s="17" t="s">
        <v>106</v>
      </c>
      <c r="G47" s="72" t="s">
        <v>169</v>
      </c>
      <c r="H47" s="77">
        <v>24</v>
      </c>
      <c r="I47" s="75">
        <v>16</v>
      </c>
      <c r="J47" s="75">
        <v>21</v>
      </c>
      <c r="K47" s="75">
        <v>19</v>
      </c>
      <c r="L47" s="75">
        <v>19</v>
      </c>
      <c r="M47" s="97">
        <f>9335.56+3507.6</f>
        <v>12843.16</v>
      </c>
      <c r="N47" s="97">
        <v>9335.56</v>
      </c>
      <c r="O47" s="93">
        <f t="shared" si="1"/>
        <v>3507.6000000000004</v>
      </c>
      <c r="P47" s="123">
        <v>2</v>
      </c>
      <c r="Q47" s="124">
        <v>2</v>
      </c>
      <c r="R47" s="124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0" t="s">
        <v>53</v>
      </c>
      <c r="D48" s="100" t="s">
        <v>124</v>
      </c>
      <c r="E48" s="101"/>
      <c r="F48" s="17" t="s">
        <v>105</v>
      </c>
      <c r="G48" s="72" t="s">
        <v>170</v>
      </c>
      <c r="H48" s="77">
        <v>11</v>
      </c>
      <c r="I48" s="75">
        <v>5</v>
      </c>
      <c r="J48" s="75">
        <v>8</v>
      </c>
      <c r="K48" s="75">
        <v>8</v>
      </c>
      <c r="L48" s="75">
        <v>8</v>
      </c>
      <c r="M48" s="97">
        <f>8890.84+1828.05</f>
        <v>10718.89</v>
      </c>
      <c r="N48" s="97">
        <v>8890.84</v>
      </c>
      <c r="O48" s="93">
        <f t="shared" si="1"/>
        <v>1828.0499999999993</v>
      </c>
      <c r="P48" s="123">
        <v>3</v>
      </c>
      <c r="Q48" s="12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0" t="s">
        <v>54</v>
      </c>
      <c r="D49" s="100" t="s">
        <v>124</v>
      </c>
      <c r="E49" s="101"/>
      <c r="F49" s="17" t="s">
        <v>106</v>
      </c>
      <c r="G49" s="72" t="s">
        <v>172</v>
      </c>
      <c r="H49" s="77">
        <v>14</v>
      </c>
      <c r="I49" s="75">
        <v>4</v>
      </c>
      <c r="J49" s="75">
        <v>8</v>
      </c>
      <c r="K49" s="75">
        <v>4</v>
      </c>
      <c r="L49" s="75">
        <v>4</v>
      </c>
      <c r="M49" s="97">
        <v>1831.71</v>
      </c>
      <c r="N49" s="97">
        <v>1831.71</v>
      </c>
      <c r="O49" s="93">
        <f t="shared" si="1"/>
        <v>0</v>
      </c>
      <c r="P49" s="123">
        <v>8</v>
      </c>
      <c r="Q49" s="124">
        <v>8</v>
      </c>
      <c r="R49" s="124">
        <v>8</v>
      </c>
      <c r="S49" s="97">
        <f>8296.23+1378</f>
        <v>9674.23</v>
      </c>
      <c r="T49" s="97">
        <v>8296.23</v>
      </c>
      <c r="U49" s="97">
        <f t="shared" si="2"/>
        <v>1378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0" t="s">
        <v>55</v>
      </c>
      <c r="D50" s="100" t="s">
        <v>124</v>
      </c>
      <c r="E50" s="101"/>
      <c r="F50" s="17" t="s">
        <v>106</v>
      </c>
      <c r="G50" s="72" t="s">
        <v>173</v>
      </c>
      <c r="H50" s="77">
        <v>14</v>
      </c>
      <c r="I50" s="75">
        <v>10</v>
      </c>
      <c r="J50" s="75">
        <v>11</v>
      </c>
      <c r="K50" s="75">
        <v>11</v>
      </c>
      <c r="L50" s="75">
        <v>11</v>
      </c>
      <c r="M50" s="97">
        <f>8308.92+786.44</f>
        <v>9095.36</v>
      </c>
      <c r="N50" s="97">
        <v>8308.92</v>
      </c>
      <c r="O50" s="93">
        <f t="shared" si="1"/>
        <v>786.44000000000051</v>
      </c>
      <c r="P50" s="123">
        <v>6</v>
      </c>
      <c r="Q50" s="124">
        <v>5</v>
      </c>
      <c r="R50" s="124">
        <v>5</v>
      </c>
      <c r="S50" s="97">
        <f>2457.28+1725.6</f>
        <v>4182.88</v>
      </c>
      <c r="T50" s="97">
        <f>2457.28+1725.6</f>
        <v>4182.88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0" t="s">
        <v>56</v>
      </c>
      <c r="D51" s="100" t="s">
        <v>124</v>
      </c>
      <c r="E51" s="101"/>
      <c r="F51" s="17" t="s">
        <v>106</v>
      </c>
      <c r="G51" s="72" t="s">
        <v>174</v>
      </c>
      <c r="H51" s="77">
        <v>15</v>
      </c>
      <c r="I51" s="75">
        <v>7</v>
      </c>
      <c r="J51" s="75">
        <v>8</v>
      </c>
      <c r="K51" s="75">
        <v>8</v>
      </c>
      <c r="L51" s="75">
        <v>8</v>
      </c>
      <c r="M51" s="97">
        <f>5580.75+571.11</f>
        <v>6151.86</v>
      </c>
      <c r="N51" s="97">
        <v>5580.75</v>
      </c>
      <c r="O51" s="93">
        <f t="shared" si="1"/>
        <v>571.10999999999967</v>
      </c>
      <c r="P51" s="123">
        <v>1</v>
      </c>
      <c r="Q51" s="124">
        <v>1</v>
      </c>
      <c r="R51" s="124">
        <v>1</v>
      </c>
      <c r="S51" s="97"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3" t="s">
        <v>57</v>
      </c>
      <c r="D52" s="100" t="s">
        <v>124</v>
      </c>
      <c r="E52" s="101"/>
      <c r="F52" s="17" t="s">
        <v>106</v>
      </c>
      <c r="G52" s="72" t="s">
        <v>175</v>
      </c>
      <c r="H52" s="77">
        <v>13</v>
      </c>
      <c r="I52" s="75">
        <v>7</v>
      </c>
      <c r="J52" s="75">
        <v>8</v>
      </c>
      <c r="K52" s="75">
        <v>8</v>
      </c>
      <c r="L52" s="75">
        <v>8</v>
      </c>
      <c r="M52" s="97">
        <f>3782.6+430.65</f>
        <v>4213.25</v>
      </c>
      <c r="N52" s="97">
        <v>3782.6</v>
      </c>
      <c r="O52" s="93">
        <f t="shared" si="1"/>
        <v>430.65000000000009</v>
      </c>
      <c r="P52" s="123">
        <v>5</v>
      </c>
      <c r="Q52" s="124">
        <v>5</v>
      </c>
      <c r="R52" s="124">
        <v>5</v>
      </c>
      <c r="S52" s="97">
        <f>1535.39+1035.3+828.82</f>
        <v>3399.51</v>
      </c>
      <c r="T52" s="97">
        <f>1535.39+1035.3</f>
        <v>2570.69</v>
      </c>
      <c r="U52" s="97">
        <f t="shared" si="2"/>
        <v>828.82000000000016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3" t="s">
        <v>58</v>
      </c>
      <c r="D53" s="100" t="s">
        <v>124</v>
      </c>
      <c r="E53" s="101"/>
      <c r="F53" s="17" t="s">
        <v>106</v>
      </c>
      <c r="G53" s="72" t="s">
        <v>260</v>
      </c>
      <c r="H53" s="77">
        <v>6</v>
      </c>
      <c r="I53" s="75">
        <v>2</v>
      </c>
      <c r="J53" s="75">
        <v>2</v>
      </c>
      <c r="K53" s="75">
        <v>2</v>
      </c>
      <c r="L53" s="75">
        <v>2</v>
      </c>
      <c r="M53" s="97">
        <v>1102.4000000000001</v>
      </c>
      <c r="N53" s="97"/>
      <c r="O53" s="93">
        <f t="shared" si="1"/>
        <v>1102.4000000000001</v>
      </c>
      <c r="P53" s="123">
        <v>2</v>
      </c>
      <c r="Q53" s="12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3" t="s">
        <v>59</v>
      </c>
      <c r="D54" s="100" t="s">
        <v>124</v>
      </c>
      <c r="E54" s="101"/>
      <c r="F54" s="17" t="s">
        <v>112</v>
      </c>
      <c r="G54" s="72" t="s">
        <v>176</v>
      </c>
      <c r="H54" s="77">
        <v>45</v>
      </c>
      <c r="I54" s="75">
        <v>28</v>
      </c>
      <c r="J54" s="75">
        <v>35</v>
      </c>
      <c r="K54" s="75">
        <v>25</v>
      </c>
      <c r="L54" s="75">
        <v>25</v>
      </c>
      <c r="M54" s="97">
        <v>12031.27</v>
      </c>
      <c r="N54" s="97">
        <f>12031.27-5078.77</f>
        <v>6952.5</v>
      </c>
      <c r="O54" s="93">
        <f t="shared" si="1"/>
        <v>5078.7700000000004</v>
      </c>
      <c r="P54" s="123">
        <v>17</v>
      </c>
      <c r="Q54" s="12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3" t="s">
        <v>60</v>
      </c>
      <c r="D55" s="100" t="s">
        <v>125</v>
      </c>
      <c r="E55" s="106" t="s">
        <v>126</v>
      </c>
      <c r="F55" s="17" t="s">
        <v>106</v>
      </c>
      <c r="G55" s="72" t="s">
        <v>177</v>
      </c>
      <c r="H55" s="77">
        <v>6</v>
      </c>
      <c r="I55" s="75">
        <v>2</v>
      </c>
      <c r="J55" s="75">
        <v>2</v>
      </c>
      <c r="K55" s="75">
        <v>2</v>
      </c>
      <c r="L55" s="75">
        <v>2</v>
      </c>
      <c r="M55" s="97">
        <v>5677.4</v>
      </c>
      <c r="N55" s="97">
        <v>5677.4</v>
      </c>
      <c r="O55" s="93">
        <f t="shared" si="1"/>
        <v>0</v>
      </c>
      <c r="P55" s="123">
        <v>3</v>
      </c>
      <c r="Q55" s="12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1" t="s">
        <v>61</v>
      </c>
      <c r="D56" s="100" t="s">
        <v>124</v>
      </c>
      <c r="E56" s="101"/>
      <c r="F56" s="17" t="s">
        <v>107</v>
      </c>
      <c r="G56" s="72" t="s">
        <v>178</v>
      </c>
      <c r="H56" s="77">
        <v>36</v>
      </c>
      <c r="I56" s="75">
        <v>19</v>
      </c>
      <c r="J56" s="75">
        <v>24</v>
      </c>
      <c r="K56" s="75">
        <v>24</v>
      </c>
      <c r="L56" s="75">
        <v>18</v>
      </c>
      <c r="M56" s="97">
        <v>13145.7</v>
      </c>
      <c r="N56" s="97">
        <f>13145.7-11074.53</f>
        <v>2071.17</v>
      </c>
      <c r="O56" s="93">
        <f t="shared" si="1"/>
        <v>11074.53</v>
      </c>
      <c r="P56" s="123">
        <v>30</v>
      </c>
      <c r="Q56" s="124">
        <v>29</v>
      </c>
      <c r="R56" s="124">
        <v>29</v>
      </c>
      <c r="S56" s="97">
        <v>53733.15</v>
      </c>
      <c r="T56" s="97">
        <v>53733.15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1" t="s">
        <v>134</v>
      </c>
      <c r="D57" s="100" t="s">
        <v>124</v>
      </c>
      <c r="E57" s="101"/>
      <c r="F57" s="17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75">
        <v>3</v>
      </c>
      <c r="L57" s="75">
        <v>3</v>
      </c>
      <c r="M57" s="97">
        <v>1200.96</v>
      </c>
      <c r="N57" s="97">
        <v>1200.96</v>
      </c>
      <c r="O57" s="93">
        <f t="shared" si="1"/>
        <v>0</v>
      </c>
      <c r="P57" s="123"/>
      <c r="Q57" s="124"/>
      <c r="R57" s="124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1" t="s">
        <v>62</v>
      </c>
      <c r="D58" s="100" t="s">
        <v>124</v>
      </c>
      <c r="E58" s="101"/>
      <c r="F58" s="17" t="s">
        <v>106</v>
      </c>
      <c r="G58" s="72" t="s">
        <v>230</v>
      </c>
      <c r="H58" s="77"/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97"/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1" t="s">
        <v>63</v>
      </c>
      <c r="D59" s="100" t="s">
        <v>124</v>
      </c>
      <c r="E59" s="101"/>
      <c r="F59" s="22" t="s">
        <v>112</v>
      </c>
      <c r="G59" s="72" t="s">
        <v>224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1" t="s">
        <v>64</v>
      </c>
      <c r="D60" s="100" t="s">
        <v>124</v>
      </c>
      <c r="E60" s="101"/>
      <c r="F60" s="22" t="s">
        <v>107</v>
      </c>
      <c r="G60" s="72" t="s">
        <v>180</v>
      </c>
      <c r="H60" s="77">
        <v>35</v>
      </c>
      <c r="I60" s="75">
        <v>18</v>
      </c>
      <c r="J60" s="75">
        <v>29</v>
      </c>
      <c r="K60" s="75">
        <v>27</v>
      </c>
      <c r="L60" s="75">
        <v>27</v>
      </c>
      <c r="M60" s="97">
        <f>19657.67+3859.57</f>
        <v>23517.239999999998</v>
      </c>
      <c r="N60" s="97">
        <f>19657.67-290</f>
        <v>19367.669999999998</v>
      </c>
      <c r="O60" s="93">
        <f t="shared" si="1"/>
        <v>4149.57</v>
      </c>
      <c r="P60" s="123">
        <v>6</v>
      </c>
      <c r="Q60" s="124">
        <v>6</v>
      </c>
      <c r="R60" s="124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1" t="s">
        <v>135</v>
      </c>
      <c r="D61" s="100" t="s">
        <v>124</v>
      </c>
      <c r="E61" s="101"/>
      <c r="F61" s="22" t="s">
        <v>111</v>
      </c>
      <c r="G61" s="72" t="s">
        <v>181</v>
      </c>
      <c r="H61" s="77">
        <v>14</v>
      </c>
      <c r="I61" s="75">
        <v>8</v>
      </c>
      <c r="J61" s="75">
        <v>10</v>
      </c>
      <c r="K61" s="75">
        <v>8</v>
      </c>
      <c r="L61" s="75">
        <v>8</v>
      </c>
      <c r="M61" s="97">
        <f>3986.21+989.8</f>
        <v>4976.01</v>
      </c>
      <c r="N61" s="97">
        <v>3986.21</v>
      </c>
      <c r="O61" s="93">
        <f t="shared" si="1"/>
        <v>989.80000000000018</v>
      </c>
      <c r="P61" s="123"/>
      <c r="Q61" s="124"/>
      <c r="R61" s="124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3" t="s">
        <v>65</v>
      </c>
      <c r="D62" s="100" t="s">
        <v>124</v>
      </c>
      <c r="E62" s="101"/>
      <c r="F62" s="17" t="s">
        <v>106</v>
      </c>
      <c r="G62" s="72" t="s">
        <v>182</v>
      </c>
      <c r="H62" s="77">
        <v>13</v>
      </c>
      <c r="I62" s="75">
        <v>9</v>
      </c>
      <c r="J62" s="75">
        <v>9</v>
      </c>
      <c r="K62" s="75">
        <v>9</v>
      </c>
      <c r="L62" s="75">
        <v>9</v>
      </c>
      <c r="M62" s="97">
        <f>1263.45+2111.32+5011.35</f>
        <v>8386.1200000000008</v>
      </c>
      <c r="N62" s="97">
        <f>1263.45+2111.32</f>
        <v>3374.7700000000004</v>
      </c>
      <c r="O62" s="93">
        <f t="shared" si="1"/>
        <v>5011.3500000000004</v>
      </c>
      <c r="P62" s="123">
        <v>7</v>
      </c>
      <c r="Q62" s="124">
        <v>7</v>
      </c>
      <c r="R62" s="124">
        <v>7</v>
      </c>
      <c r="S62" s="97">
        <f>740.14+4736.32+577.79</f>
        <v>6054.25</v>
      </c>
      <c r="T62" s="97">
        <f>740.14+4736.32</f>
        <v>5476.46</v>
      </c>
      <c r="U62" s="97">
        <f t="shared" si="2"/>
        <v>577.79</v>
      </c>
      <c r="V62" s="161"/>
    </row>
    <row r="63" spans="1:40" ht="20.100000000000001" customHeight="1" x14ac:dyDescent="0.25">
      <c r="B63" s="99">
        <f t="shared" si="3"/>
        <v>54</v>
      </c>
      <c r="C63" s="13" t="s">
        <v>66</v>
      </c>
      <c r="D63" s="100" t="s">
        <v>124</v>
      </c>
      <c r="E63" s="101"/>
      <c r="F63" s="17" t="s">
        <v>112</v>
      </c>
      <c r="G63" s="72" t="s">
        <v>227</v>
      </c>
      <c r="H63" s="77"/>
      <c r="I63" s="75"/>
      <c r="J63" s="75"/>
      <c r="K63" s="75"/>
      <c r="L63" s="75"/>
      <c r="M63" s="97">
        <v>482.3</v>
      </c>
      <c r="N63" s="97">
        <v>482.3</v>
      </c>
      <c r="O63" s="93">
        <f t="shared" si="1"/>
        <v>0</v>
      </c>
      <c r="P63" s="123">
        <v>28</v>
      </c>
      <c r="Q63" s="124">
        <v>28</v>
      </c>
      <c r="R63" s="124">
        <v>28</v>
      </c>
      <c r="S63" s="97">
        <v>9392.68</v>
      </c>
      <c r="T63" s="97">
        <v>9392.68</v>
      </c>
      <c r="U63" s="97">
        <f t="shared" si="2"/>
        <v>0</v>
      </c>
      <c r="V63" s="161"/>
    </row>
    <row r="64" spans="1:40" ht="20.100000000000001" customHeight="1" x14ac:dyDescent="0.25">
      <c r="A64" s="155">
        <v>50</v>
      </c>
      <c r="B64" s="99">
        <f t="shared" si="3"/>
        <v>55</v>
      </c>
      <c r="C64" s="10" t="s">
        <v>67</v>
      </c>
      <c r="D64" s="100" t="s">
        <v>124</v>
      </c>
      <c r="E64" s="101"/>
      <c r="F64" s="17" t="s">
        <v>106</v>
      </c>
      <c r="G64" s="72" t="s">
        <v>183</v>
      </c>
      <c r="H64" s="77">
        <v>19</v>
      </c>
      <c r="I64" s="75">
        <v>10</v>
      </c>
      <c r="J64" s="75">
        <v>12</v>
      </c>
      <c r="K64" s="75">
        <v>12</v>
      </c>
      <c r="L64" s="75">
        <v>11</v>
      </c>
      <c r="M64" s="97">
        <v>6496.16</v>
      </c>
      <c r="N64" s="97">
        <v>6496.16</v>
      </c>
      <c r="O64" s="93">
        <f t="shared" si="1"/>
        <v>0</v>
      </c>
      <c r="P64" s="123">
        <v>9</v>
      </c>
      <c r="Q64" s="124">
        <v>9</v>
      </c>
      <c r="R64" s="124">
        <v>9</v>
      </c>
      <c r="S64" s="97">
        <v>6866.56</v>
      </c>
      <c r="T64" s="97">
        <v>6866.56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0" t="s">
        <v>68</v>
      </c>
      <c r="D65" s="100" t="s">
        <v>124</v>
      </c>
      <c r="E65" s="101"/>
      <c r="F65" s="17" t="s">
        <v>111</v>
      </c>
      <c r="G65" s="72" t="s">
        <v>184</v>
      </c>
      <c r="H65" s="77">
        <v>30</v>
      </c>
      <c r="I65" s="75">
        <v>21</v>
      </c>
      <c r="J65" s="75">
        <v>26</v>
      </c>
      <c r="K65" s="75">
        <v>24</v>
      </c>
      <c r="L65" s="75">
        <v>24</v>
      </c>
      <c r="M65" s="97">
        <f>21561.61+5719.7</f>
        <v>27281.31</v>
      </c>
      <c r="N65" s="97">
        <v>21561.61</v>
      </c>
      <c r="O65" s="93">
        <f t="shared" si="1"/>
        <v>5719.7000000000007</v>
      </c>
      <c r="P65" s="123">
        <v>10</v>
      </c>
      <c r="Q65" s="124">
        <v>10</v>
      </c>
      <c r="R65" s="124">
        <v>10</v>
      </c>
      <c r="S65" s="97">
        <v>7456.7</v>
      </c>
      <c r="T65" s="97">
        <v>7456.7</v>
      </c>
      <c r="U65" s="97">
        <f t="shared" si="2"/>
        <v>0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3" t="s">
        <v>69</v>
      </c>
      <c r="D66" s="100" t="s">
        <v>124</v>
      </c>
      <c r="E66" s="101"/>
      <c r="F66" s="17" t="s">
        <v>106</v>
      </c>
      <c r="G66" s="72" t="s">
        <v>185</v>
      </c>
      <c r="H66" s="77">
        <v>3</v>
      </c>
      <c r="I66" s="75">
        <v>2</v>
      </c>
      <c r="J66" s="75">
        <v>3</v>
      </c>
      <c r="K66" s="75">
        <v>3</v>
      </c>
      <c r="L66" s="75">
        <v>3</v>
      </c>
      <c r="M66" s="97">
        <f>463.83+1653.6</f>
        <v>2117.4299999999998</v>
      </c>
      <c r="N66" s="97">
        <f>463.83+1653.6</f>
        <v>2117.4299999999998</v>
      </c>
      <c r="O66" s="93">
        <f t="shared" si="1"/>
        <v>0</v>
      </c>
      <c r="P66" s="123">
        <v>4</v>
      </c>
      <c r="Q66" s="12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1" t="s">
        <v>70</v>
      </c>
      <c r="D67" s="100" t="s">
        <v>124</v>
      </c>
      <c r="E67" s="101"/>
      <c r="F67" s="17" t="s">
        <v>107</v>
      </c>
      <c r="G67" s="72" t="s">
        <v>186</v>
      </c>
      <c r="H67" s="77">
        <v>32</v>
      </c>
      <c r="I67" s="75">
        <v>23</v>
      </c>
      <c r="J67" s="75">
        <v>29</v>
      </c>
      <c r="K67" s="75">
        <v>29</v>
      </c>
      <c r="L67" s="75">
        <v>24</v>
      </c>
      <c r="M67" s="97">
        <v>19710.93</v>
      </c>
      <c r="N67" s="97">
        <v>19710.93</v>
      </c>
      <c r="O67" s="93">
        <f t="shared" si="1"/>
        <v>0</v>
      </c>
      <c r="P67" s="123">
        <v>9</v>
      </c>
      <c r="Q67" s="124">
        <v>7</v>
      </c>
      <c r="R67" s="124">
        <v>7</v>
      </c>
      <c r="S67" s="97">
        <v>8355.57</v>
      </c>
      <c r="T67" s="97">
        <v>8355.57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1" t="s">
        <v>71</v>
      </c>
      <c r="D68" s="100" t="s">
        <v>124</v>
      </c>
      <c r="E68" s="101"/>
      <c r="F68" s="17" t="s">
        <v>117</v>
      </c>
      <c r="G68" s="72" t="s">
        <v>187</v>
      </c>
      <c r="H68" s="77">
        <v>28</v>
      </c>
      <c r="I68" s="75">
        <v>17</v>
      </c>
      <c r="J68" s="75">
        <v>26</v>
      </c>
      <c r="K68" s="75">
        <v>26</v>
      </c>
      <c r="L68" s="75">
        <v>26</v>
      </c>
      <c r="M68" s="97">
        <v>18750.75</v>
      </c>
      <c r="N68" s="97">
        <v>18750.75</v>
      </c>
      <c r="O68" s="93">
        <f t="shared" si="1"/>
        <v>0</v>
      </c>
      <c r="P68" s="123">
        <v>10</v>
      </c>
      <c r="Q68" s="124">
        <v>10</v>
      </c>
      <c r="R68" s="124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1" t="s">
        <v>72</v>
      </c>
      <c r="D69" s="100" t="s">
        <v>125</v>
      </c>
      <c r="E69" s="106" t="s">
        <v>126</v>
      </c>
      <c r="F69" s="17" t="s">
        <v>106</v>
      </c>
      <c r="G69" s="72" t="s">
        <v>188</v>
      </c>
      <c r="H69" s="77">
        <v>7</v>
      </c>
      <c r="I69" s="75">
        <v>3</v>
      </c>
      <c r="J69" s="75">
        <v>3</v>
      </c>
      <c r="K69" s="75">
        <v>3</v>
      </c>
      <c r="L69" s="75">
        <v>3</v>
      </c>
      <c r="M69" s="97">
        <v>2756</v>
      </c>
      <c r="N69" s="97">
        <v>2756</v>
      </c>
      <c r="O69" s="93">
        <f t="shared" si="1"/>
        <v>0</v>
      </c>
      <c r="P69" s="123"/>
      <c r="Q69" s="124"/>
      <c r="R69" s="124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0" t="s">
        <v>73</v>
      </c>
      <c r="D70" s="100" t="s">
        <v>124</v>
      </c>
      <c r="E70" s="101"/>
      <c r="F70" s="17" t="s">
        <v>106</v>
      </c>
      <c r="G70" s="72" t="s">
        <v>189</v>
      </c>
      <c r="H70" s="77">
        <v>7</v>
      </c>
      <c r="I70" s="75">
        <v>4</v>
      </c>
      <c r="J70" s="75">
        <v>4</v>
      </c>
      <c r="K70" s="75">
        <v>4</v>
      </c>
      <c r="L70" s="75">
        <v>4</v>
      </c>
      <c r="M70" s="97">
        <v>2039.44</v>
      </c>
      <c r="N70" s="97">
        <v>2039.44</v>
      </c>
      <c r="O70" s="93">
        <f t="shared" si="1"/>
        <v>0</v>
      </c>
      <c r="P70" s="123">
        <v>4</v>
      </c>
      <c r="Q70" s="124">
        <v>4</v>
      </c>
      <c r="R70" s="124">
        <v>4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1" t="s">
        <v>74</v>
      </c>
      <c r="D71" s="100" t="s">
        <v>124</v>
      </c>
      <c r="E71" s="101"/>
      <c r="F71" s="17" t="s">
        <v>111</v>
      </c>
      <c r="G71" s="72" t="s">
        <v>190</v>
      </c>
      <c r="H71" s="77">
        <v>17</v>
      </c>
      <c r="I71" s="75">
        <v>4</v>
      </c>
      <c r="J71" s="75">
        <v>4</v>
      </c>
      <c r="K71" s="75">
        <v>3</v>
      </c>
      <c r="L71" s="75">
        <v>3</v>
      </c>
      <c r="M71" s="97">
        <v>2383.5300000000002</v>
      </c>
      <c r="N71" s="97">
        <v>2383.5300000000002</v>
      </c>
      <c r="O71" s="93">
        <f t="shared" si="1"/>
        <v>0</v>
      </c>
      <c r="P71" s="123">
        <v>22</v>
      </c>
      <c r="Q71" s="124">
        <v>22</v>
      </c>
      <c r="R71" s="124">
        <v>22</v>
      </c>
      <c r="S71" s="97">
        <v>52337.46</v>
      </c>
      <c r="T71" s="97">
        <v>52337.46</v>
      </c>
      <c r="U71" s="97">
        <f t="shared" si="2"/>
        <v>0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1" t="s">
        <v>75</v>
      </c>
      <c r="D72" s="100" t="s">
        <v>124</v>
      </c>
      <c r="E72" s="101"/>
      <c r="F72" s="17" t="s">
        <v>118</v>
      </c>
      <c r="G72" s="72" t="s">
        <v>191</v>
      </c>
      <c r="H72" s="77">
        <v>7</v>
      </c>
      <c r="I72" s="75">
        <v>3</v>
      </c>
      <c r="J72" s="75">
        <v>4</v>
      </c>
      <c r="K72" s="75">
        <v>4</v>
      </c>
      <c r="L72" s="75">
        <v>4</v>
      </c>
      <c r="M72" s="97">
        <v>4703.53</v>
      </c>
      <c r="N72" s="97">
        <v>4703.53</v>
      </c>
      <c r="O72" s="93">
        <f t="shared" si="1"/>
        <v>0</v>
      </c>
      <c r="P72" s="123">
        <v>7</v>
      </c>
      <c r="Q72" s="12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0" t="s">
        <v>76</v>
      </c>
      <c r="D73" s="100" t="s">
        <v>124</v>
      </c>
      <c r="E73" s="101"/>
      <c r="F73" s="10" t="s">
        <v>105</v>
      </c>
      <c r="G73" s="72" t="s">
        <v>192</v>
      </c>
      <c r="H73" s="77">
        <v>10</v>
      </c>
      <c r="I73" s="75">
        <v>6</v>
      </c>
      <c r="J73" s="75">
        <v>6</v>
      </c>
      <c r="K73" s="75">
        <v>6</v>
      </c>
      <c r="L73" s="75">
        <v>6</v>
      </c>
      <c r="M73" s="97">
        <f>2095.52+746.9</f>
        <v>2842.42</v>
      </c>
      <c r="N73" s="97">
        <v>2095.52</v>
      </c>
      <c r="O73" s="93">
        <f t="shared" si="1"/>
        <v>746.90000000000009</v>
      </c>
      <c r="P73" s="123">
        <v>5</v>
      </c>
      <c r="Q73" s="124">
        <v>5</v>
      </c>
      <c r="R73" s="124">
        <v>5</v>
      </c>
      <c r="S73" s="97">
        <f>1821.06+4580.19</f>
        <v>6401.25</v>
      </c>
      <c r="T73" s="97">
        <v>1821.06</v>
      </c>
      <c r="U73" s="97">
        <f t="shared" si="2"/>
        <v>4580.1900000000005</v>
      </c>
      <c r="V73" s="161"/>
    </row>
    <row r="74" spans="1:22" ht="20.100000000000001" customHeight="1" x14ac:dyDescent="0.25">
      <c r="B74" s="99">
        <f t="shared" si="3"/>
        <v>65</v>
      </c>
      <c r="C74" s="11" t="s">
        <v>77</v>
      </c>
      <c r="D74" s="100" t="s">
        <v>124</v>
      </c>
      <c r="E74" s="101"/>
      <c r="F74" s="10" t="s">
        <v>111</v>
      </c>
      <c r="G74" s="72" t="s">
        <v>225</v>
      </c>
      <c r="H74" s="77"/>
      <c r="I74" s="75"/>
      <c r="J74" s="75"/>
      <c r="K74" s="75"/>
      <c r="L74" s="75"/>
      <c r="M74" s="97"/>
      <c r="N74" s="97"/>
      <c r="O74" s="93">
        <f t="shared" si="1"/>
        <v>0</v>
      </c>
      <c r="P74" s="123">
        <v>1</v>
      </c>
      <c r="Q74" s="12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0" t="s">
        <v>78</v>
      </c>
      <c r="D75" s="100" t="s">
        <v>124</v>
      </c>
      <c r="E75" s="101"/>
      <c r="F75" s="23" t="s">
        <v>119</v>
      </c>
      <c r="G75" s="72" t="s">
        <v>193</v>
      </c>
      <c r="H75" s="77">
        <v>7</v>
      </c>
      <c r="I75" s="75">
        <v>3</v>
      </c>
      <c r="J75" s="75">
        <v>3</v>
      </c>
      <c r="K75" s="75">
        <v>3</v>
      </c>
      <c r="L75" s="75">
        <v>3</v>
      </c>
      <c r="M75" s="97">
        <f>275.6+741.36</f>
        <v>1016.96</v>
      </c>
      <c r="N75" s="97">
        <v>275.60000000000002</v>
      </c>
      <c r="O75" s="93">
        <f t="shared" ref="O75:O104" si="4" xml:space="preserve"> (M75-N75)</f>
        <v>741.36</v>
      </c>
      <c r="P75" s="123">
        <v>3</v>
      </c>
      <c r="Q75" s="124">
        <v>3</v>
      </c>
      <c r="R75" s="124">
        <v>3</v>
      </c>
      <c r="S75" s="97">
        <f>617.03+725.77</f>
        <v>1342.8</v>
      </c>
      <c r="T75" s="97">
        <v>617.03</v>
      </c>
      <c r="U75" s="97">
        <f t="shared" ref="U75:U104" si="5" xml:space="preserve"> (S75-T75)</f>
        <v>725.77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1" t="s">
        <v>79</v>
      </c>
      <c r="D76" s="100" t="s">
        <v>124</v>
      </c>
      <c r="E76" s="101"/>
      <c r="F76" s="17" t="s">
        <v>106</v>
      </c>
      <c r="G76" s="72" t="s">
        <v>194</v>
      </c>
      <c r="H76" s="77">
        <v>22</v>
      </c>
      <c r="I76" s="75">
        <v>11</v>
      </c>
      <c r="J76" s="75">
        <v>15</v>
      </c>
      <c r="K76" s="75">
        <v>15</v>
      </c>
      <c r="L76" s="75">
        <v>15</v>
      </c>
      <c r="M76" s="97">
        <f>11803.63+1320.23</f>
        <v>13123.859999999999</v>
      </c>
      <c r="N76" s="97">
        <v>11803.63</v>
      </c>
      <c r="O76" s="93">
        <f t="shared" si="4"/>
        <v>1320.2299999999996</v>
      </c>
      <c r="P76" s="123">
        <v>5</v>
      </c>
      <c r="Q76" s="124">
        <v>5</v>
      </c>
      <c r="R76" s="124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1" t="s">
        <v>80</v>
      </c>
      <c r="D77" s="100" t="s">
        <v>124</v>
      </c>
      <c r="E77" s="101"/>
      <c r="F77" s="17" t="s">
        <v>106</v>
      </c>
      <c r="G77" s="72" t="s">
        <v>195</v>
      </c>
      <c r="H77" s="77">
        <v>13</v>
      </c>
      <c r="I77" s="75">
        <v>5</v>
      </c>
      <c r="J77" s="75">
        <v>5</v>
      </c>
      <c r="K77" s="75">
        <v>5</v>
      </c>
      <c r="L77" s="75">
        <v>5</v>
      </c>
      <c r="M77" s="97">
        <v>4234.67</v>
      </c>
      <c r="N77" s="97">
        <v>4234.67</v>
      </c>
      <c r="O77" s="93">
        <f t="shared" si="4"/>
        <v>0</v>
      </c>
      <c r="P77" s="123"/>
      <c r="Q77" s="124"/>
      <c r="R77" s="124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4" t="s">
        <v>81</v>
      </c>
      <c r="D78" s="100" t="s">
        <v>124</v>
      </c>
      <c r="E78" s="101"/>
      <c r="F78" s="10" t="s">
        <v>106</v>
      </c>
      <c r="G78" s="72" t="s">
        <v>226</v>
      </c>
      <c r="H78" s="77"/>
      <c r="I78" s="75"/>
      <c r="J78" s="75"/>
      <c r="K78" s="75"/>
      <c r="L78" s="75"/>
      <c r="M78" s="97"/>
      <c r="N78" s="97"/>
      <c r="O78" s="93">
        <f t="shared" si="4"/>
        <v>0</v>
      </c>
      <c r="P78" s="123">
        <v>8</v>
      </c>
      <c r="Q78" s="12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4" t="s">
        <v>82</v>
      </c>
      <c r="D79" s="100" t="s">
        <v>124</v>
      </c>
      <c r="E79" s="101"/>
      <c r="F79" s="10" t="s">
        <v>106</v>
      </c>
      <c r="G79" s="72" t="s">
        <v>196</v>
      </c>
      <c r="H79" s="77">
        <v>15</v>
      </c>
      <c r="I79" s="75">
        <v>10</v>
      </c>
      <c r="J79" s="75">
        <v>13</v>
      </c>
      <c r="K79" s="75">
        <v>13</v>
      </c>
      <c r="L79" s="75">
        <v>13</v>
      </c>
      <c r="M79" s="97">
        <f>8913.81+7027.61</f>
        <v>15941.419999999998</v>
      </c>
      <c r="N79" s="97">
        <v>8913.81</v>
      </c>
      <c r="O79" s="93">
        <f t="shared" si="4"/>
        <v>7027.6099999999988</v>
      </c>
      <c r="P79" s="123">
        <v>1</v>
      </c>
      <c r="Q79" s="124">
        <v>1</v>
      </c>
      <c r="R79" s="124">
        <v>1</v>
      </c>
      <c r="S79" s="97">
        <v>275.60000000000002</v>
      </c>
      <c r="T79" s="97">
        <v>275.60000000000002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4" t="s">
        <v>83</v>
      </c>
      <c r="D80" s="100" t="s">
        <v>124</v>
      </c>
      <c r="E80" s="101"/>
      <c r="F80" s="10" t="s">
        <v>106</v>
      </c>
      <c r="G80" s="72" t="s">
        <v>197</v>
      </c>
      <c r="H80" s="77">
        <v>16</v>
      </c>
      <c r="I80" s="75">
        <v>11</v>
      </c>
      <c r="J80" s="75">
        <v>14</v>
      </c>
      <c r="K80" s="75">
        <v>14</v>
      </c>
      <c r="L80" s="75">
        <v>14</v>
      </c>
      <c r="M80" s="97">
        <f>14959.64+7384.39</f>
        <v>22344.03</v>
      </c>
      <c r="N80" s="97">
        <v>14959.64</v>
      </c>
      <c r="O80" s="93">
        <f t="shared" si="4"/>
        <v>7384.3899999999994</v>
      </c>
      <c r="P80" s="123">
        <v>8</v>
      </c>
      <c r="Q80" s="124">
        <v>8</v>
      </c>
      <c r="R80" s="124">
        <v>8</v>
      </c>
      <c r="S80" s="97">
        <f>13554.7+2057.24</f>
        <v>15611.94</v>
      </c>
      <c r="T80" s="97">
        <v>13554.7</v>
      </c>
      <c r="U80" s="97">
        <f t="shared" si="5"/>
        <v>2057.2399999999998</v>
      </c>
      <c r="V80" s="161"/>
    </row>
    <row r="81" spans="1:22" ht="20.100000000000001" customHeight="1" x14ac:dyDescent="0.25">
      <c r="A81" s="155">
        <v>65</v>
      </c>
      <c r="B81" s="99">
        <f t="shared" si="6"/>
        <v>72</v>
      </c>
      <c r="C81" s="11" t="s">
        <v>84</v>
      </c>
      <c r="D81" s="100" t="s">
        <v>124</v>
      </c>
      <c r="E81" s="101"/>
      <c r="F81" s="10" t="s">
        <v>120</v>
      </c>
      <c r="G81" s="72" t="s">
        <v>198</v>
      </c>
      <c r="H81" s="77">
        <v>1</v>
      </c>
      <c r="I81" s="75"/>
      <c r="J81" s="75"/>
      <c r="K81" s="75"/>
      <c r="L81" s="75"/>
      <c r="M81" s="97"/>
      <c r="N81" s="97"/>
      <c r="O81" s="93">
        <f t="shared" si="4"/>
        <v>0</v>
      </c>
      <c r="P81" s="123"/>
      <c r="Q81" s="124"/>
      <c r="R81" s="124"/>
      <c r="S81" s="97"/>
      <c r="T81" s="97"/>
      <c r="U81" s="97">
        <f t="shared" si="5"/>
        <v>0</v>
      </c>
      <c r="V81" s="161"/>
    </row>
    <row r="82" spans="1:22" ht="20.100000000000001" customHeight="1" x14ac:dyDescent="0.25">
      <c r="A82" s="155">
        <v>66</v>
      </c>
      <c r="B82" s="99">
        <f t="shared" si="6"/>
        <v>73</v>
      </c>
      <c r="C82" s="13" t="s">
        <v>85</v>
      </c>
      <c r="D82" s="100" t="s">
        <v>124</v>
      </c>
      <c r="E82" s="101"/>
      <c r="F82" s="19" t="s">
        <v>106</v>
      </c>
      <c r="G82" s="72" t="s">
        <v>199</v>
      </c>
      <c r="H82" s="77">
        <v>17</v>
      </c>
      <c r="I82" s="75">
        <v>10</v>
      </c>
      <c r="J82" s="75">
        <v>11</v>
      </c>
      <c r="K82" s="75">
        <v>11</v>
      </c>
      <c r="L82" s="75">
        <v>10</v>
      </c>
      <c r="M82" s="97">
        <f>2626.75+8084.46</f>
        <v>10711.21</v>
      </c>
      <c r="N82" s="97">
        <f>2626.75-344.5</f>
        <v>2282.25</v>
      </c>
      <c r="O82" s="93">
        <f t="shared" si="4"/>
        <v>8428.9599999999991</v>
      </c>
      <c r="P82" s="123">
        <v>8</v>
      </c>
      <c r="Q82" s="124">
        <v>8</v>
      </c>
      <c r="R82" s="124">
        <v>8</v>
      </c>
      <c r="S82" s="97">
        <f>15935.59+881.06+1714.6</f>
        <v>18531.25</v>
      </c>
      <c r="T82" s="97">
        <f>15935.59+881.06</f>
        <v>16816.650000000001</v>
      </c>
      <c r="U82" s="97">
        <f t="shared" si="5"/>
        <v>1714.5999999999985</v>
      </c>
      <c r="V82" s="161"/>
    </row>
    <row r="83" spans="1:22" ht="20.100000000000001" customHeight="1" x14ac:dyDescent="0.25">
      <c r="A83" s="155">
        <v>67</v>
      </c>
      <c r="B83" s="99">
        <f t="shared" si="6"/>
        <v>74</v>
      </c>
      <c r="C83" s="10" t="s">
        <v>86</v>
      </c>
      <c r="D83" s="100" t="s">
        <v>124</v>
      </c>
      <c r="E83" s="101"/>
      <c r="F83" s="22" t="s">
        <v>118</v>
      </c>
      <c r="G83" s="72" t="s">
        <v>200</v>
      </c>
      <c r="H83" s="77">
        <v>15</v>
      </c>
      <c r="I83" s="75">
        <v>11</v>
      </c>
      <c r="J83" s="75">
        <v>12</v>
      </c>
      <c r="K83" s="75">
        <v>12</v>
      </c>
      <c r="L83" s="75">
        <v>12</v>
      </c>
      <c r="M83" s="97">
        <f>11232.31+3440.1</f>
        <v>14672.41</v>
      </c>
      <c r="N83" s="97">
        <v>11232.31</v>
      </c>
      <c r="O83" s="93">
        <f t="shared" si="4"/>
        <v>3440.1000000000004</v>
      </c>
      <c r="P83" s="123">
        <v>9</v>
      </c>
      <c r="Q83" s="124">
        <v>6</v>
      </c>
      <c r="R83" s="124">
        <v>6</v>
      </c>
      <c r="S83" s="97">
        <f>6465.89+3406.65</f>
        <v>9872.5400000000009</v>
      </c>
      <c r="T83" s="97">
        <f>6465.89+3406.65</f>
        <v>9872.5400000000009</v>
      </c>
      <c r="U83" s="97">
        <f t="shared" si="5"/>
        <v>0</v>
      </c>
      <c r="V83" s="161"/>
    </row>
    <row r="84" spans="1:22" ht="20.100000000000001" customHeight="1" x14ac:dyDescent="0.25">
      <c r="A84" s="155">
        <v>68</v>
      </c>
      <c r="B84" s="99">
        <f t="shared" si="6"/>
        <v>75</v>
      </c>
      <c r="C84" s="10" t="s">
        <v>87</v>
      </c>
      <c r="D84" s="100" t="s">
        <v>124</v>
      </c>
      <c r="E84" s="101"/>
      <c r="F84" s="22" t="s">
        <v>115</v>
      </c>
      <c r="G84" s="72" t="s">
        <v>201</v>
      </c>
      <c r="H84" s="77">
        <v>13</v>
      </c>
      <c r="I84" s="75">
        <v>6</v>
      </c>
      <c r="J84" s="75">
        <v>8</v>
      </c>
      <c r="K84" s="75">
        <v>8</v>
      </c>
      <c r="L84" s="75">
        <v>8</v>
      </c>
      <c r="M84" s="97">
        <f>5429.56+2272.28</f>
        <v>7701.84</v>
      </c>
      <c r="N84" s="97">
        <f>5429.56-750.84</f>
        <v>4678.72</v>
      </c>
      <c r="O84" s="93">
        <f t="shared" si="4"/>
        <v>3023.12</v>
      </c>
      <c r="P84" s="123">
        <v>1</v>
      </c>
      <c r="Q84" s="12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22" ht="20.100000000000001" customHeight="1" x14ac:dyDescent="0.25">
      <c r="A85" s="155">
        <v>70</v>
      </c>
      <c r="B85" s="99">
        <f t="shared" si="6"/>
        <v>76</v>
      </c>
      <c r="C85" s="11" t="s">
        <v>88</v>
      </c>
      <c r="D85" s="100" t="s">
        <v>124</v>
      </c>
      <c r="E85" s="101"/>
      <c r="F85" s="17" t="s">
        <v>121</v>
      </c>
      <c r="G85" s="72" t="s">
        <v>203</v>
      </c>
      <c r="H85" s="77">
        <v>24</v>
      </c>
      <c r="I85" s="75">
        <v>16</v>
      </c>
      <c r="J85" s="75">
        <v>28</v>
      </c>
      <c r="K85" s="75">
        <v>28</v>
      </c>
      <c r="L85" s="75">
        <v>28</v>
      </c>
      <c r="M85" s="97">
        <f>15506.09+4089.12</f>
        <v>19595.21</v>
      </c>
      <c r="N85" s="97">
        <v>15506.09</v>
      </c>
      <c r="O85" s="93">
        <f t="shared" si="4"/>
        <v>4089.119999999999</v>
      </c>
      <c r="P85" s="123">
        <v>6</v>
      </c>
      <c r="Q85" s="12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22" ht="20.100000000000001" customHeight="1" x14ac:dyDescent="0.25">
      <c r="A86" s="155">
        <v>69</v>
      </c>
      <c r="B86" s="99">
        <f t="shared" si="6"/>
        <v>77</v>
      </c>
      <c r="C86" s="14" t="s">
        <v>89</v>
      </c>
      <c r="D86" s="100" t="s">
        <v>124</v>
      </c>
      <c r="E86" s="101"/>
      <c r="F86" s="19" t="s">
        <v>106</v>
      </c>
      <c r="G86" s="72" t="s">
        <v>202</v>
      </c>
      <c r="H86" s="77">
        <v>9</v>
      </c>
      <c r="I86" s="75">
        <v>4</v>
      </c>
      <c r="J86" s="75">
        <v>4</v>
      </c>
      <c r="K86" s="75">
        <v>4</v>
      </c>
      <c r="L86" s="75">
        <v>4</v>
      </c>
      <c r="M86" s="97">
        <v>1956.76</v>
      </c>
      <c r="N86" s="97"/>
      <c r="O86" s="93">
        <f t="shared" si="4"/>
        <v>1956.76</v>
      </c>
      <c r="P86" s="123">
        <v>2</v>
      </c>
      <c r="Q86" s="12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22" ht="20.100000000000001" customHeight="1" x14ac:dyDescent="0.25">
      <c r="A87" s="155">
        <v>71</v>
      </c>
      <c r="B87" s="99">
        <f t="shared" si="6"/>
        <v>78</v>
      </c>
      <c r="C87" s="14" t="s">
        <v>90</v>
      </c>
      <c r="D87" s="100" t="s">
        <v>124</v>
      </c>
      <c r="E87" s="101"/>
      <c r="F87" s="19" t="s">
        <v>106</v>
      </c>
      <c r="G87" s="72" t="s">
        <v>204</v>
      </c>
      <c r="H87" s="77">
        <v>5</v>
      </c>
      <c r="I87" s="75">
        <v>4</v>
      </c>
      <c r="J87" s="75">
        <v>5</v>
      </c>
      <c r="K87" s="75">
        <v>4</v>
      </c>
      <c r="L87" s="75">
        <v>4</v>
      </c>
      <c r="M87" s="97">
        <f>795.8+4099.92</f>
        <v>4895.72</v>
      </c>
      <c r="N87" s="97">
        <f>795.8+4099.92</f>
        <v>4895.72</v>
      </c>
      <c r="O87" s="93">
        <f t="shared" si="4"/>
        <v>0</v>
      </c>
      <c r="P87" s="123">
        <v>5</v>
      </c>
      <c r="Q87" s="124">
        <v>4</v>
      </c>
      <c r="R87" s="124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  <c r="V87" s="161"/>
    </row>
    <row r="88" spans="1:22" ht="20.100000000000001" customHeight="1" x14ac:dyDescent="0.25">
      <c r="B88" s="99">
        <f t="shared" si="6"/>
        <v>79</v>
      </c>
      <c r="C88" s="10" t="s">
        <v>91</v>
      </c>
      <c r="D88" s="100" t="s">
        <v>124</v>
      </c>
      <c r="E88" s="101"/>
      <c r="F88" s="17" t="s">
        <v>111</v>
      </c>
      <c r="G88" s="72" t="s">
        <v>231</v>
      </c>
      <c r="H88" s="77">
        <v>1</v>
      </c>
      <c r="I88" s="75"/>
      <c r="J88" s="75"/>
      <c r="K88" s="75"/>
      <c r="L88" s="75"/>
      <c r="M88" s="97"/>
      <c r="N88" s="97"/>
      <c r="O88" s="93">
        <f t="shared" si="4"/>
        <v>0</v>
      </c>
      <c r="P88" s="123">
        <v>6</v>
      </c>
      <c r="Q88" s="12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22" ht="20.100000000000001" customHeight="1" x14ac:dyDescent="0.25">
      <c r="A89" s="155">
        <v>72</v>
      </c>
      <c r="B89" s="99">
        <f t="shared" si="6"/>
        <v>80</v>
      </c>
      <c r="C89" s="10" t="s">
        <v>92</v>
      </c>
      <c r="D89" s="100" t="s">
        <v>124</v>
      </c>
      <c r="E89" s="101"/>
      <c r="F89" s="19" t="s">
        <v>106</v>
      </c>
      <c r="G89" s="72" t="s">
        <v>205</v>
      </c>
      <c r="H89" s="77">
        <v>7</v>
      </c>
      <c r="I89" s="75">
        <v>3</v>
      </c>
      <c r="J89" s="75">
        <v>4</v>
      </c>
      <c r="K89" s="75">
        <v>4</v>
      </c>
      <c r="L89" s="75">
        <v>3</v>
      </c>
      <c r="M89" s="97">
        <v>2874.33</v>
      </c>
      <c r="N89" s="97">
        <f>2874.33-380.33</f>
        <v>2494</v>
      </c>
      <c r="O89" s="93">
        <f t="shared" si="4"/>
        <v>380.32999999999993</v>
      </c>
      <c r="P89" s="123">
        <v>5</v>
      </c>
      <c r="Q89" s="124">
        <v>5</v>
      </c>
      <c r="R89" s="124">
        <v>4</v>
      </c>
      <c r="S89" s="97">
        <f>8161.92+1118.75</f>
        <v>9280.67</v>
      </c>
      <c r="T89" s="97">
        <f>8161.92+800.47</f>
        <v>8962.39</v>
      </c>
      <c r="U89" s="97">
        <f t="shared" si="5"/>
        <v>318.28000000000065</v>
      </c>
      <c r="V89" s="161"/>
    </row>
    <row r="90" spans="1:22" ht="20.100000000000001" customHeight="1" x14ac:dyDescent="0.25">
      <c r="A90" s="155">
        <v>73</v>
      </c>
      <c r="B90" s="99">
        <f t="shared" si="6"/>
        <v>81</v>
      </c>
      <c r="C90" s="11" t="s">
        <v>93</v>
      </c>
      <c r="D90" s="100" t="s">
        <v>124</v>
      </c>
      <c r="E90" s="101"/>
      <c r="F90" s="17" t="s">
        <v>122</v>
      </c>
      <c r="G90" s="72" t="s">
        <v>206</v>
      </c>
      <c r="H90" s="77">
        <v>30</v>
      </c>
      <c r="I90" s="75">
        <v>20</v>
      </c>
      <c r="J90" s="75">
        <v>37</v>
      </c>
      <c r="K90" s="75">
        <v>35</v>
      </c>
      <c r="L90" s="75">
        <v>34</v>
      </c>
      <c r="M90" s="97">
        <f>14303.46+6714.67</f>
        <v>21018.129999999997</v>
      </c>
      <c r="N90" s="97">
        <v>14303.46</v>
      </c>
      <c r="O90" s="93">
        <f t="shared" si="4"/>
        <v>6714.6699999999983</v>
      </c>
      <c r="P90" s="123">
        <v>8</v>
      </c>
      <c r="Q90" s="124">
        <v>7</v>
      </c>
      <c r="R90" s="124">
        <v>7</v>
      </c>
      <c r="S90" s="97">
        <v>3130.8</v>
      </c>
      <c r="T90" s="97">
        <v>3130.8</v>
      </c>
      <c r="U90" s="97">
        <f t="shared" si="5"/>
        <v>0</v>
      </c>
      <c r="V90" s="161"/>
    </row>
    <row r="91" spans="1:22" ht="20.100000000000001" customHeight="1" x14ac:dyDescent="0.25">
      <c r="A91" s="155">
        <v>74</v>
      </c>
      <c r="B91" s="99">
        <f t="shared" si="6"/>
        <v>82</v>
      </c>
      <c r="C91" s="11" t="s">
        <v>94</v>
      </c>
      <c r="D91" s="100" t="s">
        <v>124</v>
      </c>
      <c r="E91" s="101"/>
      <c r="F91" s="19" t="s">
        <v>106</v>
      </c>
      <c r="G91" s="72" t="s">
        <v>218</v>
      </c>
      <c r="H91" s="77">
        <v>13</v>
      </c>
      <c r="I91" s="75">
        <v>5</v>
      </c>
      <c r="J91" s="75">
        <v>10</v>
      </c>
      <c r="K91" s="75">
        <v>10</v>
      </c>
      <c r="L91" s="75">
        <v>10</v>
      </c>
      <c r="M91" s="97">
        <v>5384.83</v>
      </c>
      <c r="N91" s="97">
        <v>5384.83</v>
      </c>
      <c r="O91" s="93">
        <f t="shared" si="4"/>
        <v>0</v>
      </c>
      <c r="P91" s="123">
        <v>6</v>
      </c>
      <c r="Q91" s="124">
        <v>6</v>
      </c>
      <c r="R91" s="124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  <c r="V91" s="161"/>
    </row>
    <row r="92" spans="1:22" ht="20.100000000000001" customHeight="1" x14ac:dyDescent="0.25">
      <c r="A92" s="155">
        <v>75</v>
      </c>
      <c r="B92" s="99">
        <f t="shared" si="6"/>
        <v>83</v>
      </c>
      <c r="C92" s="11" t="s">
        <v>95</v>
      </c>
      <c r="D92" s="100" t="s">
        <v>124</v>
      </c>
      <c r="E92" s="101"/>
      <c r="F92" s="19" t="s">
        <v>123</v>
      </c>
      <c r="G92" s="72" t="s">
        <v>217</v>
      </c>
      <c r="H92" s="77">
        <v>15</v>
      </c>
      <c r="I92" s="75">
        <v>10</v>
      </c>
      <c r="J92" s="75">
        <v>12</v>
      </c>
      <c r="K92" s="75">
        <v>11</v>
      </c>
      <c r="L92" s="75">
        <v>11</v>
      </c>
      <c r="M92" s="97">
        <f>2301.54+4352.56+3555.69</f>
        <v>10209.790000000001</v>
      </c>
      <c r="N92" s="97">
        <f>2301.54+4352.56</f>
        <v>6654.1</v>
      </c>
      <c r="O92" s="93">
        <f t="shared" si="4"/>
        <v>3555.6900000000005</v>
      </c>
      <c r="P92" s="123">
        <v>1</v>
      </c>
      <c r="Q92" s="12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22" ht="20.100000000000001" customHeight="1" x14ac:dyDescent="0.25">
      <c r="A93" s="155">
        <v>76</v>
      </c>
      <c r="B93" s="99">
        <f t="shared" si="6"/>
        <v>84</v>
      </c>
      <c r="C93" s="11" t="s">
        <v>96</v>
      </c>
      <c r="D93" s="100" t="s">
        <v>124</v>
      </c>
      <c r="E93" s="101"/>
      <c r="F93" s="22" t="s">
        <v>112</v>
      </c>
      <c r="G93" s="72" t="s">
        <v>216</v>
      </c>
      <c r="H93" s="77">
        <v>44</v>
      </c>
      <c r="I93" s="75">
        <v>23</v>
      </c>
      <c r="J93" s="75">
        <v>28</v>
      </c>
      <c r="K93" s="75">
        <v>21</v>
      </c>
      <c r="L93" s="75">
        <v>21</v>
      </c>
      <c r="M93" s="97">
        <v>14656.12</v>
      </c>
      <c r="N93" s="97">
        <v>14656.12</v>
      </c>
      <c r="O93" s="93">
        <f t="shared" si="4"/>
        <v>0</v>
      </c>
      <c r="P93" s="123">
        <v>8</v>
      </c>
      <c r="Q93" s="124">
        <v>8</v>
      </c>
      <c r="R93" s="124">
        <v>8</v>
      </c>
      <c r="S93" s="97">
        <v>11083.64</v>
      </c>
      <c r="T93" s="97">
        <v>11083.64</v>
      </c>
      <c r="U93" s="97">
        <f t="shared" si="5"/>
        <v>0</v>
      </c>
      <c r="V93" s="161"/>
    </row>
    <row r="94" spans="1:22" ht="20.100000000000001" customHeight="1" x14ac:dyDescent="0.25">
      <c r="A94" s="155">
        <v>77</v>
      </c>
      <c r="B94" s="99">
        <f t="shared" si="6"/>
        <v>85</v>
      </c>
      <c r="C94" s="11" t="s">
        <v>97</v>
      </c>
      <c r="D94" s="100" t="s">
        <v>124</v>
      </c>
      <c r="E94" s="101"/>
      <c r="F94" s="17" t="s">
        <v>111</v>
      </c>
      <c r="G94" s="72" t="s">
        <v>215</v>
      </c>
      <c r="H94" s="77">
        <v>22</v>
      </c>
      <c r="I94" s="75">
        <v>12</v>
      </c>
      <c r="J94" s="75">
        <v>13</v>
      </c>
      <c r="K94" s="75">
        <v>10</v>
      </c>
      <c r="L94" s="75">
        <v>10</v>
      </c>
      <c r="M94" s="97">
        <f>6576.32+217.5</f>
        <v>6793.82</v>
      </c>
      <c r="N94" s="97">
        <v>6576.32</v>
      </c>
      <c r="O94" s="93">
        <f t="shared" si="4"/>
        <v>217.5</v>
      </c>
      <c r="P94" s="123">
        <v>21</v>
      </c>
      <c r="Q94" s="124">
        <v>19</v>
      </c>
      <c r="R94" s="124">
        <v>19</v>
      </c>
      <c r="S94" s="97">
        <f>18253.04+4245.2</f>
        <v>22498.240000000002</v>
      </c>
      <c r="T94" s="97">
        <f>18253.04+4245.2</f>
        <v>22498.240000000002</v>
      </c>
      <c r="U94" s="97">
        <f t="shared" si="5"/>
        <v>0</v>
      </c>
      <c r="V94" s="161"/>
    </row>
    <row r="95" spans="1:22" ht="20.100000000000001" customHeight="1" x14ac:dyDescent="0.25">
      <c r="A95" s="155">
        <v>78</v>
      </c>
      <c r="B95" s="99">
        <f t="shared" si="6"/>
        <v>86</v>
      </c>
      <c r="C95" s="10" t="s">
        <v>98</v>
      </c>
      <c r="D95" s="100" t="s">
        <v>124</v>
      </c>
      <c r="E95" s="101"/>
      <c r="F95" s="19" t="s">
        <v>106</v>
      </c>
      <c r="G95" s="72" t="s">
        <v>214</v>
      </c>
      <c r="H95" s="77">
        <v>22</v>
      </c>
      <c r="I95" s="75">
        <v>12</v>
      </c>
      <c r="J95" s="75">
        <v>13</v>
      </c>
      <c r="K95" s="75">
        <v>13</v>
      </c>
      <c r="L95" s="75">
        <v>13</v>
      </c>
      <c r="M95" s="97">
        <f>2362.32+22110.36+455.21</f>
        <v>24927.89</v>
      </c>
      <c r="N95" s="97">
        <f>2362.32+22110.36+455.21</f>
        <v>24927.89</v>
      </c>
      <c r="O95" s="93">
        <f t="shared" si="4"/>
        <v>0</v>
      </c>
      <c r="P95" s="123">
        <v>13</v>
      </c>
      <c r="Q95" s="124">
        <v>13</v>
      </c>
      <c r="R95" s="124">
        <v>12</v>
      </c>
      <c r="S95" s="97">
        <f>24552.24+1001.28+122.46</f>
        <v>25675.98</v>
      </c>
      <c r="T95" s="97">
        <f>24552.24+1001.28+122.46</f>
        <v>25675.98</v>
      </c>
      <c r="U95" s="97">
        <f t="shared" si="5"/>
        <v>0</v>
      </c>
      <c r="V95" s="161"/>
    </row>
    <row r="96" spans="1:22" ht="20.100000000000001" customHeight="1" x14ac:dyDescent="0.25">
      <c r="A96" s="155">
        <v>80</v>
      </c>
      <c r="B96" s="99">
        <f t="shared" si="6"/>
        <v>87</v>
      </c>
      <c r="C96" s="10" t="s">
        <v>129</v>
      </c>
      <c r="D96" s="100" t="s">
        <v>124</v>
      </c>
      <c r="E96" s="101"/>
      <c r="F96" s="19" t="s">
        <v>106</v>
      </c>
      <c r="G96" s="72" t="s">
        <v>212</v>
      </c>
      <c r="H96" s="77">
        <v>9</v>
      </c>
      <c r="I96" s="75">
        <v>1</v>
      </c>
      <c r="J96" s="75">
        <v>2</v>
      </c>
      <c r="K96" s="75">
        <v>2</v>
      </c>
      <c r="L96" s="75">
        <v>2</v>
      </c>
      <c r="M96" s="97">
        <v>826.8</v>
      </c>
      <c r="N96" s="97">
        <v>826.8</v>
      </c>
      <c r="O96" s="93">
        <f t="shared" si="4"/>
        <v>0</v>
      </c>
      <c r="P96" s="123"/>
      <c r="Q96" s="124"/>
      <c r="R96" s="124"/>
      <c r="S96" s="97"/>
      <c r="T96" s="97"/>
      <c r="U96" s="97">
        <f t="shared" si="5"/>
        <v>0</v>
      </c>
      <c r="V96" s="161"/>
    </row>
    <row r="97" spans="1:39" ht="20.100000000000001" customHeight="1" x14ac:dyDescent="0.25">
      <c r="A97" s="155">
        <v>79</v>
      </c>
      <c r="B97" s="99">
        <f t="shared" si="6"/>
        <v>88</v>
      </c>
      <c r="C97" s="10" t="s">
        <v>99</v>
      </c>
      <c r="D97" s="100" t="s">
        <v>124</v>
      </c>
      <c r="E97" s="101"/>
      <c r="F97" s="19" t="s">
        <v>106</v>
      </c>
      <c r="G97" s="72" t="s">
        <v>213</v>
      </c>
      <c r="H97" s="77">
        <v>8</v>
      </c>
      <c r="I97" s="75">
        <v>5</v>
      </c>
      <c r="J97" s="75">
        <v>6</v>
      </c>
      <c r="K97" s="75">
        <v>6</v>
      </c>
      <c r="L97" s="75">
        <v>6</v>
      </c>
      <c r="M97" s="97">
        <v>3171.93</v>
      </c>
      <c r="N97" s="97">
        <v>3171.93</v>
      </c>
      <c r="O97" s="93">
        <f t="shared" si="4"/>
        <v>0</v>
      </c>
      <c r="P97" s="123">
        <v>4</v>
      </c>
      <c r="Q97" s="12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9" ht="20.100000000000001" customHeight="1" x14ac:dyDescent="0.25">
      <c r="A98" s="155">
        <v>81</v>
      </c>
      <c r="B98" s="99">
        <f t="shared" si="6"/>
        <v>89</v>
      </c>
      <c r="C98" s="13" t="s">
        <v>100</v>
      </c>
      <c r="D98" s="100" t="s">
        <v>124</v>
      </c>
      <c r="E98" s="101"/>
      <c r="F98" s="19" t="s">
        <v>106</v>
      </c>
      <c r="G98" s="72" t="s">
        <v>211</v>
      </c>
      <c r="H98" s="77">
        <v>12</v>
      </c>
      <c r="I98" s="75">
        <v>4</v>
      </c>
      <c r="J98" s="75">
        <v>4</v>
      </c>
      <c r="K98" s="75">
        <v>4</v>
      </c>
      <c r="L98" s="75">
        <v>4</v>
      </c>
      <c r="M98" s="97">
        <f>757.9+551.2</f>
        <v>1309.0999999999999</v>
      </c>
      <c r="N98" s="97">
        <v>757.9</v>
      </c>
      <c r="O98" s="93">
        <f t="shared" si="4"/>
        <v>551.19999999999993</v>
      </c>
      <c r="P98" s="123">
        <v>7</v>
      </c>
      <c r="Q98" s="124">
        <v>7</v>
      </c>
      <c r="R98" s="124">
        <v>7</v>
      </c>
      <c r="S98" s="97">
        <v>8034.56</v>
      </c>
      <c r="T98" s="97">
        <v>8034.56</v>
      </c>
      <c r="U98" s="97">
        <f t="shared" si="5"/>
        <v>0</v>
      </c>
      <c r="V98" s="161"/>
    </row>
    <row r="99" spans="1:39" ht="20.100000000000001" customHeight="1" x14ac:dyDescent="0.25">
      <c r="A99" s="155">
        <v>82</v>
      </c>
      <c r="B99" s="99">
        <f t="shared" si="6"/>
        <v>90</v>
      </c>
      <c r="C99" s="13" t="s">
        <v>101</v>
      </c>
      <c r="D99" s="100" t="s">
        <v>124</v>
      </c>
      <c r="E99" s="101"/>
      <c r="F99" s="17" t="s">
        <v>106</v>
      </c>
      <c r="G99" s="72" t="s">
        <v>210</v>
      </c>
      <c r="H99" s="77">
        <v>18</v>
      </c>
      <c r="I99" s="75">
        <v>6</v>
      </c>
      <c r="J99" s="75">
        <v>7</v>
      </c>
      <c r="K99" s="75">
        <v>7</v>
      </c>
      <c r="L99" s="75">
        <v>7</v>
      </c>
      <c r="M99" s="97">
        <f>4782.23+1353.89</f>
        <v>6136.12</v>
      </c>
      <c r="N99" s="97">
        <v>4782.2299999999996</v>
      </c>
      <c r="O99" s="93">
        <f t="shared" si="4"/>
        <v>1353.8900000000003</v>
      </c>
      <c r="P99" s="123">
        <v>10</v>
      </c>
      <c r="Q99" s="124">
        <v>8</v>
      </c>
      <c r="R99" s="124">
        <v>8</v>
      </c>
      <c r="S99" s="97">
        <v>12321.66</v>
      </c>
      <c r="T99" s="97">
        <v>12321.66</v>
      </c>
      <c r="U99" s="97">
        <f t="shared" si="5"/>
        <v>0</v>
      </c>
      <c r="V99" s="161"/>
    </row>
    <row r="100" spans="1:39" ht="20.100000000000001" customHeight="1" x14ac:dyDescent="0.25">
      <c r="A100" s="155">
        <v>83</v>
      </c>
      <c r="B100" s="99">
        <f t="shared" si="6"/>
        <v>91</v>
      </c>
      <c r="C100" s="13" t="s">
        <v>102</v>
      </c>
      <c r="D100" s="100" t="s">
        <v>124</v>
      </c>
      <c r="E100" s="101"/>
      <c r="F100" s="17" t="s">
        <v>106</v>
      </c>
      <c r="G100" s="72" t="s">
        <v>209</v>
      </c>
      <c r="H100" s="77">
        <v>16</v>
      </c>
      <c r="I100" s="75">
        <v>10</v>
      </c>
      <c r="J100" s="75">
        <v>12</v>
      </c>
      <c r="K100" s="75">
        <v>12</v>
      </c>
      <c r="L100" s="75">
        <v>12</v>
      </c>
      <c r="M100" s="97">
        <f>10862.96+2375.03</f>
        <v>13237.99</v>
      </c>
      <c r="N100" s="97">
        <f>10862.96-4405.49</f>
        <v>6457.4699999999993</v>
      </c>
      <c r="O100" s="93">
        <f t="shared" si="4"/>
        <v>6780.52</v>
      </c>
      <c r="P100" s="123">
        <v>10</v>
      </c>
      <c r="Q100" s="124">
        <v>10</v>
      </c>
      <c r="R100" s="124">
        <v>10</v>
      </c>
      <c r="S100" s="97">
        <v>4780.1000000000004</v>
      </c>
      <c r="T100" s="97">
        <f>4780.1-547.19</f>
        <v>4232.91</v>
      </c>
      <c r="U100" s="97">
        <f t="shared" si="5"/>
        <v>547.19000000000051</v>
      </c>
      <c r="V100" s="161"/>
    </row>
    <row r="101" spans="1:39" ht="20.100000000000001" customHeight="1" x14ac:dyDescent="0.25">
      <c r="A101" s="155">
        <v>84</v>
      </c>
      <c r="B101" s="99">
        <f t="shared" si="6"/>
        <v>92</v>
      </c>
      <c r="C101" s="11" t="s">
        <v>103</v>
      </c>
      <c r="D101" s="100" t="s">
        <v>124</v>
      </c>
      <c r="E101" s="101"/>
      <c r="F101" s="22" t="s">
        <v>112</v>
      </c>
      <c r="G101" s="72" t="s">
        <v>208</v>
      </c>
      <c r="H101" s="77">
        <v>42</v>
      </c>
      <c r="I101" s="75">
        <v>25</v>
      </c>
      <c r="J101" s="75">
        <v>28</v>
      </c>
      <c r="K101" s="75">
        <v>20</v>
      </c>
      <c r="L101" s="75">
        <v>20</v>
      </c>
      <c r="M101" s="97">
        <f>16276.16+4466.66+1078.5</f>
        <v>21821.32</v>
      </c>
      <c r="N101" s="97">
        <f>16276.16+1078.5</f>
        <v>17354.66</v>
      </c>
      <c r="O101" s="93">
        <f t="shared" si="4"/>
        <v>4466.66</v>
      </c>
      <c r="P101" s="123">
        <v>24</v>
      </c>
      <c r="Q101" s="124">
        <v>23</v>
      </c>
      <c r="R101" s="124">
        <v>23</v>
      </c>
      <c r="S101" s="97">
        <f>21329.45-2252.12+532.3</f>
        <v>19609.63</v>
      </c>
      <c r="T101" s="97">
        <f>21329.45-2252.12</f>
        <v>19077.330000000002</v>
      </c>
      <c r="U101" s="97">
        <f t="shared" si="5"/>
        <v>532.29999999999927</v>
      </c>
      <c r="V101" s="161"/>
    </row>
    <row r="102" spans="1:39" ht="20.100000000000001" customHeight="1" x14ac:dyDescent="0.25">
      <c r="A102" s="155">
        <v>85</v>
      </c>
      <c r="B102" s="115">
        <f>B101+1</f>
        <v>93</v>
      </c>
      <c r="C102" s="116" t="s">
        <v>104</v>
      </c>
      <c r="D102" s="111" t="s">
        <v>124</v>
      </c>
      <c r="E102" s="112"/>
      <c r="F102" s="117" t="s">
        <v>106</v>
      </c>
      <c r="G102" s="118" t="s">
        <v>207</v>
      </c>
      <c r="H102" s="113">
        <v>7</v>
      </c>
      <c r="I102" s="114">
        <v>4</v>
      </c>
      <c r="J102" s="114">
        <v>5</v>
      </c>
      <c r="K102" s="114">
        <v>5</v>
      </c>
      <c r="L102" s="114">
        <v>5</v>
      </c>
      <c r="M102" s="147">
        <v>3259.83</v>
      </c>
      <c r="N102" s="147">
        <v>3259.83</v>
      </c>
      <c r="O102" s="93">
        <f t="shared" si="4"/>
        <v>0</v>
      </c>
      <c r="P102" s="149">
        <v>3</v>
      </c>
      <c r="Q102" s="150">
        <v>3</v>
      </c>
      <c r="R102" s="150">
        <v>3</v>
      </c>
      <c r="S102" s="147">
        <v>1193.3</v>
      </c>
      <c r="T102" s="147">
        <v>1193.3</v>
      </c>
      <c r="U102" s="147">
        <f t="shared" si="5"/>
        <v>0</v>
      </c>
      <c r="V102" s="161"/>
    </row>
    <row r="103" spans="1:39" ht="20.100000000000001" customHeight="1" x14ac:dyDescent="0.25">
      <c r="A103" s="155">
        <v>88</v>
      </c>
      <c r="B103" s="106">
        <v>94</v>
      </c>
      <c r="C103" s="10" t="s">
        <v>258</v>
      </c>
      <c r="D103" s="111" t="s">
        <v>124</v>
      </c>
      <c r="E103" s="101"/>
      <c r="F103" s="12" t="s">
        <v>106</v>
      </c>
      <c r="G103" s="118" t="s">
        <v>261</v>
      </c>
      <c r="H103" s="75">
        <v>6</v>
      </c>
      <c r="I103" s="75">
        <v>1</v>
      </c>
      <c r="J103" s="75">
        <v>1</v>
      </c>
      <c r="K103" s="75">
        <v>1</v>
      </c>
      <c r="L103" s="75"/>
      <c r="M103" s="97"/>
      <c r="N103" s="97"/>
      <c r="O103" s="93">
        <f t="shared" si="4"/>
        <v>0</v>
      </c>
      <c r="P103" s="124"/>
      <c r="Q103" s="124"/>
      <c r="R103" s="124"/>
      <c r="S103" s="97"/>
      <c r="T103" s="97"/>
      <c r="U103" s="147">
        <f t="shared" si="5"/>
        <v>0</v>
      </c>
      <c r="V103" s="161"/>
    </row>
    <row r="104" spans="1:39" ht="20.100000000000001" customHeight="1" x14ac:dyDescent="0.25">
      <c r="B104" s="106">
        <v>95</v>
      </c>
      <c r="C104" s="10" t="s">
        <v>242</v>
      </c>
      <c r="D104" s="111" t="s">
        <v>124</v>
      </c>
      <c r="E104" s="101"/>
      <c r="F104" s="12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75">
        <v>2</v>
      </c>
      <c r="L104" s="75">
        <v>2</v>
      </c>
      <c r="M104" s="97">
        <v>2252.12</v>
      </c>
      <c r="N104" s="97">
        <v>2252.12</v>
      </c>
      <c r="O104" s="93">
        <f t="shared" si="4"/>
        <v>0</v>
      </c>
      <c r="P104" s="124"/>
      <c r="Q104" s="124"/>
      <c r="R104" s="124"/>
      <c r="S104" s="97"/>
      <c r="T104" s="97"/>
      <c r="U104" s="97">
        <f t="shared" si="5"/>
        <v>0</v>
      </c>
      <c r="V104" s="161"/>
      <c r="AF104" s="145"/>
    </row>
    <row r="105" spans="1:39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Q105" si="7">SUM(H10:H104)</f>
        <v>1370</v>
      </c>
      <c r="I105" s="119">
        <f t="shared" si="7"/>
        <v>719</v>
      </c>
      <c r="J105" s="119">
        <f t="shared" si="7"/>
        <v>938</v>
      </c>
      <c r="K105" s="119">
        <f t="shared" si="7"/>
        <v>879</v>
      </c>
      <c r="L105" s="119">
        <f t="shared" si="7"/>
        <v>861</v>
      </c>
      <c r="M105" s="151">
        <f t="shared" si="7"/>
        <v>707853.09999999986</v>
      </c>
      <c r="N105" s="151">
        <f t="shared" si="7"/>
        <v>550001.86</v>
      </c>
      <c r="O105" s="151">
        <f t="shared" si="7"/>
        <v>157851.24</v>
      </c>
      <c r="P105" s="152">
        <f t="shared" si="7"/>
        <v>645</v>
      </c>
      <c r="Q105" s="152">
        <f t="shared" si="7"/>
        <v>622</v>
      </c>
      <c r="R105" s="152">
        <f>SUM(R11:R104)</f>
        <v>609</v>
      </c>
      <c r="S105" s="151">
        <f>SUM(S10:S104)</f>
        <v>792800.53000000026</v>
      </c>
      <c r="T105" s="146">
        <f>SUM(T10:T104)</f>
        <v>747892.69000000029</v>
      </c>
      <c r="U105" s="120">
        <f>SUM(U10:U104)</f>
        <v>44907.839999999997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64">
        <f>M105+S105</f>
        <v>1500653.6300000001</v>
      </c>
      <c r="AG105" s="164">
        <f>N105+T105</f>
        <v>1297894.5500000003</v>
      </c>
      <c r="AH105" s="164">
        <f>O105+U105</f>
        <v>202759.08</v>
      </c>
      <c r="AI105" s="165"/>
      <c r="AJ105" s="165"/>
      <c r="AK105" s="165"/>
      <c r="AL105" s="165"/>
      <c r="AM105" s="165"/>
    </row>
    <row r="106" spans="1:39" x14ac:dyDescent="0.25"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3"/>
      <c r="AG106" s="163"/>
      <c r="AH106" s="163"/>
    </row>
    <row r="107" spans="1:39" x14ac:dyDescent="0.25">
      <c r="V107" s="145"/>
      <c r="W107" s="145"/>
      <c r="AF107" s="162"/>
      <c r="AG107" s="162"/>
      <c r="AH107" s="162"/>
      <c r="AI107" s="145"/>
    </row>
    <row r="108" spans="1:39" x14ac:dyDescent="0.25">
      <c r="AF108" s="162">
        <f>1500653.63-AF105</f>
        <v>0</v>
      </c>
      <c r="AG108" s="163"/>
      <c r="AH108" s="163"/>
    </row>
    <row r="109" spans="1:39" x14ac:dyDescent="0.25">
      <c r="AF109" s="163"/>
      <c r="AG109" s="163"/>
      <c r="AH109" s="163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408" priority="5" stopIfTrue="1" operator="equal">
      <formula>0</formula>
    </cfRule>
  </conditionalFormatting>
  <conditionalFormatting sqref="AL45">
    <cfRule type="cellIs" dxfId="407" priority="4" stopIfTrue="1" operator="equal">
      <formula>0</formula>
    </cfRule>
  </conditionalFormatting>
  <conditionalFormatting sqref="T45">
    <cfRule type="cellIs" dxfId="406" priority="3" stopIfTrue="1" operator="equal">
      <formula>0</formula>
    </cfRule>
  </conditionalFormatting>
  <conditionalFormatting sqref="T45">
    <cfRule type="cellIs" dxfId="405" priority="2" stopIfTrue="1" operator="equal">
      <formula>0</formula>
    </cfRule>
  </conditionalFormatting>
  <conditionalFormatting sqref="T45">
    <cfRule type="cellIs" dxfId="404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9"/>
  <sheetViews>
    <sheetView topLeftCell="C88" zoomScale="80" zoomScaleNormal="80" workbookViewId="0">
      <selection activeCell="T105" sqref="T105"/>
    </sheetView>
  </sheetViews>
  <sheetFormatPr defaultRowHeight="15.75" x14ac:dyDescent="0.25"/>
  <cols>
    <col min="1" max="1" width="9.140625" style="155" hidden="1" customWidth="1"/>
    <col min="2" max="2" width="9.140625" style="55" hidden="1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12.42578125" style="109" customWidth="1"/>
    <col min="15" max="15" width="12.28515625" style="109" customWidth="1"/>
    <col min="16" max="18" width="9.140625" style="109" customWidth="1"/>
    <col min="19" max="19" width="16.85546875" style="109" customWidth="1"/>
    <col min="20" max="20" width="10.7109375" style="109" customWidth="1"/>
    <col min="21" max="21" width="10.7109375" style="133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0.28515625" style="134" bestFit="1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282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281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26</v>
      </c>
      <c r="I10" s="75">
        <v>15</v>
      </c>
      <c r="J10" s="75">
        <v>17</v>
      </c>
      <c r="K10" s="75">
        <v>17</v>
      </c>
      <c r="L10" s="75">
        <v>11</v>
      </c>
      <c r="M10" s="97">
        <f>8818.63+2629.32</f>
        <v>11447.949999999999</v>
      </c>
      <c r="N10" s="97">
        <v>8818.6299999999992</v>
      </c>
      <c r="O10" s="93">
        <f xml:space="preserve"> (M10-N10)</f>
        <v>2629.3199999999997</v>
      </c>
      <c r="P10" s="123">
        <v>7</v>
      </c>
      <c r="Q10" s="124">
        <v>7</v>
      </c>
      <c r="R10" s="124">
        <v>6</v>
      </c>
      <c r="S10" s="97">
        <v>4246.75</v>
      </c>
      <c r="T10" s="97">
        <v>4246.75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5</v>
      </c>
      <c r="I11" s="75">
        <v>5</v>
      </c>
      <c r="J11" s="75">
        <v>5</v>
      </c>
      <c r="K11" s="75">
        <v>5</v>
      </c>
      <c r="L11" s="75">
        <v>5</v>
      </c>
      <c r="M11" s="97">
        <v>1778.86</v>
      </c>
      <c r="N11" s="97">
        <v>1778.86</v>
      </c>
      <c r="O11" s="93">
        <f t="shared" ref="O11:O74" si="1" xml:space="preserve"> (M11-N11)</f>
        <v>0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18</v>
      </c>
      <c r="I13" s="75">
        <v>8</v>
      </c>
      <c r="J13" s="75">
        <v>11</v>
      </c>
      <c r="K13" s="75">
        <v>11</v>
      </c>
      <c r="L13" s="75">
        <v>11</v>
      </c>
      <c r="M13" s="97">
        <f>272.84+2699.54+4096.17</f>
        <v>7068.55</v>
      </c>
      <c r="N13" s="97">
        <f>272.84+2699.54</f>
        <v>2972.38</v>
      </c>
      <c r="O13" s="93">
        <f t="shared" si="1"/>
        <v>4096.17</v>
      </c>
      <c r="P13" s="123">
        <v>5</v>
      </c>
      <c r="Q13" s="124">
        <v>5</v>
      </c>
      <c r="R13" s="124">
        <v>5</v>
      </c>
      <c r="S13" s="97">
        <f>7385.53+1228.66+7042.2</f>
        <v>15656.39</v>
      </c>
      <c r="T13" s="97">
        <f>7385.53+1228.66</f>
        <v>8614.19</v>
      </c>
      <c r="U13" s="97">
        <f t="shared" si="2"/>
        <v>7042.1999999999989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23</v>
      </c>
      <c r="I14" s="75">
        <v>10</v>
      </c>
      <c r="J14" s="75">
        <v>11</v>
      </c>
      <c r="K14" s="75">
        <v>10</v>
      </c>
      <c r="L14" s="75">
        <v>10</v>
      </c>
      <c r="M14" s="97">
        <v>4932.74</v>
      </c>
      <c r="N14" s="97">
        <v>4932.74</v>
      </c>
      <c r="O14" s="93">
        <f t="shared" si="1"/>
        <v>0</v>
      </c>
      <c r="P14" s="123">
        <v>6</v>
      </c>
      <c r="Q14" s="124">
        <v>6</v>
      </c>
      <c r="R14" s="124">
        <v>5</v>
      </c>
      <c r="S14" s="97">
        <v>2847.1</v>
      </c>
      <c r="T14" s="97">
        <v>2847.1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20</v>
      </c>
      <c r="I15" s="75">
        <v>17</v>
      </c>
      <c r="J15" s="75">
        <v>23</v>
      </c>
      <c r="K15" s="75">
        <v>23</v>
      </c>
      <c r="L15" s="75">
        <v>21</v>
      </c>
      <c r="M15" s="97">
        <v>16942.87</v>
      </c>
      <c r="N15" s="97">
        <v>16942.87</v>
      </c>
      <c r="O15" s="93">
        <f t="shared" si="1"/>
        <v>0</v>
      </c>
      <c r="P15" s="123">
        <v>13</v>
      </c>
      <c r="Q15" s="124">
        <v>13</v>
      </c>
      <c r="R15" s="124">
        <v>13</v>
      </c>
      <c r="S15" s="97">
        <v>13813.9</v>
      </c>
      <c r="T15" s="97">
        <v>13813.9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19</v>
      </c>
      <c r="I17" s="75">
        <v>8</v>
      </c>
      <c r="J17" s="75">
        <v>11</v>
      </c>
      <c r="K17" s="75">
        <v>9</v>
      </c>
      <c r="L17" s="75">
        <v>9</v>
      </c>
      <c r="M17" s="97">
        <v>7235.14</v>
      </c>
      <c r="N17" s="97">
        <f>7235.14-413.4</f>
        <v>6821.7400000000007</v>
      </c>
      <c r="O17" s="93">
        <f t="shared" si="1"/>
        <v>413.39999999999964</v>
      </c>
      <c r="P17" s="123">
        <v>1</v>
      </c>
      <c r="Q17" s="124">
        <v>1</v>
      </c>
      <c r="R17" s="124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10</v>
      </c>
      <c r="I18" s="75"/>
      <c r="J18" s="75"/>
      <c r="K18" s="75"/>
      <c r="L18" s="75"/>
      <c r="M18" s="97">
        <v>2118.92</v>
      </c>
      <c r="N18" s="97">
        <v>2118.92</v>
      </c>
      <c r="O18" s="93">
        <f t="shared" si="1"/>
        <v>0</v>
      </c>
      <c r="P18" s="123">
        <v>5</v>
      </c>
      <c r="Q18" s="124">
        <v>5</v>
      </c>
      <c r="R18" s="124">
        <v>5</v>
      </c>
      <c r="S18" s="97">
        <v>14748.55</v>
      </c>
      <c r="T18" s="97">
        <v>14748.55</v>
      </c>
      <c r="U18" s="97">
        <f t="shared" si="2"/>
        <v>0</v>
      </c>
      <c r="V18" s="161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19</v>
      </c>
      <c r="I19" s="75">
        <v>12</v>
      </c>
      <c r="J19" s="75">
        <v>19</v>
      </c>
      <c r="K19" s="75">
        <v>19</v>
      </c>
      <c r="L19" s="75">
        <v>15</v>
      </c>
      <c r="M19" s="97">
        <f>5345.36+3385.2</f>
        <v>8730.56</v>
      </c>
      <c r="N19" s="97">
        <v>5345.36</v>
      </c>
      <c r="O19" s="93">
        <f t="shared" si="1"/>
        <v>3385.2</v>
      </c>
      <c r="P19" s="123">
        <v>15</v>
      </c>
      <c r="Q19" s="124">
        <v>15</v>
      </c>
      <c r="R19" s="124">
        <v>13</v>
      </c>
      <c r="S19" s="97">
        <f>12589.36+4299.58+3922.41+8458.25</f>
        <v>29269.600000000002</v>
      </c>
      <c r="T19" s="97">
        <f>12589.36+4299.58+3922.41</f>
        <v>20811.350000000002</v>
      </c>
      <c r="U19" s="97">
        <f t="shared" si="2"/>
        <v>8458.25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25</v>
      </c>
      <c r="I20" s="75">
        <v>8</v>
      </c>
      <c r="J20" s="75">
        <v>12</v>
      </c>
      <c r="K20" s="75">
        <v>11</v>
      </c>
      <c r="L20" s="75">
        <v>11</v>
      </c>
      <c r="M20" s="97">
        <f>5728.14+3727.02</f>
        <v>9455.16</v>
      </c>
      <c r="N20" s="97">
        <v>5728.14</v>
      </c>
      <c r="O20" s="93">
        <f t="shared" si="1"/>
        <v>3727.0199999999995</v>
      </c>
      <c r="P20" s="123">
        <v>24</v>
      </c>
      <c r="Q20" s="124">
        <v>23</v>
      </c>
      <c r="R20" s="124">
        <v>23</v>
      </c>
      <c r="S20" s="97">
        <v>36404.57</v>
      </c>
      <c r="T20" s="97">
        <v>36404.57</v>
      </c>
      <c r="U20" s="97">
        <f t="shared" si="2"/>
        <v>0</v>
      </c>
      <c r="V20" s="16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13</v>
      </c>
      <c r="I21" s="75">
        <v>6</v>
      </c>
      <c r="J21" s="75">
        <v>8</v>
      </c>
      <c r="K21" s="75">
        <v>8</v>
      </c>
      <c r="L21" s="75">
        <v>6</v>
      </c>
      <c r="M21" s="97">
        <f>3586.84+1791.4</f>
        <v>5378.24</v>
      </c>
      <c r="N21" s="97">
        <f>3586.84-551.2-1776.85</f>
        <v>1258.7900000000004</v>
      </c>
      <c r="O21" s="93">
        <f t="shared" si="1"/>
        <v>4119.4499999999989</v>
      </c>
      <c r="P21" s="123">
        <v>5</v>
      </c>
      <c r="Q21" s="124">
        <v>5</v>
      </c>
      <c r="R21" s="124">
        <v>5</v>
      </c>
      <c r="S21" s="97">
        <v>7288.02</v>
      </c>
      <c r="T21" s="97">
        <v>7288.02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54</v>
      </c>
      <c r="I22" s="75">
        <v>24</v>
      </c>
      <c r="J22" s="75">
        <v>33</v>
      </c>
      <c r="K22" s="75">
        <v>31</v>
      </c>
      <c r="L22" s="75">
        <v>31</v>
      </c>
      <c r="M22" s="97">
        <f>19787.02+2513.73</f>
        <v>22300.75</v>
      </c>
      <c r="N22" s="97">
        <v>19787.02</v>
      </c>
      <c r="O22" s="93">
        <f t="shared" si="1"/>
        <v>2513.7299999999996</v>
      </c>
      <c r="P22" s="123">
        <v>20</v>
      </c>
      <c r="Q22" s="124">
        <v>19</v>
      </c>
      <c r="R22" s="124">
        <v>19</v>
      </c>
      <c r="S22" s="97">
        <v>24103.23</v>
      </c>
      <c r="T22" s="97">
        <f>24103.23-825.11</f>
        <v>23278.12</v>
      </c>
      <c r="U22" s="97">
        <f t="shared" si="2"/>
        <v>825.11000000000058</v>
      </c>
      <c r="V22" s="161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11</v>
      </c>
      <c r="I23" s="75">
        <v>5</v>
      </c>
      <c r="J23" s="75">
        <v>7</v>
      </c>
      <c r="K23" s="75">
        <v>7</v>
      </c>
      <c r="L23" s="75">
        <v>7</v>
      </c>
      <c r="M23" s="97">
        <f>5739.04+1828.05</f>
        <v>7567.09</v>
      </c>
      <c r="N23" s="97">
        <v>5739.04</v>
      </c>
      <c r="O23" s="93">
        <f t="shared" si="1"/>
        <v>1828.0500000000002</v>
      </c>
      <c r="P23" s="123">
        <v>11</v>
      </c>
      <c r="Q23" s="124">
        <v>11</v>
      </c>
      <c r="R23" s="124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13</v>
      </c>
      <c r="I24" s="75">
        <v>8</v>
      </c>
      <c r="J24" s="75">
        <v>10</v>
      </c>
      <c r="K24" s="75">
        <v>10</v>
      </c>
      <c r="L24" s="75">
        <v>10</v>
      </c>
      <c r="M24" s="97">
        <v>1515.11</v>
      </c>
      <c r="N24" s="97">
        <v>1515.11</v>
      </c>
      <c r="O24" s="93">
        <f t="shared" si="1"/>
        <v>0</v>
      </c>
      <c r="P24" s="123">
        <v>8</v>
      </c>
      <c r="Q24" s="124">
        <v>7</v>
      </c>
      <c r="R24" s="124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21</v>
      </c>
      <c r="I25" s="75">
        <v>9</v>
      </c>
      <c r="J25" s="75">
        <v>22</v>
      </c>
      <c r="K25" s="75">
        <v>22</v>
      </c>
      <c r="L25" s="75">
        <v>12</v>
      </c>
      <c r="M25" s="97">
        <v>9005.69</v>
      </c>
      <c r="N25" s="97">
        <v>9005.69</v>
      </c>
      <c r="O25" s="93">
        <f t="shared" si="1"/>
        <v>0</v>
      </c>
      <c r="P25" s="123">
        <v>21</v>
      </c>
      <c r="Q25" s="124">
        <v>20</v>
      </c>
      <c r="R25" s="124">
        <v>20</v>
      </c>
      <c r="S25" s="97">
        <v>24213.05</v>
      </c>
      <c r="T25" s="97">
        <v>24213.05</v>
      </c>
      <c r="U25" s="97">
        <f t="shared" si="2"/>
        <v>0</v>
      </c>
      <c r="V25" s="161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19</v>
      </c>
      <c r="I26" s="75">
        <v>8</v>
      </c>
      <c r="J26" s="75">
        <v>13</v>
      </c>
      <c r="K26" s="75">
        <v>13</v>
      </c>
      <c r="L26" s="75">
        <v>13</v>
      </c>
      <c r="M26" s="97">
        <f>3777.1+6399.51</f>
        <v>10176.61</v>
      </c>
      <c r="N26" s="97">
        <v>3777.1</v>
      </c>
      <c r="O26" s="93">
        <f t="shared" si="1"/>
        <v>6399.51</v>
      </c>
      <c r="P26" s="123">
        <v>10</v>
      </c>
      <c r="Q26" s="124">
        <v>10</v>
      </c>
      <c r="R26" s="124">
        <v>10</v>
      </c>
      <c r="S26" s="97">
        <v>3386.7</v>
      </c>
      <c r="T26" s="97">
        <v>3386.7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21</v>
      </c>
      <c r="I27" s="75">
        <v>8</v>
      </c>
      <c r="J27" s="75">
        <v>18</v>
      </c>
      <c r="K27" s="75">
        <v>18</v>
      </c>
      <c r="L27" s="75">
        <v>14</v>
      </c>
      <c r="M27" s="97">
        <v>6801.73</v>
      </c>
      <c r="N27" s="97">
        <v>6801.73</v>
      </c>
      <c r="O27" s="93">
        <f t="shared" si="1"/>
        <v>0</v>
      </c>
      <c r="P27" s="123">
        <v>14</v>
      </c>
      <c r="Q27" s="124">
        <v>14</v>
      </c>
      <c r="R27" s="124">
        <v>13</v>
      </c>
      <c r="S27" s="97">
        <v>12827.9</v>
      </c>
      <c r="T27" s="97">
        <v>12827.9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18</v>
      </c>
      <c r="I29" s="75">
        <v>12</v>
      </c>
      <c r="J29" s="75">
        <v>17</v>
      </c>
      <c r="K29" s="75">
        <v>17</v>
      </c>
      <c r="L29" s="75">
        <v>17</v>
      </c>
      <c r="M29" s="97">
        <f>7765.28+1107.91</f>
        <v>8873.19</v>
      </c>
      <c r="N29" s="97">
        <v>7765.28</v>
      </c>
      <c r="O29" s="93">
        <f t="shared" si="1"/>
        <v>1107.9100000000008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23</v>
      </c>
      <c r="I30" s="75">
        <v>16</v>
      </c>
      <c r="J30" s="75">
        <v>19</v>
      </c>
      <c r="K30" s="75">
        <v>16</v>
      </c>
      <c r="L30" s="75">
        <v>15</v>
      </c>
      <c r="M30" s="97">
        <f>5246.17+4965.96</f>
        <v>10212.130000000001</v>
      </c>
      <c r="N30" s="97">
        <f>5246.17-409.27</f>
        <v>4836.8999999999996</v>
      </c>
      <c r="O30" s="93">
        <f t="shared" si="1"/>
        <v>5375.2300000000014</v>
      </c>
      <c r="P30" s="123">
        <v>21</v>
      </c>
      <c r="Q30" s="124">
        <v>21</v>
      </c>
      <c r="R30" s="124">
        <v>19</v>
      </c>
      <c r="S30" s="97">
        <f>39414.6+4786.67</f>
        <v>44201.27</v>
      </c>
      <c r="T30" s="97">
        <f>39414.6-10535.43</f>
        <v>28879.17</v>
      </c>
      <c r="U30" s="97">
        <f t="shared" si="2"/>
        <v>15322.099999999999</v>
      </c>
      <c r="V30" s="16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1" t="s">
        <v>38</v>
      </c>
      <c r="D31" s="100" t="s">
        <v>124</v>
      </c>
      <c r="E31" s="101"/>
      <c r="F31" s="17" t="s">
        <v>106</v>
      </c>
      <c r="G31" s="72" t="s">
        <v>157</v>
      </c>
      <c r="H31" s="77">
        <v>4</v>
      </c>
      <c r="I31" s="75">
        <v>1</v>
      </c>
      <c r="J31" s="75">
        <v>2</v>
      </c>
      <c r="K31" s="75">
        <v>2</v>
      </c>
      <c r="L31" s="75">
        <v>2</v>
      </c>
      <c r="M31" s="97">
        <v>859.25</v>
      </c>
      <c r="N31" s="97">
        <v>859.25</v>
      </c>
      <c r="O31" s="93">
        <f t="shared" si="1"/>
        <v>0</v>
      </c>
      <c r="P31" s="123">
        <v>2</v>
      </c>
      <c r="Q31" s="12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0" t="s">
        <v>39</v>
      </c>
      <c r="D32" s="100" t="s">
        <v>124</v>
      </c>
      <c r="E32" s="101"/>
      <c r="F32" s="10" t="s">
        <v>105</v>
      </c>
      <c r="G32" s="72" t="s">
        <v>220</v>
      </c>
      <c r="H32" s="77"/>
      <c r="I32" s="75"/>
      <c r="J32" s="75"/>
      <c r="K32" s="75"/>
      <c r="L32" s="75"/>
      <c r="M32" s="97"/>
      <c r="N32" s="97"/>
      <c r="O32" s="93">
        <f t="shared" si="1"/>
        <v>0</v>
      </c>
      <c r="P32" s="123"/>
      <c r="Q32" s="124"/>
      <c r="R32" s="124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0" t="s">
        <v>137</v>
      </c>
      <c r="D33" s="100" t="s">
        <v>124</v>
      </c>
      <c r="E33" s="101"/>
      <c r="F33" s="17" t="s">
        <v>106</v>
      </c>
      <c r="G33" s="72" t="s">
        <v>158</v>
      </c>
      <c r="H33" s="77">
        <v>10</v>
      </c>
      <c r="I33" s="75">
        <v>8</v>
      </c>
      <c r="J33" s="75">
        <v>9</v>
      </c>
      <c r="K33" s="75">
        <v>9</v>
      </c>
      <c r="L33" s="75">
        <v>7</v>
      </c>
      <c r="M33" s="97">
        <f>4065.1+2226.4</f>
        <v>6291.5</v>
      </c>
      <c r="N33" s="97">
        <v>4065.1</v>
      </c>
      <c r="O33" s="93">
        <f t="shared" si="1"/>
        <v>2226.4</v>
      </c>
      <c r="P33" s="123"/>
      <c r="Q33" s="124"/>
      <c r="R33" s="124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2" t="s">
        <v>40</v>
      </c>
      <c r="D34" s="100" t="s">
        <v>124</v>
      </c>
      <c r="E34" s="101"/>
      <c r="F34" s="19" t="s">
        <v>115</v>
      </c>
      <c r="G34" s="72" t="s">
        <v>159</v>
      </c>
      <c r="H34" s="77">
        <v>14</v>
      </c>
      <c r="I34" s="75">
        <v>10</v>
      </c>
      <c r="J34" s="75">
        <v>16</v>
      </c>
      <c r="K34" s="75">
        <v>16</v>
      </c>
      <c r="L34" s="75">
        <v>14</v>
      </c>
      <c r="M34" s="97">
        <v>8742.16</v>
      </c>
      <c r="N34" s="97">
        <v>8742.16</v>
      </c>
      <c r="O34" s="93">
        <f t="shared" si="1"/>
        <v>0</v>
      </c>
      <c r="P34" s="123">
        <v>2</v>
      </c>
      <c r="Q34" s="12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1" t="s">
        <v>41</v>
      </c>
      <c r="D35" s="100" t="s">
        <v>124</v>
      </c>
      <c r="E35" s="101"/>
      <c r="F35" s="17" t="s">
        <v>106</v>
      </c>
      <c r="G35" s="72" t="s">
        <v>160</v>
      </c>
      <c r="H35" s="77">
        <v>11</v>
      </c>
      <c r="I35" s="75">
        <v>6</v>
      </c>
      <c r="J35" s="75">
        <v>9</v>
      </c>
      <c r="K35" s="75">
        <v>9</v>
      </c>
      <c r="L35" s="75">
        <v>9</v>
      </c>
      <c r="M35" s="97">
        <v>8755.24</v>
      </c>
      <c r="N35" s="97">
        <v>8755.24</v>
      </c>
      <c r="O35" s="93">
        <f t="shared" si="1"/>
        <v>0</v>
      </c>
      <c r="P35" s="123">
        <v>8</v>
      </c>
      <c r="Q35" s="124">
        <v>8</v>
      </c>
      <c r="R35" s="124">
        <v>8</v>
      </c>
      <c r="S35" s="97">
        <v>9249.99</v>
      </c>
      <c r="T35" s="97">
        <v>9249.99</v>
      </c>
      <c r="U35" s="97">
        <f t="shared" si="2"/>
        <v>0</v>
      </c>
      <c r="V35" s="161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3" t="s">
        <v>42</v>
      </c>
      <c r="D36" s="100" t="s">
        <v>124</v>
      </c>
      <c r="E36" s="101"/>
      <c r="F36" s="17" t="s">
        <v>106</v>
      </c>
      <c r="G36" s="72" t="s">
        <v>221</v>
      </c>
      <c r="H36" s="77">
        <v>10</v>
      </c>
      <c r="I36" s="75">
        <v>4</v>
      </c>
      <c r="J36" s="75">
        <v>4</v>
      </c>
      <c r="K36" s="75">
        <v>4</v>
      </c>
      <c r="L36" s="75">
        <v>2</v>
      </c>
      <c r="M36" s="97">
        <v>2360</v>
      </c>
      <c r="N36" s="97">
        <v>2360</v>
      </c>
      <c r="O36" s="93">
        <f t="shared" si="1"/>
        <v>0</v>
      </c>
      <c r="P36" s="123">
        <v>5</v>
      </c>
      <c r="Q36" s="124">
        <v>5</v>
      </c>
      <c r="R36" s="124">
        <v>4</v>
      </c>
      <c r="S36" s="97">
        <f>1436.08+3433.93</f>
        <v>4870.01</v>
      </c>
      <c r="T36" s="97">
        <f>1436.08+3433.93</f>
        <v>4870.01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3" t="s">
        <v>43</v>
      </c>
      <c r="D37" s="100" t="s">
        <v>124</v>
      </c>
      <c r="E37" s="101"/>
      <c r="F37" s="17" t="s">
        <v>106</v>
      </c>
      <c r="G37" s="72" t="s">
        <v>161</v>
      </c>
      <c r="H37" s="77">
        <v>11</v>
      </c>
      <c r="I37" s="75">
        <v>6</v>
      </c>
      <c r="J37" s="75">
        <v>7</v>
      </c>
      <c r="K37" s="75">
        <v>7</v>
      </c>
      <c r="L37" s="75">
        <v>7</v>
      </c>
      <c r="M37" s="97">
        <f>4126.56+990.2</f>
        <v>5116.76</v>
      </c>
      <c r="N37" s="97">
        <f>4126.56-275.6</f>
        <v>3850.9600000000005</v>
      </c>
      <c r="O37" s="93">
        <f t="shared" si="1"/>
        <v>1265.7999999999997</v>
      </c>
      <c r="P37" s="123">
        <v>2</v>
      </c>
      <c r="Q37" s="124">
        <v>1</v>
      </c>
      <c r="R37" s="124">
        <v>1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1" t="s">
        <v>44</v>
      </c>
      <c r="D38" s="100" t="s">
        <v>124</v>
      </c>
      <c r="E38" s="101"/>
      <c r="F38" s="17" t="s">
        <v>105</v>
      </c>
      <c r="G38" s="72" t="s">
        <v>162</v>
      </c>
      <c r="H38" s="77">
        <v>42</v>
      </c>
      <c r="I38" s="75">
        <v>21</v>
      </c>
      <c r="J38" s="75">
        <v>28</v>
      </c>
      <c r="K38" s="75">
        <v>28</v>
      </c>
      <c r="L38" s="75">
        <v>23</v>
      </c>
      <c r="M38" s="97">
        <f>18043.85+1739.74</f>
        <v>19783.59</v>
      </c>
      <c r="N38" s="97">
        <v>18043.849999999999</v>
      </c>
      <c r="O38" s="93">
        <f t="shared" si="1"/>
        <v>1739.7400000000016</v>
      </c>
      <c r="P38" s="123">
        <v>18</v>
      </c>
      <c r="Q38" s="124">
        <v>18</v>
      </c>
      <c r="R38" s="124">
        <v>18</v>
      </c>
      <c r="S38" s="97">
        <v>22326.77</v>
      </c>
      <c r="T38" s="97">
        <v>22326.77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1" t="s">
        <v>45</v>
      </c>
      <c r="D39" s="100" t="s">
        <v>124</v>
      </c>
      <c r="E39" s="101"/>
      <c r="F39" s="17" t="s">
        <v>111</v>
      </c>
      <c r="G39" s="72" t="s">
        <v>163</v>
      </c>
      <c r="H39" s="77">
        <v>19</v>
      </c>
      <c r="I39" s="75">
        <v>8</v>
      </c>
      <c r="J39" s="75">
        <v>11</v>
      </c>
      <c r="K39" s="75">
        <v>11</v>
      </c>
      <c r="L39" s="75">
        <v>11</v>
      </c>
      <c r="M39" s="97">
        <f>4309.67+3353.38</f>
        <v>7663.05</v>
      </c>
      <c r="N39" s="97">
        <v>4309.67</v>
      </c>
      <c r="O39" s="93">
        <f t="shared" si="1"/>
        <v>3353.38</v>
      </c>
      <c r="P39" s="123">
        <v>3</v>
      </c>
      <c r="Q39" s="124">
        <v>3</v>
      </c>
      <c r="R39" s="124">
        <v>3</v>
      </c>
      <c r="S39" s="97">
        <v>84.92</v>
      </c>
      <c r="T39" s="97">
        <v>84.92</v>
      </c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0" t="s">
        <v>46</v>
      </c>
      <c r="D40" s="100" t="s">
        <v>124</v>
      </c>
      <c r="E40" s="101"/>
      <c r="F40" s="17" t="s">
        <v>106</v>
      </c>
      <c r="G40" s="72" t="s">
        <v>164</v>
      </c>
      <c r="H40" s="77">
        <v>6</v>
      </c>
      <c r="I40" s="75">
        <v>5</v>
      </c>
      <c r="J40" s="75">
        <v>5</v>
      </c>
      <c r="K40" s="75">
        <v>5</v>
      </c>
      <c r="L40" s="75">
        <v>5</v>
      </c>
      <c r="M40" s="97">
        <v>5430.01</v>
      </c>
      <c r="N40" s="97">
        <v>5430.01</v>
      </c>
      <c r="O40" s="93">
        <f t="shared" si="1"/>
        <v>0</v>
      </c>
      <c r="P40" s="123">
        <v>4</v>
      </c>
      <c r="Q40" s="12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0" t="s">
        <v>47</v>
      </c>
      <c r="D41" s="100" t="s">
        <v>124</v>
      </c>
      <c r="E41" s="101"/>
      <c r="F41" s="17" t="s">
        <v>116</v>
      </c>
      <c r="G41" s="72" t="s">
        <v>165</v>
      </c>
      <c r="H41" s="77">
        <v>10</v>
      </c>
      <c r="I41" s="75">
        <v>8</v>
      </c>
      <c r="J41" s="75">
        <v>9</v>
      </c>
      <c r="K41" s="75">
        <v>8</v>
      </c>
      <c r="L41" s="75">
        <v>8</v>
      </c>
      <c r="M41" s="97">
        <v>4892.78</v>
      </c>
      <c r="N41" s="97">
        <v>4892.78</v>
      </c>
      <c r="O41" s="93">
        <f t="shared" si="1"/>
        <v>0</v>
      </c>
      <c r="P41" s="123">
        <v>3</v>
      </c>
      <c r="Q41" s="124">
        <v>3</v>
      </c>
      <c r="R41" s="124">
        <v>3</v>
      </c>
      <c r="S41" s="97">
        <v>1842.88</v>
      </c>
      <c r="T41" s="97">
        <v>1842.88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3" t="s">
        <v>48</v>
      </c>
      <c r="D42" s="100" t="s">
        <v>124</v>
      </c>
      <c r="E42" s="101"/>
      <c r="F42" s="17" t="s">
        <v>106</v>
      </c>
      <c r="G42" s="72" t="s">
        <v>166</v>
      </c>
      <c r="H42" s="77">
        <v>9</v>
      </c>
      <c r="I42" s="75">
        <v>4</v>
      </c>
      <c r="J42" s="75">
        <v>4</v>
      </c>
      <c r="K42" s="75">
        <v>4</v>
      </c>
      <c r="L42" s="75">
        <v>4</v>
      </c>
      <c r="M42" s="97">
        <v>5095.29</v>
      </c>
      <c r="N42" s="97">
        <v>5095.29</v>
      </c>
      <c r="O42" s="93">
        <f t="shared" si="1"/>
        <v>0</v>
      </c>
      <c r="P42" s="123">
        <v>5</v>
      </c>
      <c r="Q42" s="124">
        <v>5</v>
      </c>
      <c r="R42" s="124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0" t="s">
        <v>49</v>
      </c>
      <c r="D43" s="100" t="s">
        <v>124</v>
      </c>
      <c r="E43" s="101"/>
      <c r="F43" s="17" t="s">
        <v>106</v>
      </c>
      <c r="G43" s="72" t="s">
        <v>167</v>
      </c>
      <c r="H43" s="77">
        <v>13</v>
      </c>
      <c r="I43" s="75">
        <v>7</v>
      </c>
      <c r="J43" s="75">
        <v>8</v>
      </c>
      <c r="K43" s="75">
        <v>8</v>
      </c>
      <c r="L43" s="75">
        <v>7</v>
      </c>
      <c r="M43" s="97">
        <f>1949.94+11241.95</f>
        <v>13191.890000000001</v>
      </c>
      <c r="N43" s="97">
        <v>1949.94</v>
      </c>
      <c r="O43" s="93">
        <f t="shared" si="1"/>
        <v>11241.95</v>
      </c>
      <c r="P43" s="123">
        <v>7</v>
      </c>
      <c r="Q43" s="124">
        <v>6</v>
      </c>
      <c r="R43" s="124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3" t="s">
        <v>50</v>
      </c>
      <c r="D44" s="100" t="s">
        <v>124</v>
      </c>
      <c r="E44" s="101"/>
      <c r="F44" s="17" t="s">
        <v>106</v>
      </c>
      <c r="G44" s="72" t="s">
        <v>168</v>
      </c>
      <c r="H44" s="77">
        <v>6</v>
      </c>
      <c r="I44" s="75">
        <v>5</v>
      </c>
      <c r="J44" s="75">
        <v>8</v>
      </c>
      <c r="K44" s="75">
        <v>8</v>
      </c>
      <c r="L44" s="75">
        <v>8</v>
      </c>
      <c r="M44" s="97">
        <v>9600.9500000000007</v>
      </c>
      <c r="N44" s="97">
        <v>9600.9500000000007</v>
      </c>
      <c r="O44" s="93">
        <f t="shared" si="1"/>
        <v>0</v>
      </c>
      <c r="P44" s="123">
        <v>5</v>
      </c>
      <c r="Q44" s="124">
        <v>5</v>
      </c>
      <c r="R44" s="124">
        <v>4</v>
      </c>
      <c r="S44" s="97">
        <f>3997.92+850.65</f>
        <v>4848.57</v>
      </c>
      <c r="T44" s="97">
        <f>3997.92+850.65</f>
        <v>4848.57</v>
      </c>
      <c r="U44" s="97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1" t="s">
        <v>51</v>
      </c>
      <c r="D45" s="100" t="s">
        <v>124</v>
      </c>
      <c r="E45" s="101"/>
      <c r="F45" s="22" t="s">
        <v>112</v>
      </c>
      <c r="G45" s="72"/>
      <c r="H45" s="77"/>
      <c r="I45" s="75"/>
      <c r="J45" s="75"/>
      <c r="K45" s="75"/>
      <c r="L45" s="75"/>
      <c r="M45" s="97"/>
      <c r="N45" s="97"/>
      <c r="O45" s="93">
        <f t="shared" si="1"/>
        <v>0</v>
      </c>
      <c r="P45" s="123"/>
      <c r="Q45" s="124"/>
      <c r="R45" s="124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1" t="s">
        <v>131</v>
      </c>
      <c r="D46" s="100" t="s">
        <v>124</v>
      </c>
      <c r="E46" s="101"/>
      <c r="F46" s="22" t="s">
        <v>106</v>
      </c>
      <c r="G46" s="72" t="s">
        <v>171</v>
      </c>
      <c r="H46" s="77">
        <v>8</v>
      </c>
      <c r="I46" s="75">
        <v>4</v>
      </c>
      <c r="J46" s="75">
        <v>4</v>
      </c>
      <c r="K46" s="75">
        <v>4</v>
      </c>
      <c r="L46" s="75"/>
      <c r="M46" s="97"/>
      <c r="N46" s="97"/>
      <c r="O46" s="93">
        <f t="shared" si="1"/>
        <v>0</v>
      </c>
      <c r="P46" s="123">
        <v>2</v>
      </c>
      <c r="Q46" s="124">
        <v>2</v>
      </c>
      <c r="R46" s="124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3" t="s">
        <v>52</v>
      </c>
      <c r="D47" s="100" t="s">
        <v>124</v>
      </c>
      <c r="E47" s="101"/>
      <c r="F47" s="17" t="s">
        <v>106</v>
      </c>
      <c r="G47" s="72" t="s">
        <v>169</v>
      </c>
      <c r="H47" s="77">
        <v>24</v>
      </c>
      <c r="I47" s="75">
        <v>17</v>
      </c>
      <c r="J47" s="75">
        <v>23</v>
      </c>
      <c r="K47" s="75">
        <v>21</v>
      </c>
      <c r="L47" s="75">
        <v>19</v>
      </c>
      <c r="M47" s="97">
        <f>9335.56+3507.6</f>
        <v>12843.16</v>
      </c>
      <c r="N47" s="97">
        <v>9335.56</v>
      </c>
      <c r="O47" s="93">
        <f t="shared" si="1"/>
        <v>3507.6000000000004</v>
      </c>
      <c r="P47" s="123">
        <v>2</v>
      </c>
      <c r="Q47" s="124">
        <v>2</v>
      </c>
      <c r="R47" s="124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0" t="s">
        <v>53</v>
      </c>
      <c r="D48" s="100" t="s">
        <v>124</v>
      </c>
      <c r="E48" s="101"/>
      <c r="F48" s="17" t="s">
        <v>105</v>
      </c>
      <c r="G48" s="72" t="s">
        <v>170</v>
      </c>
      <c r="H48" s="77">
        <v>11</v>
      </c>
      <c r="I48" s="75">
        <v>5</v>
      </c>
      <c r="J48" s="75">
        <v>8</v>
      </c>
      <c r="K48" s="75">
        <v>8</v>
      </c>
      <c r="L48" s="75">
        <v>8</v>
      </c>
      <c r="M48" s="97">
        <f>8890.84+1828.05</f>
        <v>10718.89</v>
      </c>
      <c r="N48" s="97">
        <v>8890.84</v>
      </c>
      <c r="O48" s="93">
        <f t="shared" si="1"/>
        <v>1828.0499999999993</v>
      </c>
      <c r="P48" s="123">
        <v>3</v>
      </c>
      <c r="Q48" s="12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0" t="s">
        <v>54</v>
      </c>
      <c r="D49" s="100" t="s">
        <v>124</v>
      </c>
      <c r="E49" s="101"/>
      <c r="F49" s="17" t="s">
        <v>106</v>
      </c>
      <c r="G49" s="72" t="s">
        <v>172</v>
      </c>
      <c r="H49" s="77">
        <v>16</v>
      </c>
      <c r="I49" s="75">
        <v>4</v>
      </c>
      <c r="J49" s="75">
        <v>8</v>
      </c>
      <c r="K49" s="75">
        <v>5</v>
      </c>
      <c r="L49" s="75">
        <v>4</v>
      </c>
      <c r="M49" s="97">
        <v>1831.71</v>
      </c>
      <c r="N49" s="97">
        <v>1831.71</v>
      </c>
      <c r="O49" s="93">
        <f t="shared" si="1"/>
        <v>0</v>
      </c>
      <c r="P49" s="123">
        <v>8</v>
      </c>
      <c r="Q49" s="124">
        <v>8</v>
      </c>
      <c r="R49" s="124">
        <v>8</v>
      </c>
      <c r="S49" s="97">
        <f>8296.23+1378</f>
        <v>9674.23</v>
      </c>
      <c r="T49" s="97">
        <v>8296.23</v>
      </c>
      <c r="U49" s="97">
        <f t="shared" si="2"/>
        <v>1378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0" t="s">
        <v>55</v>
      </c>
      <c r="D50" s="100" t="s">
        <v>124</v>
      </c>
      <c r="E50" s="101"/>
      <c r="F50" s="17" t="s">
        <v>106</v>
      </c>
      <c r="G50" s="72" t="s">
        <v>173</v>
      </c>
      <c r="H50" s="77">
        <v>14</v>
      </c>
      <c r="I50" s="75">
        <v>10</v>
      </c>
      <c r="J50" s="75">
        <v>11</v>
      </c>
      <c r="K50" s="75">
        <v>11</v>
      </c>
      <c r="L50" s="75">
        <v>11</v>
      </c>
      <c r="M50" s="97">
        <f>8308.92+786.44</f>
        <v>9095.36</v>
      </c>
      <c r="N50" s="97">
        <v>8308.92</v>
      </c>
      <c r="O50" s="93">
        <f t="shared" si="1"/>
        <v>786.44000000000051</v>
      </c>
      <c r="P50" s="123">
        <v>6</v>
      </c>
      <c r="Q50" s="124">
        <v>6</v>
      </c>
      <c r="R50" s="124">
        <v>5</v>
      </c>
      <c r="S50" s="97">
        <f>2457.28+1725.6</f>
        <v>4182.88</v>
      </c>
      <c r="T50" s="97">
        <f>2457.28+1725.6</f>
        <v>4182.88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0" t="s">
        <v>56</v>
      </c>
      <c r="D51" s="100" t="s">
        <v>124</v>
      </c>
      <c r="E51" s="101"/>
      <c r="F51" s="17" t="s">
        <v>106</v>
      </c>
      <c r="G51" s="72" t="s">
        <v>174</v>
      </c>
      <c r="H51" s="77">
        <v>15</v>
      </c>
      <c r="I51" s="75">
        <v>9</v>
      </c>
      <c r="J51" s="75">
        <v>10</v>
      </c>
      <c r="K51" s="75">
        <v>10</v>
      </c>
      <c r="L51" s="75">
        <v>8</v>
      </c>
      <c r="M51" s="97">
        <f>5580.75+571.11</f>
        <v>6151.86</v>
      </c>
      <c r="N51" s="97">
        <v>5580.75</v>
      </c>
      <c r="O51" s="93">
        <f t="shared" si="1"/>
        <v>571.10999999999967</v>
      </c>
      <c r="P51" s="123">
        <v>1</v>
      </c>
      <c r="Q51" s="124">
        <v>1</v>
      </c>
      <c r="R51" s="124">
        <v>1</v>
      </c>
      <c r="S51" s="97"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3" t="s">
        <v>57</v>
      </c>
      <c r="D52" s="100" t="s">
        <v>124</v>
      </c>
      <c r="E52" s="101"/>
      <c r="F52" s="17" t="s">
        <v>106</v>
      </c>
      <c r="G52" s="72" t="s">
        <v>175</v>
      </c>
      <c r="H52" s="77">
        <v>14</v>
      </c>
      <c r="I52" s="75">
        <v>8</v>
      </c>
      <c r="J52" s="75">
        <v>10</v>
      </c>
      <c r="K52" s="75">
        <v>10</v>
      </c>
      <c r="L52" s="75">
        <v>8</v>
      </c>
      <c r="M52" s="97">
        <f>3782.6+430.65</f>
        <v>4213.25</v>
      </c>
      <c r="N52" s="97">
        <v>3782.6</v>
      </c>
      <c r="O52" s="93">
        <f t="shared" si="1"/>
        <v>430.65000000000009</v>
      </c>
      <c r="P52" s="123">
        <v>5</v>
      </c>
      <c r="Q52" s="124">
        <v>5</v>
      </c>
      <c r="R52" s="124">
        <v>5</v>
      </c>
      <c r="S52" s="97">
        <f>1535.39+1035.3+828.82</f>
        <v>3399.51</v>
      </c>
      <c r="T52" s="97">
        <f>1535.39+1035.3</f>
        <v>2570.69</v>
      </c>
      <c r="U52" s="97">
        <f t="shared" si="2"/>
        <v>828.82000000000016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3" t="s">
        <v>58</v>
      </c>
      <c r="D53" s="100" t="s">
        <v>124</v>
      </c>
      <c r="E53" s="101"/>
      <c r="F53" s="17" t="s">
        <v>106</v>
      </c>
      <c r="G53" s="72" t="s">
        <v>260</v>
      </c>
      <c r="H53" s="77">
        <v>6</v>
      </c>
      <c r="I53" s="75">
        <v>2</v>
      </c>
      <c r="J53" s="75">
        <v>2</v>
      </c>
      <c r="K53" s="75">
        <v>2</v>
      </c>
      <c r="L53" s="75">
        <v>2</v>
      </c>
      <c r="M53" s="97">
        <v>1102.4000000000001</v>
      </c>
      <c r="N53" s="97"/>
      <c r="O53" s="93">
        <f t="shared" si="1"/>
        <v>1102.4000000000001</v>
      </c>
      <c r="P53" s="123">
        <v>2</v>
      </c>
      <c r="Q53" s="12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3" t="s">
        <v>59</v>
      </c>
      <c r="D54" s="100" t="s">
        <v>124</v>
      </c>
      <c r="E54" s="101"/>
      <c r="F54" s="17" t="s">
        <v>112</v>
      </c>
      <c r="G54" s="72" t="s">
        <v>176</v>
      </c>
      <c r="H54" s="77">
        <v>47</v>
      </c>
      <c r="I54" s="75">
        <v>37</v>
      </c>
      <c r="J54" s="75">
        <v>48</v>
      </c>
      <c r="K54" s="75">
        <v>25</v>
      </c>
      <c r="L54" s="75">
        <v>25</v>
      </c>
      <c r="M54" s="97">
        <v>12031.27</v>
      </c>
      <c r="N54" s="97">
        <f>12031.27-5078.77</f>
        <v>6952.5</v>
      </c>
      <c r="O54" s="93">
        <f t="shared" si="1"/>
        <v>5078.7700000000004</v>
      </c>
      <c r="P54" s="123">
        <v>17</v>
      </c>
      <c r="Q54" s="12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3" t="s">
        <v>60</v>
      </c>
      <c r="D55" s="100" t="s">
        <v>125</v>
      </c>
      <c r="E55" s="106" t="s">
        <v>126</v>
      </c>
      <c r="F55" s="17" t="s">
        <v>106</v>
      </c>
      <c r="G55" s="72" t="s">
        <v>177</v>
      </c>
      <c r="H55" s="77">
        <v>6</v>
      </c>
      <c r="I55" s="75">
        <v>2</v>
      </c>
      <c r="J55" s="75">
        <v>2</v>
      </c>
      <c r="K55" s="75">
        <v>2</v>
      </c>
      <c r="L55" s="75">
        <v>2</v>
      </c>
      <c r="M55" s="97">
        <v>5677.4</v>
      </c>
      <c r="N55" s="97">
        <v>5677.4</v>
      </c>
      <c r="O55" s="93">
        <f t="shared" si="1"/>
        <v>0</v>
      </c>
      <c r="P55" s="123">
        <v>3</v>
      </c>
      <c r="Q55" s="12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1" t="s">
        <v>61</v>
      </c>
      <c r="D56" s="100" t="s">
        <v>124</v>
      </c>
      <c r="E56" s="101"/>
      <c r="F56" s="17" t="s">
        <v>107</v>
      </c>
      <c r="G56" s="72" t="s">
        <v>178</v>
      </c>
      <c r="H56" s="77">
        <v>38</v>
      </c>
      <c r="I56" s="75">
        <v>20</v>
      </c>
      <c r="J56" s="75">
        <v>29</v>
      </c>
      <c r="K56" s="75">
        <v>29</v>
      </c>
      <c r="L56" s="75">
        <v>18</v>
      </c>
      <c r="M56" s="97">
        <v>13145.7</v>
      </c>
      <c r="N56" s="97">
        <f>13145.7-11074.53</f>
        <v>2071.17</v>
      </c>
      <c r="O56" s="93">
        <f t="shared" si="1"/>
        <v>11074.53</v>
      </c>
      <c r="P56" s="123">
        <v>30</v>
      </c>
      <c r="Q56" s="124">
        <v>30</v>
      </c>
      <c r="R56" s="124">
        <v>29</v>
      </c>
      <c r="S56" s="97">
        <v>53733.15</v>
      </c>
      <c r="T56" s="97">
        <v>53733.15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1" t="s">
        <v>134</v>
      </c>
      <c r="D57" s="100" t="s">
        <v>124</v>
      </c>
      <c r="E57" s="101"/>
      <c r="F57" s="17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75">
        <v>3</v>
      </c>
      <c r="L57" s="75">
        <v>3</v>
      </c>
      <c r="M57" s="97">
        <v>1200.96</v>
      </c>
      <c r="N57" s="97">
        <v>1200.96</v>
      </c>
      <c r="O57" s="93">
        <f t="shared" si="1"/>
        <v>0</v>
      </c>
      <c r="P57" s="123"/>
      <c r="Q57" s="124"/>
      <c r="R57" s="124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1" t="s">
        <v>62</v>
      </c>
      <c r="D58" s="100" t="s">
        <v>124</v>
      </c>
      <c r="E58" s="101"/>
      <c r="F58" s="17" t="s">
        <v>106</v>
      </c>
      <c r="G58" s="72" t="s">
        <v>230</v>
      </c>
      <c r="H58" s="77"/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97"/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1" t="s">
        <v>63</v>
      </c>
      <c r="D59" s="100" t="s">
        <v>124</v>
      </c>
      <c r="E59" s="101"/>
      <c r="F59" s="22" t="s">
        <v>112</v>
      </c>
      <c r="G59" s="72" t="s">
        <v>224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1" t="s">
        <v>64</v>
      </c>
      <c r="D60" s="100" t="s">
        <v>124</v>
      </c>
      <c r="E60" s="101"/>
      <c r="F60" s="22" t="s">
        <v>107</v>
      </c>
      <c r="G60" s="72" t="s">
        <v>180</v>
      </c>
      <c r="H60" s="77">
        <v>35</v>
      </c>
      <c r="I60" s="75">
        <v>18</v>
      </c>
      <c r="J60" s="75">
        <v>29</v>
      </c>
      <c r="K60" s="75">
        <v>31</v>
      </c>
      <c r="L60" s="75">
        <v>27</v>
      </c>
      <c r="M60" s="97">
        <f>19657.67+3859.57</f>
        <v>23517.239999999998</v>
      </c>
      <c r="N60" s="97">
        <f>19657.67-290</f>
        <v>19367.669999999998</v>
      </c>
      <c r="O60" s="93">
        <f t="shared" si="1"/>
        <v>4149.57</v>
      </c>
      <c r="P60" s="123">
        <v>6</v>
      </c>
      <c r="Q60" s="124">
        <v>6</v>
      </c>
      <c r="R60" s="124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1" t="s">
        <v>135</v>
      </c>
      <c r="D61" s="100" t="s">
        <v>124</v>
      </c>
      <c r="E61" s="101"/>
      <c r="F61" s="22" t="s">
        <v>111</v>
      </c>
      <c r="G61" s="72" t="s">
        <v>181</v>
      </c>
      <c r="H61" s="77">
        <v>14</v>
      </c>
      <c r="I61" s="75">
        <v>8</v>
      </c>
      <c r="J61" s="75">
        <v>10</v>
      </c>
      <c r="K61" s="75">
        <v>9</v>
      </c>
      <c r="L61" s="75">
        <v>8</v>
      </c>
      <c r="M61" s="97">
        <f>3986.21+989.8</f>
        <v>4976.01</v>
      </c>
      <c r="N61" s="97">
        <f>3986.21-1121.1</f>
        <v>2865.11</v>
      </c>
      <c r="O61" s="93">
        <f t="shared" si="1"/>
        <v>2110.9</v>
      </c>
      <c r="P61" s="123"/>
      <c r="Q61" s="124"/>
      <c r="R61" s="124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3" t="s">
        <v>65</v>
      </c>
      <c r="D62" s="100" t="s">
        <v>124</v>
      </c>
      <c r="E62" s="101"/>
      <c r="F62" s="17" t="s">
        <v>106</v>
      </c>
      <c r="G62" s="72" t="s">
        <v>182</v>
      </c>
      <c r="H62" s="77">
        <v>13</v>
      </c>
      <c r="I62" s="75">
        <v>9</v>
      </c>
      <c r="J62" s="75">
        <v>9</v>
      </c>
      <c r="K62" s="75">
        <v>9</v>
      </c>
      <c r="L62" s="75">
        <v>9</v>
      </c>
      <c r="M62" s="97">
        <f>1263.45+2111.32+5011.35</f>
        <v>8386.1200000000008</v>
      </c>
      <c r="N62" s="97">
        <f>1263.45+2111.32</f>
        <v>3374.7700000000004</v>
      </c>
      <c r="O62" s="93">
        <f t="shared" si="1"/>
        <v>5011.3500000000004</v>
      </c>
      <c r="P62" s="123">
        <v>7</v>
      </c>
      <c r="Q62" s="124">
        <v>7</v>
      </c>
      <c r="R62" s="124">
        <v>7</v>
      </c>
      <c r="S62" s="97">
        <f>740.14+4736.32+577.79</f>
        <v>6054.25</v>
      </c>
      <c r="T62" s="97">
        <f>740.14+4736.32</f>
        <v>5476.46</v>
      </c>
      <c r="U62" s="97">
        <f t="shared" si="2"/>
        <v>577.79</v>
      </c>
      <c r="V62" s="161"/>
    </row>
    <row r="63" spans="1:40" ht="20.100000000000001" customHeight="1" x14ac:dyDescent="0.25">
      <c r="B63" s="99">
        <f t="shared" si="3"/>
        <v>54</v>
      </c>
      <c r="C63" s="13" t="s">
        <v>66</v>
      </c>
      <c r="D63" s="100" t="s">
        <v>124</v>
      </c>
      <c r="E63" s="101"/>
      <c r="F63" s="17" t="s">
        <v>112</v>
      </c>
      <c r="G63" s="72" t="s">
        <v>227</v>
      </c>
      <c r="H63" s="77"/>
      <c r="I63" s="75"/>
      <c r="J63" s="75"/>
      <c r="K63" s="75"/>
      <c r="L63" s="75"/>
      <c r="M63" s="97">
        <v>482.3</v>
      </c>
      <c r="N63" s="97">
        <v>482.3</v>
      </c>
      <c r="O63" s="93">
        <f t="shared" si="1"/>
        <v>0</v>
      </c>
      <c r="P63" s="123">
        <v>28</v>
      </c>
      <c r="Q63" s="124">
        <v>28</v>
      </c>
      <c r="R63" s="124">
        <v>28</v>
      </c>
      <c r="S63" s="97">
        <v>9392.68</v>
      </c>
      <c r="T63" s="97">
        <v>9392.68</v>
      </c>
      <c r="U63" s="97">
        <f t="shared" si="2"/>
        <v>0</v>
      </c>
      <c r="V63" s="161"/>
    </row>
    <row r="64" spans="1:40" ht="20.100000000000001" customHeight="1" x14ac:dyDescent="0.25">
      <c r="A64" s="155">
        <v>50</v>
      </c>
      <c r="B64" s="99">
        <f t="shared" si="3"/>
        <v>55</v>
      </c>
      <c r="C64" s="10" t="s">
        <v>67</v>
      </c>
      <c r="D64" s="100" t="s">
        <v>124</v>
      </c>
      <c r="E64" s="101"/>
      <c r="F64" s="17" t="s">
        <v>106</v>
      </c>
      <c r="G64" s="72" t="s">
        <v>183</v>
      </c>
      <c r="H64" s="77">
        <v>19</v>
      </c>
      <c r="I64" s="75">
        <v>10</v>
      </c>
      <c r="J64" s="75">
        <v>12</v>
      </c>
      <c r="K64" s="75">
        <v>12</v>
      </c>
      <c r="L64" s="75">
        <v>11</v>
      </c>
      <c r="M64" s="97">
        <v>6496.16</v>
      </c>
      <c r="N64" s="97">
        <v>6496.16</v>
      </c>
      <c r="O64" s="93">
        <f t="shared" si="1"/>
        <v>0</v>
      </c>
      <c r="P64" s="123">
        <v>9</v>
      </c>
      <c r="Q64" s="124">
        <v>9</v>
      </c>
      <c r="R64" s="124">
        <v>9</v>
      </c>
      <c r="S64" s="97">
        <v>6866.56</v>
      </c>
      <c r="T64" s="97">
        <v>6866.56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0" t="s">
        <v>68</v>
      </c>
      <c r="D65" s="100" t="s">
        <v>124</v>
      </c>
      <c r="E65" s="101"/>
      <c r="F65" s="17" t="s">
        <v>111</v>
      </c>
      <c r="G65" s="72" t="s">
        <v>184</v>
      </c>
      <c r="H65" s="77">
        <v>30</v>
      </c>
      <c r="I65" s="75">
        <v>23</v>
      </c>
      <c r="J65" s="75">
        <v>29</v>
      </c>
      <c r="K65" s="75">
        <v>25</v>
      </c>
      <c r="L65" s="75">
        <v>24</v>
      </c>
      <c r="M65" s="97">
        <f>21561.61+5719.7</f>
        <v>27281.31</v>
      </c>
      <c r="N65" s="97">
        <v>21561.61</v>
      </c>
      <c r="O65" s="93">
        <f t="shared" si="1"/>
        <v>5719.7000000000007</v>
      </c>
      <c r="P65" s="123">
        <v>10</v>
      </c>
      <c r="Q65" s="124">
        <v>10</v>
      </c>
      <c r="R65" s="124">
        <v>10</v>
      </c>
      <c r="S65" s="97">
        <v>7456.7</v>
      </c>
      <c r="T65" s="97">
        <v>7456.7</v>
      </c>
      <c r="U65" s="97">
        <f t="shared" si="2"/>
        <v>0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3" t="s">
        <v>69</v>
      </c>
      <c r="D66" s="100" t="s">
        <v>124</v>
      </c>
      <c r="E66" s="101"/>
      <c r="F66" s="17" t="s">
        <v>106</v>
      </c>
      <c r="G66" s="72" t="s">
        <v>185</v>
      </c>
      <c r="H66" s="77">
        <v>3</v>
      </c>
      <c r="I66" s="75">
        <v>2</v>
      </c>
      <c r="J66" s="75">
        <v>3</v>
      </c>
      <c r="K66" s="75">
        <v>3</v>
      </c>
      <c r="L66" s="75">
        <v>3</v>
      </c>
      <c r="M66" s="97">
        <f>463.83+1653.6</f>
        <v>2117.4299999999998</v>
      </c>
      <c r="N66" s="97">
        <f>463.83+1653.6</f>
        <v>2117.4299999999998</v>
      </c>
      <c r="O66" s="93">
        <f t="shared" si="1"/>
        <v>0</v>
      </c>
      <c r="P66" s="123">
        <v>4</v>
      </c>
      <c r="Q66" s="12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1" t="s">
        <v>70</v>
      </c>
      <c r="D67" s="100" t="s">
        <v>124</v>
      </c>
      <c r="E67" s="101"/>
      <c r="F67" s="17" t="s">
        <v>107</v>
      </c>
      <c r="G67" s="72" t="s">
        <v>186</v>
      </c>
      <c r="H67" s="77">
        <v>34</v>
      </c>
      <c r="I67" s="75">
        <v>25</v>
      </c>
      <c r="J67" s="75">
        <v>33</v>
      </c>
      <c r="K67" s="75">
        <v>30</v>
      </c>
      <c r="L67" s="75">
        <v>24</v>
      </c>
      <c r="M67" s="97">
        <v>19710.93</v>
      </c>
      <c r="N67" s="97">
        <v>19710.93</v>
      </c>
      <c r="O67" s="93">
        <f t="shared" si="1"/>
        <v>0</v>
      </c>
      <c r="P67" s="123">
        <v>10</v>
      </c>
      <c r="Q67" s="124">
        <v>9</v>
      </c>
      <c r="R67" s="124">
        <v>7</v>
      </c>
      <c r="S67" s="97">
        <v>8355.57</v>
      </c>
      <c r="T67" s="97">
        <v>8355.57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1" t="s">
        <v>71</v>
      </c>
      <c r="D68" s="100" t="s">
        <v>124</v>
      </c>
      <c r="E68" s="101"/>
      <c r="F68" s="17" t="s">
        <v>117</v>
      </c>
      <c r="G68" s="72" t="s">
        <v>187</v>
      </c>
      <c r="H68" s="77">
        <v>28</v>
      </c>
      <c r="I68" s="75">
        <v>23</v>
      </c>
      <c r="J68" s="75">
        <v>40</v>
      </c>
      <c r="K68" s="75">
        <v>40</v>
      </c>
      <c r="L68" s="75">
        <v>26</v>
      </c>
      <c r="M68" s="97">
        <v>18750.75</v>
      </c>
      <c r="N68" s="97">
        <v>18750.75</v>
      </c>
      <c r="O68" s="93">
        <f t="shared" si="1"/>
        <v>0</v>
      </c>
      <c r="P68" s="123">
        <v>10</v>
      </c>
      <c r="Q68" s="124">
        <v>10</v>
      </c>
      <c r="R68" s="124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1" t="s">
        <v>72</v>
      </c>
      <c r="D69" s="100" t="s">
        <v>125</v>
      </c>
      <c r="E69" s="106" t="s">
        <v>126</v>
      </c>
      <c r="F69" s="17" t="s">
        <v>106</v>
      </c>
      <c r="G69" s="72" t="s">
        <v>188</v>
      </c>
      <c r="H69" s="77">
        <v>7</v>
      </c>
      <c r="I69" s="75">
        <v>4</v>
      </c>
      <c r="J69" s="75">
        <v>4</v>
      </c>
      <c r="K69" s="75">
        <v>4</v>
      </c>
      <c r="L69" s="75">
        <v>3</v>
      </c>
      <c r="M69" s="97">
        <v>2756</v>
      </c>
      <c r="N69" s="97">
        <v>2756</v>
      </c>
      <c r="O69" s="93">
        <f t="shared" si="1"/>
        <v>0</v>
      </c>
      <c r="P69" s="123"/>
      <c r="Q69" s="124"/>
      <c r="R69" s="124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0" t="s">
        <v>73</v>
      </c>
      <c r="D70" s="100" t="s">
        <v>124</v>
      </c>
      <c r="E70" s="101"/>
      <c r="F70" s="17" t="s">
        <v>106</v>
      </c>
      <c r="G70" s="72" t="s">
        <v>189</v>
      </c>
      <c r="H70" s="77">
        <v>8</v>
      </c>
      <c r="I70" s="75">
        <v>4</v>
      </c>
      <c r="J70" s="75">
        <v>4</v>
      </c>
      <c r="K70" s="75">
        <v>4</v>
      </c>
      <c r="L70" s="75">
        <v>4</v>
      </c>
      <c r="M70" s="97">
        <v>2039.44</v>
      </c>
      <c r="N70" s="97">
        <v>2039.44</v>
      </c>
      <c r="O70" s="93">
        <f t="shared" si="1"/>
        <v>0</v>
      </c>
      <c r="P70" s="123">
        <v>5</v>
      </c>
      <c r="Q70" s="124">
        <v>5</v>
      </c>
      <c r="R70" s="124">
        <v>4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1" t="s">
        <v>74</v>
      </c>
      <c r="D71" s="100" t="s">
        <v>124</v>
      </c>
      <c r="E71" s="101"/>
      <c r="F71" s="17" t="s">
        <v>111</v>
      </c>
      <c r="G71" s="72" t="s">
        <v>190</v>
      </c>
      <c r="H71" s="77">
        <v>17</v>
      </c>
      <c r="I71" s="75">
        <v>10</v>
      </c>
      <c r="J71" s="75">
        <v>9</v>
      </c>
      <c r="K71" s="75">
        <v>3</v>
      </c>
      <c r="L71" s="75">
        <v>3</v>
      </c>
      <c r="M71" s="97">
        <v>2383.5300000000002</v>
      </c>
      <c r="N71" s="97">
        <v>2383.5300000000002</v>
      </c>
      <c r="O71" s="93">
        <f t="shared" si="1"/>
        <v>0</v>
      </c>
      <c r="P71" s="123">
        <v>22</v>
      </c>
      <c r="Q71" s="124">
        <v>22</v>
      </c>
      <c r="R71" s="124">
        <v>22</v>
      </c>
      <c r="S71" s="97">
        <v>52337.46</v>
      </c>
      <c r="T71" s="97">
        <v>52337.46</v>
      </c>
      <c r="U71" s="97">
        <f t="shared" si="2"/>
        <v>0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1" t="s">
        <v>75</v>
      </c>
      <c r="D72" s="100" t="s">
        <v>124</v>
      </c>
      <c r="E72" s="101"/>
      <c r="F72" s="17" t="s">
        <v>118</v>
      </c>
      <c r="G72" s="72" t="s">
        <v>191</v>
      </c>
      <c r="H72" s="77">
        <v>8</v>
      </c>
      <c r="I72" s="75">
        <v>3</v>
      </c>
      <c r="J72" s="75">
        <v>4</v>
      </c>
      <c r="K72" s="75">
        <v>4</v>
      </c>
      <c r="L72" s="75">
        <v>4</v>
      </c>
      <c r="M72" s="97">
        <v>4703.53</v>
      </c>
      <c r="N72" s="97">
        <v>4703.53</v>
      </c>
      <c r="O72" s="93">
        <f t="shared" si="1"/>
        <v>0</v>
      </c>
      <c r="P72" s="123">
        <v>7</v>
      </c>
      <c r="Q72" s="12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0" t="s">
        <v>76</v>
      </c>
      <c r="D73" s="100" t="s">
        <v>124</v>
      </c>
      <c r="E73" s="101"/>
      <c r="F73" s="10" t="s">
        <v>105</v>
      </c>
      <c r="G73" s="72" t="s">
        <v>192</v>
      </c>
      <c r="H73" s="77">
        <v>11</v>
      </c>
      <c r="I73" s="75">
        <v>6</v>
      </c>
      <c r="J73" s="75">
        <v>6</v>
      </c>
      <c r="K73" s="75">
        <v>6</v>
      </c>
      <c r="L73" s="75">
        <v>6</v>
      </c>
      <c r="M73" s="97">
        <f>2095.52+746.9</f>
        <v>2842.42</v>
      </c>
      <c r="N73" s="97">
        <v>2095.52</v>
      </c>
      <c r="O73" s="93">
        <f t="shared" si="1"/>
        <v>746.90000000000009</v>
      </c>
      <c r="P73" s="123">
        <v>5</v>
      </c>
      <c r="Q73" s="124">
        <v>5</v>
      </c>
      <c r="R73" s="124">
        <v>5</v>
      </c>
      <c r="S73" s="97">
        <f>1821.06+4580.19</f>
        <v>6401.25</v>
      </c>
      <c r="T73" s="97">
        <f>1821.06+960.79</f>
        <v>2781.85</v>
      </c>
      <c r="U73" s="97">
        <f t="shared" si="2"/>
        <v>3619.4</v>
      </c>
      <c r="V73" s="161"/>
    </row>
    <row r="74" spans="1:22" ht="20.100000000000001" customHeight="1" x14ac:dyDescent="0.25">
      <c r="B74" s="99">
        <f t="shared" si="3"/>
        <v>65</v>
      </c>
      <c r="C74" s="11" t="s">
        <v>77</v>
      </c>
      <c r="D74" s="100" t="s">
        <v>124</v>
      </c>
      <c r="E74" s="101"/>
      <c r="F74" s="10" t="s">
        <v>111</v>
      </c>
      <c r="G74" s="72" t="s">
        <v>225</v>
      </c>
      <c r="H74" s="77"/>
      <c r="I74" s="75"/>
      <c r="J74" s="75"/>
      <c r="K74" s="75"/>
      <c r="L74" s="75"/>
      <c r="M74" s="97"/>
      <c r="N74" s="97"/>
      <c r="O74" s="93">
        <f t="shared" si="1"/>
        <v>0</v>
      </c>
      <c r="P74" s="123">
        <v>1</v>
      </c>
      <c r="Q74" s="12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0" t="s">
        <v>78</v>
      </c>
      <c r="D75" s="100" t="s">
        <v>124</v>
      </c>
      <c r="E75" s="101"/>
      <c r="F75" s="23" t="s">
        <v>119</v>
      </c>
      <c r="G75" s="72" t="s">
        <v>193</v>
      </c>
      <c r="H75" s="77">
        <v>7</v>
      </c>
      <c r="I75" s="75">
        <v>3</v>
      </c>
      <c r="J75" s="75">
        <v>3</v>
      </c>
      <c r="K75" s="75">
        <v>3</v>
      </c>
      <c r="L75" s="75">
        <v>3</v>
      </c>
      <c r="M75" s="97">
        <f>275.6+741.36</f>
        <v>1016.96</v>
      </c>
      <c r="N75" s="97">
        <v>275.60000000000002</v>
      </c>
      <c r="O75" s="93">
        <f t="shared" ref="O75:O104" si="4" xml:space="preserve"> (M75-N75)</f>
        <v>741.36</v>
      </c>
      <c r="P75" s="123">
        <v>3</v>
      </c>
      <c r="Q75" s="124">
        <v>3</v>
      </c>
      <c r="R75" s="124">
        <v>3</v>
      </c>
      <c r="S75" s="97">
        <f>617.03+725.77</f>
        <v>1342.8</v>
      </c>
      <c r="T75" s="97">
        <v>617.03</v>
      </c>
      <c r="U75" s="97">
        <f t="shared" ref="U75:U104" si="5" xml:space="preserve"> (S75-T75)</f>
        <v>725.77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1" t="s">
        <v>79</v>
      </c>
      <c r="D76" s="100" t="s">
        <v>124</v>
      </c>
      <c r="E76" s="101"/>
      <c r="F76" s="17" t="s">
        <v>106</v>
      </c>
      <c r="G76" s="72" t="s">
        <v>194</v>
      </c>
      <c r="H76" s="77">
        <v>22</v>
      </c>
      <c r="I76" s="75">
        <v>11</v>
      </c>
      <c r="J76" s="75">
        <v>15</v>
      </c>
      <c r="K76" s="75">
        <v>15</v>
      </c>
      <c r="L76" s="75">
        <v>15</v>
      </c>
      <c r="M76" s="97">
        <f>11803.63+1320.23</f>
        <v>13123.859999999999</v>
      </c>
      <c r="N76" s="97">
        <v>11803.63</v>
      </c>
      <c r="O76" s="93">
        <f t="shared" si="4"/>
        <v>1320.2299999999996</v>
      </c>
      <c r="P76" s="123">
        <v>5</v>
      </c>
      <c r="Q76" s="124">
        <v>5</v>
      </c>
      <c r="R76" s="124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1" t="s">
        <v>80</v>
      </c>
      <c r="D77" s="100" t="s">
        <v>124</v>
      </c>
      <c r="E77" s="101"/>
      <c r="F77" s="17" t="s">
        <v>106</v>
      </c>
      <c r="G77" s="72" t="s">
        <v>195</v>
      </c>
      <c r="H77" s="77">
        <v>15</v>
      </c>
      <c r="I77" s="75">
        <v>7</v>
      </c>
      <c r="J77" s="75">
        <v>7</v>
      </c>
      <c r="K77" s="75">
        <v>7</v>
      </c>
      <c r="L77" s="75">
        <v>5</v>
      </c>
      <c r="M77" s="97">
        <v>4234.67</v>
      </c>
      <c r="N77" s="97">
        <v>4234.67</v>
      </c>
      <c r="O77" s="93">
        <f t="shared" si="4"/>
        <v>0</v>
      </c>
      <c r="P77" s="123"/>
      <c r="Q77" s="124"/>
      <c r="R77" s="124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4" t="s">
        <v>81</v>
      </c>
      <c r="D78" s="100" t="s">
        <v>124</v>
      </c>
      <c r="E78" s="101"/>
      <c r="F78" s="10" t="s">
        <v>106</v>
      </c>
      <c r="G78" s="72" t="s">
        <v>226</v>
      </c>
      <c r="H78" s="77"/>
      <c r="I78" s="75"/>
      <c r="J78" s="75"/>
      <c r="K78" s="75"/>
      <c r="L78" s="75"/>
      <c r="M78" s="97"/>
      <c r="N78" s="97"/>
      <c r="O78" s="93">
        <f t="shared" si="4"/>
        <v>0</v>
      </c>
      <c r="P78" s="123">
        <v>8</v>
      </c>
      <c r="Q78" s="12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4" t="s">
        <v>82</v>
      </c>
      <c r="D79" s="100" t="s">
        <v>124</v>
      </c>
      <c r="E79" s="101"/>
      <c r="F79" s="10" t="s">
        <v>106</v>
      </c>
      <c r="G79" s="72" t="s">
        <v>196</v>
      </c>
      <c r="H79" s="77">
        <v>15</v>
      </c>
      <c r="I79" s="75">
        <v>11</v>
      </c>
      <c r="J79" s="75">
        <v>14</v>
      </c>
      <c r="K79" s="75">
        <v>14</v>
      </c>
      <c r="L79" s="75">
        <v>13</v>
      </c>
      <c r="M79" s="97">
        <f>8913.81+7027.61</f>
        <v>15941.419999999998</v>
      </c>
      <c r="N79" s="97">
        <v>8913.81</v>
      </c>
      <c r="O79" s="93">
        <f t="shared" si="4"/>
        <v>7027.6099999999988</v>
      </c>
      <c r="P79" s="123">
        <v>3</v>
      </c>
      <c r="Q79" s="124">
        <v>3</v>
      </c>
      <c r="R79" s="124">
        <v>1</v>
      </c>
      <c r="S79" s="97">
        <v>275.60000000000002</v>
      </c>
      <c r="T79" s="97">
        <v>275.60000000000002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4" t="s">
        <v>83</v>
      </c>
      <c r="D80" s="100" t="s">
        <v>124</v>
      </c>
      <c r="E80" s="101"/>
      <c r="F80" s="10" t="s">
        <v>106</v>
      </c>
      <c r="G80" s="72" t="s">
        <v>197</v>
      </c>
      <c r="H80" s="77">
        <v>16</v>
      </c>
      <c r="I80" s="75">
        <v>11</v>
      </c>
      <c r="J80" s="75">
        <v>14</v>
      </c>
      <c r="K80" s="75">
        <v>14</v>
      </c>
      <c r="L80" s="75">
        <v>14</v>
      </c>
      <c r="M80" s="97">
        <f>14959.64+7384.39</f>
        <v>22344.03</v>
      </c>
      <c r="N80" s="97">
        <v>14959.64</v>
      </c>
      <c r="O80" s="93">
        <f t="shared" si="4"/>
        <v>7384.3899999999994</v>
      </c>
      <c r="P80" s="123">
        <v>8</v>
      </c>
      <c r="Q80" s="124">
        <v>8</v>
      </c>
      <c r="R80" s="124">
        <v>8</v>
      </c>
      <c r="S80" s="97">
        <f>13554.7+2057.24</f>
        <v>15611.94</v>
      </c>
      <c r="T80" s="97">
        <v>13554.7</v>
      </c>
      <c r="U80" s="97">
        <f t="shared" si="5"/>
        <v>2057.2399999999998</v>
      </c>
      <c r="V80" s="161"/>
    </row>
    <row r="81" spans="1:22" ht="20.100000000000001" customHeight="1" x14ac:dyDescent="0.25">
      <c r="A81" s="155">
        <v>65</v>
      </c>
      <c r="B81" s="99">
        <f t="shared" si="6"/>
        <v>72</v>
      </c>
      <c r="C81" s="11" t="s">
        <v>84</v>
      </c>
      <c r="D81" s="100" t="s">
        <v>124</v>
      </c>
      <c r="E81" s="101"/>
      <c r="F81" s="10" t="s">
        <v>120</v>
      </c>
      <c r="G81" s="72" t="s">
        <v>198</v>
      </c>
      <c r="H81" s="77">
        <v>3</v>
      </c>
      <c r="I81" s="75"/>
      <c r="J81" s="75"/>
      <c r="K81" s="75"/>
      <c r="L81" s="75"/>
      <c r="M81" s="97"/>
      <c r="N81" s="97"/>
      <c r="O81" s="93">
        <f t="shared" si="4"/>
        <v>0</v>
      </c>
      <c r="P81" s="123"/>
      <c r="Q81" s="124"/>
      <c r="R81" s="124"/>
      <c r="S81" s="97"/>
      <c r="T81" s="97"/>
      <c r="U81" s="97">
        <f t="shared" si="5"/>
        <v>0</v>
      </c>
      <c r="V81" s="161"/>
    </row>
    <row r="82" spans="1:22" ht="20.100000000000001" customHeight="1" x14ac:dyDescent="0.25">
      <c r="A82" s="155">
        <v>66</v>
      </c>
      <c r="B82" s="99">
        <f t="shared" si="6"/>
        <v>73</v>
      </c>
      <c r="C82" s="13" t="s">
        <v>85</v>
      </c>
      <c r="D82" s="100" t="s">
        <v>124</v>
      </c>
      <c r="E82" s="101"/>
      <c r="F82" s="19" t="s">
        <v>106</v>
      </c>
      <c r="G82" s="72" t="s">
        <v>199</v>
      </c>
      <c r="H82" s="77">
        <v>17</v>
      </c>
      <c r="I82" s="75">
        <v>11</v>
      </c>
      <c r="J82" s="75">
        <v>12</v>
      </c>
      <c r="K82" s="75">
        <v>11</v>
      </c>
      <c r="L82" s="75">
        <v>10</v>
      </c>
      <c r="M82" s="97">
        <f>2626.75+8084.46</f>
        <v>10711.21</v>
      </c>
      <c r="N82" s="97">
        <f>2626.75-344.5</f>
        <v>2282.25</v>
      </c>
      <c r="O82" s="93">
        <f t="shared" si="4"/>
        <v>8428.9599999999991</v>
      </c>
      <c r="P82" s="123">
        <v>9</v>
      </c>
      <c r="Q82" s="124">
        <v>9</v>
      </c>
      <c r="R82" s="124">
        <v>8</v>
      </c>
      <c r="S82" s="97">
        <f>15935.59+881.06+1714.6</f>
        <v>18531.25</v>
      </c>
      <c r="T82" s="97">
        <f>15935.59+881.06</f>
        <v>16816.650000000001</v>
      </c>
      <c r="U82" s="97">
        <f t="shared" si="5"/>
        <v>1714.5999999999985</v>
      </c>
      <c r="V82" s="161"/>
    </row>
    <row r="83" spans="1:22" ht="20.100000000000001" customHeight="1" x14ac:dyDescent="0.25">
      <c r="A83" s="155">
        <v>67</v>
      </c>
      <c r="B83" s="99">
        <f t="shared" si="6"/>
        <v>74</v>
      </c>
      <c r="C83" s="10" t="s">
        <v>86</v>
      </c>
      <c r="D83" s="100" t="s">
        <v>124</v>
      </c>
      <c r="E83" s="101"/>
      <c r="F83" s="22" t="s">
        <v>118</v>
      </c>
      <c r="G83" s="72" t="s">
        <v>200</v>
      </c>
      <c r="H83" s="77">
        <v>15</v>
      </c>
      <c r="I83" s="75">
        <v>11</v>
      </c>
      <c r="J83" s="75">
        <v>12</v>
      </c>
      <c r="K83" s="75">
        <v>12</v>
      </c>
      <c r="L83" s="75">
        <v>12</v>
      </c>
      <c r="M83" s="97">
        <f>11232.31+3440.1</f>
        <v>14672.41</v>
      </c>
      <c r="N83" s="97">
        <v>11232.31</v>
      </c>
      <c r="O83" s="93">
        <f t="shared" si="4"/>
        <v>3440.1000000000004</v>
      </c>
      <c r="P83" s="123">
        <v>9</v>
      </c>
      <c r="Q83" s="124">
        <v>6</v>
      </c>
      <c r="R83" s="124">
        <v>6</v>
      </c>
      <c r="S83" s="97">
        <f>6465.89+3406.65</f>
        <v>9872.5400000000009</v>
      </c>
      <c r="T83" s="97">
        <f>6465.89+3406.65</f>
        <v>9872.5400000000009</v>
      </c>
      <c r="U83" s="97">
        <f t="shared" si="5"/>
        <v>0</v>
      </c>
      <c r="V83" s="161"/>
    </row>
    <row r="84" spans="1:22" ht="20.100000000000001" customHeight="1" x14ac:dyDescent="0.25">
      <c r="A84" s="155">
        <v>68</v>
      </c>
      <c r="B84" s="99">
        <f t="shared" si="6"/>
        <v>75</v>
      </c>
      <c r="C84" s="10" t="s">
        <v>87</v>
      </c>
      <c r="D84" s="100" t="s">
        <v>124</v>
      </c>
      <c r="E84" s="101"/>
      <c r="F84" s="22" t="s">
        <v>115</v>
      </c>
      <c r="G84" s="72" t="s">
        <v>201</v>
      </c>
      <c r="H84" s="77">
        <v>16</v>
      </c>
      <c r="I84" s="75">
        <v>6</v>
      </c>
      <c r="J84" s="75">
        <v>9</v>
      </c>
      <c r="K84" s="75">
        <v>9</v>
      </c>
      <c r="L84" s="75">
        <v>8</v>
      </c>
      <c r="M84" s="97">
        <f>5429.56+2272.28</f>
        <v>7701.84</v>
      </c>
      <c r="N84" s="97">
        <f>5429.56-750.84</f>
        <v>4678.72</v>
      </c>
      <c r="O84" s="93">
        <f t="shared" si="4"/>
        <v>3023.12</v>
      </c>
      <c r="P84" s="123">
        <v>1</v>
      </c>
      <c r="Q84" s="12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22" ht="20.100000000000001" customHeight="1" x14ac:dyDescent="0.25">
      <c r="A85" s="155">
        <v>70</v>
      </c>
      <c r="B85" s="99">
        <f t="shared" si="6"/>
        <v>76</v>
      </c>
      <c r="C85" s="11" t="s">
        <v>88</v>
      </c>
      <c r="D85" s="100" t="s">
        <v>124</v>
      </c>
      <c r="E85" s="101"/>
      <c r="F85" s="17" t="s">
        <v>121</v>
      </c>
      <c r="G85" s="72" t="s">
        <v>203</v>
      </c>
      <c r="H85" s="77">
        <v>24</v>
      </c>
      <c r="I85" s="75">
        <v>17</v>
      </c>
      <c r="J85" s="75">
        <v>31</v>
      </c>
      <c r="K85" s="75">
        <v>31</v>
      </c>
      <c r="L85" s="75">
        <v>28</v>
      </c>
      <c r="M85" s="97">
        <f>15506.09+4089.12</f>
        <v>19595.21</v>
      </c>
      <c r="N85" s="97">
        <v>15506.09</v>
      </c>
      <c r="O85" s="93">
        <f t="shared" si="4"/>
        <v>4089.119999999999</v>
      </c>
      <c r="P85" s="123">
        <v>6</v>
      </c>
      <c r="Q85" s="12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22" ht="20.100000000000001" customHeight="1" x14ac:dyDescent="0.25">
      <c r="A86" s="155">
        <v>69</v>
      </c>
      <c r="B86" s="99">
        <f t="shared" si="6"/>
        <v>77</v>
      </c>
      <c r="C86" s="14" t="s">
        <v>89</v>
      </c>
      <c r="D86" s="100" t="s">
        <v>124</v>
      </c>
      <c r="E86" s="101"/>
      <c r="F86" s="19" t="s">
        <v>106</v>
      </c>
      <c r="G86" s="72" t="s">
        <v>202</v>
      </c>
      <c r="H86" s="77">
        <v>10</v>
      </c>
      <c r="I86" s="75">
        <v>4</v>
      </c>
      <c r="J86" s="75">
        <v>4</v>
      </c>
      <c r="K86" s="75">
        <v>4</v>
      </c>
      <c r="L86" s="75">
        <v>4</v>
      </c>
      <c r="M86" s="97">
        <v>1956.76</v>
      </c>
      <c r="N86" s="97"/>
      <c r="O86" s="93">
        <f t="shared" si="4"/>
        <v>1956.76</v>
      </c>
      <c r="P86" s="123">
        <v>2</v>
      </c>
      <c r="Q86" s="12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22" ht="20.100000000000001" customHeight="1" x14ac:dyDescent="0.25">
      <c r="A87" s="155">
        <v>71</v>
      </c>
      <c r="B87" s="99">
        <f t="shared" si="6"/>
        <v>78</v>
      </c>
      <c r="C87" s="14" t="s">
        <v>90</v>
      </c>
      <c r="D87" s="100" t="s">
        <v>124</v>
      </c>
      <c r="E87" s="101"/>
      <c r="F87" s="19" t="s">
        <v>106</v>
      </c>
      <c r="G87" s="72" t="s">
        <v>204</v>
      </c>
      <c r="H87" s="77">
        <v>5</v>
      </c>
      <c r="I87" s="75">
        <v>5</v>
      </c>
      <c r="J87" s="75">
        <v>6</v>
      </c>
      <c r="K87" s="75">
        <v>6</v>
      </c>
      <c r="L87" s="75">
        <v>4</v>
      </c>
      <c r="M87" s="97">
        <f>795.8+4099.92</f>
        <v>4895.72</v>
      </c>
      <c r="N87" s="97">
        <f>795.8+4099.92</f>
        <v>4895.72</v>
      </c>
      <c r="O87" s="93">
        <f t="shared" si="4"/>
        <v>0</v>
      </c>
      <c r="P87" s="123">
        <v>5</v>
      </c>
      <c r="Q87" s="124">
        <v>4</v>
      </c>
      <c r="R87" s="124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  <c r="V87" s="161"/>
    </row>
    <row r="88" spans="1:22" ht="20.100000000000001" customHeight="1" x14ac:dyDescent="0.25">
      <c r="B88" s="99">
        <f t="shared" si="6"/>
        <v>79</v>
      </c>
      <c r="C88" s="10" t="s">
        <v>91</v>
      </c>
      <c r="D88" s="100" t="s">
        <v>124</v>
      </c>
      <c r="E88" s="101"/>
      <c r="F88" s="17" t="s">
        <v>111</v>
      </c>
      <c r="G88" s="72" t="s">
        <v>231</v>
      </c>
      <c r="H88" s="77">
        <v>1</v>
      </c>
      <c r="I88" s="75"/>
      <c r="J88" s="75"/>
      <c r="K88" s="75"/>
      <c r="L88" s="75"/>
      <c r="M88" s="97"/>
      <c r="N88" s="97"/>
      <c r="O88" s="93">
        <f t="shared" si="4"/>
        <v>0</v>
      </c>
      <c r="P88" s="123">
        <v>6</v>
      </c>
      <c r="Q88" s="12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22" ht="20.100000000000001" customHeight="1" x14ac:dyDescent="0.25">
      <c r="A89" s="155">
        <v>72</v>
      </c>
      <c r="B89" s="99">
        <f t="shared" si="6"/>
        <v>80</v>
      </c>
      <c r="C89" s="10" t="s">
        <v>92</v>
      </c>
      <c r="D89" s="100" t="s">
        <v>124</v>
      </c>
      <c r="E89" s="101"/>
      <c r="F89" s="19" t="s">
        <v>106</v>
      </c>
      <c r="G89" s="72" t="s">
        <v>205</v>
      </c>
      <c r="H89" s="77">
        <v>9</v>
      </c>
      <c r="I89" s="75">
        <v>3</v>
      </c>
      <c r="J89" s="75">
        <v>4</v>
      </c>
      <c r="K89" s="75">
        <v>4</v>
      </c>
      <c r="L89" s="75">
        <v>3</v>
      </c>
      <c r="M89" s="97">
        <v>2874.33</v>
      </c>
      <c r="N89" s="97">
        <f>2874.33-380.33</f>
        <v>2494</v>
      </c>
      <c r="O89" s="93">
        <f t="shared" si="4"/>
        <v>380.32999999999993</v>
      </c>
      <c r="P89" s="123">
        <v>5</v>
      </c>
      <c r="Q89" s="124">
        <v>5</v>
      </c>
      <c r="R89" s="124">
        <v>4</v>
      </c>
      <c r="S89" s="97">
        <f>8161.92+1118.75</f>
        <v>9280.67</v>
      </c>
      <c r="T89" s="97">
        <f>8161.92+960.78</f>
        <v>9122.7000000000007</v>
      </c>
      <c r="U89" s="97">
        <f t="shared" si="5"/>
        <v>157.96999999999935</v>
      </c>
      <c r="V89" s="161"/>
    </row>
    <row r="90" spans="1:22" ht="20.100000000000001" customHeight="1" x14ac:dyDescent="0.25">
      <c r="A90" s="155">
        <v>73</v>
      </c>
      <c r="B90" s="99">
        <f t="shared" si="6"/>
        <v>81</v>
      </c>
      <c r="C90" s="11" t="s">
        <v>93</v>
      </c>
      <c r="D90" s="100" t="s">
        <v>124</v>
      </c>
      <c r="E90" s="101"/>
      <c r="F90" s="17" t="s">
        <v>122</v>
      </c>
      <c r="G90" s="72" t="s">
        <v>206</v>
      </c>
      <c r="H90" s="77">
        <v>32</v>
      </c>
      <c r="I90" s="75">
        <v>20</v>
      </c>
      <c r="J90" s="75">
        <v>37</v>
      </c>
      <c r="K90" s="75">
        <v>35</v>
      </c>
      <c r="L90" s="75">
        <v>34</v>
      </c>
      <c r="M90" s="97">
        <f>14303.46+6714.67</f>
        <v>21018.129999999997</v>
      </c>
      <c r="N90" s="97">
        <v>14303.46</v>
      </c>
      <c r="O90" s="93">
        <f t="shared" si="4"/>
        <v>6714.6699999999983</v>
      </c>
      <c r="P90" s="123">
        <v>8</v>
      </c>
      <c r="Q90" s="124">
        <v>7</v>
      </c>
      <c r="R90" s="124">
        <v>7</v>
      </c>
      <c r="S90" s="97">
        <v>3130.8</v>
      </c>
      <c r="T90" s="97">
        <v>3130.8</v>
      </c>
      <c r="U90" s="97">
        <f t="shared" si="5"/>
        <v>0</v>
      </c>
      <c r="V90" s="161"/>
    </row>
    <row r="91" spans="1:22" ht="20.100000000000001" customHeight="1" x14ac:dyDescent="0.25">
      <c r="A91" s="155">
        <v>74</v>
      </c>
      <c r="B91" s="99">
        <f t="shared" si="6"/>
        <v>82</v>
      </c>
      <c r="C91" s="11" t="s">
        <v>94</v>
      </c>
      <c r="D91" s="100" t="s">
        <v>124</v>
      </c>
      <c r="E91" s="101"/>
      <c r="F91" s="19" t="s">
        <v>106</v>
      </c>
      <c r="G91" s="72" t="s">
        <v>218</v>
      </c>
      <c r="H91" s="77">
        <v>13</v>
      </c>
      <c r="I91" s="75">
        <v>5</v>
      </c>
      <c r="J91" s="75">
        <v>10</v>
      </c>
      <c r="K91" s="75">
        <v>10</v>
      </c>
      <c r="L91" s="75">
        <v>10</v>
      </c>
      <c r="M91" s="97">
        <v>5384.83</v>
      </c>
      <c r="N91" s="97">
        <v>5384.83</v>
      </c>
      <c r="O91" s="93">
        <f t="shared" si="4"/>
        <v>0</v>
      </c>
      <c r="P91" s="123">
        <v>6</v>
      </c>
      <c r="Q91" s="124">
        <v>6</v>
      </c>
      <c r="R91" s="124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  <c r="V91" s="161"/>
    </row>
    <row r="92" spans="1:22" ht="20.100000000000001" customHeight="1" x14ac:dyDescent="0.25">
      <c r="A92" s="155">
        <v>75</v>
      </c>
      <c r="B92" s="99">
        <f t="shared" si="6"/>
        <v>83</v>
      </c>
      <c r="C92" s="11" t="s">
        <v>95</v>
      </c>
      <c r="D92" s="100" t="s">
        <v>124</v>
      </c>
      <c r="E92" s="101"/>
      <c r="F92" s="19" t="s">
        <v>123</v>
      </c>
      <c r="G92" s="72" t="s">
        <v>217</v>
      </c>
      <c r="H92" s="77">
        <v>15</v>
      </c>
      <c r="I92" s="75">
        <v>10</v>
      </c>
      <c r="J92" s="75">
        <v>12</v>
      </c>
      <c r="K92" s="75">
        <v>11</v>
      </c>
      <c r="L92" s="75">
        <v>11</v>
      </c>
      <c r="M92" s="97">
        <f>2301.54+4352.56+3555.69</f>
        <v>10209.790000000001</v>
      </c>
      <c r="N92" s="97">
        <f>2301.54+4352.56</f>
        <v>6654.1</v>
      </c>
      <c r="O92" s="93">
        <f t="shared" si="4"/>
        <v>3555.6900000000005</v>
      </c>
      <c r="P92" s="123">
        <v>1</v>
      </c>
      <c r="Q92" s="12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22" ht="20.100000000000001" customHeight="1" x14ac:dyDescent="0.25">
      <c r="A93" s="155">
        <v>76</v>
      </c>
      <c r="B93" s="99">
        <f t="shared" si="6"/>
        <v>84</v>
      </c>
      <c r="C93" s="11" t="s">
        <v>96</v>
      </c>
      <c r="D93" s="100" t="s">
        <v>124</v>
      </c>
      <c r="E93" s="101"/>
      <c r="F93" s="22" t="s">
        <v>112</v>
      </c>
      <c r="G93" s="72" t="s">
        <v>216</v>
      </c>
      <c r="H93" s="77">
        <v>48</v>
      </c>
      <c r="I93" s="75">
        <v>23</v>
      </c>
      <c r="J93" s="75">
        <v>31</v>
      </c>
      <c r="K93" s="75">
        <v>23</v>
      </c>
      <c r="L93" s="75">
        <v>21</v>
      </c>
      <c r="M93" s="97">
        <v>14656.12</v>
      </c>
      <c r="N93" s="97">
        <v>14656.12</v>
      </c>
      <c r="O93" s="93">
        <f t="shared" si="4"/>
        <v>0</v>
      </c>
      <c r="P93" s="123">
        <v>8</v>
      </c>
      <c r="Q93" s="124">
        <v>8</v>
      </c>
      <c r="R93" s="124">
        <v>8</v>
      </c>
      <c r="S93" s="97">
        <v>11083.64</v>
      </c>
      <c r="T93" s="97">
        <v>11083.64</v>
      </c>
      <c r="U93" s="97">
        <f t="shared" si="5"/>
        <v>0</v>
      </c>
      <c r="V93" s="161"/>
    </row>
    <row r="94" spans="1:22" ht="20.100000000000001" customHeight="1" x14ac:dyDescent="0.25">
      <c r="A94" s="155">
        <v>77</v>
      </c>
      <c r="B94" s="99">
        <f t="shared" si="6"/>
        <v>85</v>
      </c>
      <c r="C94" s="11" t="s">
        <v>97</v>
      </c>
      <c r="D94" s="100" t="s">
        <v>124</v>
      </c>
      <c r="E94" s="101"/>
      <c r="F94" s="17" t="s">
        <v>111</v>
      </c>
      <c r="G94" s="72" t="s">
        <v>215</v>
      </c>
      <c r="H94" s="77">
        <v>22</v>
      </c>
      <c r="I94" s="75">
        <v>12</v>
      </c>
      <c r="J94" s="75">
        <v>13</v>
      </c>
      <c r="K94" s="75">
        <v>10</v>
      </c>
      <c r="L94" s="75">
        <v>10</v>
      </c>
      <c r="M94" s="97">
        <f>6576.32+217.5</f>
        <v>6793.82</v>
      </c>
      <c r="N94" s="97">
        <v>6576.32</v>
      </c>
      <c r="O94" s="93">
        <f t="shared" si="4"/>
        <v>217.5</v>
      </c>
      <c r="P94" s="123">
        <v>21</v>
      </c>
      <c r="Q94" s="124">
        <v>19</v>
      </c>
      <c r="R94" s="124">
        <v>19</v>
      </c>
      <c r="S94" s="97">
        <f>18253.04+4245.2</f>
        <v>22498.240000000002</v>
      </c>
      <c r="T94" s="97">
        <f>18253.04+4245.2</f>
        <v>22498.240000000002</v>
      </c>
      <c r="U94" s="97">
        <f t="shared" si="5"/>
        <v>0</v>
      </c>
      <c r="V94" s="161"/>
    </row>
    <row r="95" spans="1:22" ht="20.100000000000001" customHeight="1" x14ac:dyDescent="0.25">
      <c r="A95" s="155">
        <v>78</v>
      </c>
      <c r="B95" s="99">
        <f t="shared" si="6"/>
        <v>86</v>
      </c>
      <c r="C95" s="10" t="s">
        <v>98</v>
      </c>
      <c r="D95" s="100" t="s">
        <v>124</v>
      </c>
      <c r="E95" s="101"/>
      <c r="F95" s="19" t="s">
        <v>106</v>
      </c>
      <c r="G95" s="72" t="s">
        <v>214</v>
      </c>
      <c r="H95" s="77">
        <v>23</v>
      </c>
      <c r="I95" s="75">
        <v>12</v>
      </c>
      <c r="J95" s="75">
        <v>13</v>
      </c>
      <c r="K95" s="75">
        <v>13</v>
      </c>
      <c r="L95" s="75">
        <v>13</v>
      </c>
      <c r="M95" s="97">
        <f>2362.32+22110.36+455.21</f>
        <v>24927.89</v>
      </c>
      <c r="N95" s="97">
        <f>2362.32+22110.36+455.21</f>
        <v>24927.89</v>
      </c>
      <c r="O95" s="93">
        <f t="shared" si="4"/>
        <v>0</v>
      </c>
      <c r="P95" s="123">
        <v>13</v>
      </c>
      <c r="Q95" s="124">
        <v>13</v>
      </c>
      <c r="R95" s="124">
        <v>12</v>
      </c>
      <c r="S95" s="97">
        <f>24552.24+1001.28+122.46</f>
        <v>25675.98</v>
      </c>
      <c r="T95" s="97">
        <f>24552.24+1001.28+122.46</f>
        <v>25675.98</v>
      </c>
      <c r="U95" s="97">
        <f t="shared" si="5"/>
        <v>0</v>
      </c>
      <c r="V95" s="161"/>
    </row>
    <row r="96" spans="1:22" ht="20.100000000000001" customHeight="1" x14ac:dyDescent="0.25">
      <c r="A96" s="155">
        <v>80</v>
      </c>
      <c r="B96" s="99">
        <f t="shared" si="6"/>
        <v>87</v>
      </c>
      <c r="C96" s="10" t="s">
        <v>129</v>
      </c>
      <c r="D96" s="100" t="s">
        <v>124</v>
      </c>
      <c r="E96" s="101"/>
      <c r="F96" s="19" t="s">
        <v>106</v>
      </c>
      <c r="G96" s="72" t="s">
        <v>212</v>
      </c>
      <c r="H96" s="77">
        <v>9</v>
      </c>
      <c r="I96" s="75">
        <v>1</v>
      </c>
      <c r="J96" s="75">
        <v>2</v>
      </c>
      <c r="K96" s="75">
        <v>2</v>
      </c>
      <c r="L96" s="75">
        <v>2</v>
      </c>
      <c r="M96" s="97">
        <v>826.8</v>
      </c>
      <c r="N96" s="97">
        <v>826.8</v>
      </c>
      <c r="O96" s="93">
        <f t="shared" si="4"/>
        <v>0</v>
      </c>
      <c r="P96" s="123"/>
      <c r="Q96" s="124"/>
      <c r="R96" s="124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0" t="s">
        <v>99</v>
      </c>
      <c r="D97" s="100" t="s">
        <v>124</v>
      </c>
      <c r="E97" s="101"/>
      <c r="F97" s="19" t="s">
        <v>106</v>
      </c>
      <c r="G97" s="72" t="s">
        <v>213</v>
      </c>
      <c r="H97" s="77">
        <v>10</v>
      </c>
      <c r="I97" s="75">
        <v>6</v>
      </c>
      <c r="J97" s="75">
        <v>7</v>
      </c>
      <c r="K97" s="75">
        <v>7</v>
      </c>
      <c r="L97" s="75">
        <v>6</v>
      </c>
      <c r="M97" s="97">
        <v>3171.93</v>
      </c>
      <c r="N97" s="97">
        <v>3171.93</v>
      </c>
      <c r="O97" s="93">
        <f t="shared" si="4"/>
        <v>0</v>
      </c>
      <c r="P97" s="123">
        <v>4</v>
      </c>
      <c r="Q97" s="12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3" t="s">
        <v>100</v>
      </c>
      <c r="D98" s="100" t="s">
        <v>124</v>
      </c>
      <c r="E98" s="101"/>
      <c r="F98" s="19" t="s">
        <v>106</v>
      </c>
      <c r="G98" s="72" t="s">
        <v>211</v>
      </c>
      <c r="H98" s="77">
        <v>13</v>
      </c>
      <c r="I98" s="75">
        <v>4</v>
      </c>
      <c r="J98" s="75">
        <v>4</v>
      </c>
      <c r="K98" s="75">
        <v>4</v>
      </c>
      <c r="L98" s="75">
        <v>4</v>
      </c>
      <c r="M98" s="97">
        <f>757.9+551.2</f>
        <v>1309.0999999999999</v>
      </c>
      <c r="N98" s="97">
        <v>757.9</v>
      </c>
      <c r="O98" s="93">
        <f t="shared" si="4"/>
        <v>551.19999999999993</v>
      </c>
      <c r="P98" s="123">
        <v>8</v>
      </c>
      <c r="Q98" s="124">
        <v>8</v>
      </c>
      <c r="R98" s="124">
        <v>7</v>
      </c>
      <c r="S98" s="97">
        <v>8034.56</v>
      </c>
      <c r="T98" s="97">
        <v>8034.56</v>
      </c>
      <c r="U98" s="97">
        <f t="shared" si="5"/>
        <v>0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3" t="s">
        <v>101</v>
      </c>
      <c r="D99" s="100" t="s">
        <v>124</v>
      </c>
      <c r="E99" s="101"/>
      <c r="F99" s="17" t="s">
        <v>106</v>
      </c>
      <c r="G99" s="72" t="s">
        <v>210</v>
      </c>
      <c r="H99" s="77">
        <v>18</v>
      </c>
      <c r="I99" s="75">
        <v>8</v>
      </c>
      <c r="J99" s="75">
        <v>9</v>
      </c>
      <c r="K99" s="75">
        <v>8</v>
      </c>
      <c r="L99" s="75">
        <v>7</v>
      </c>
      <c r="M99" s="97">
        <f>4782.23+1353.89</f>
        <v>6136.12</v>
      </c>
      <c r="N99" s="97">
        <v>4782.2299999999996</v>
      </c>
      <c r="O99" s="93">
        <f t="shared" si="4"/>
        <v>1353.8900000000003</v>
      </c>
      <c r="P99" s="123">
        <v>10</v>
      </c>
      <c r="Q99" s="124">
        <v>10</v>
      </c>
      <c r="R99" s="124">
        <v>8</v>
      </c>
      <c r="S99" s="97">
        <v>12321.66</v>
      </c>
      <c r="T99" s="97">
        <v>12321.66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3" t="s">
        <v>102</v>
      </c>
      <c r="D100" s="100" t="s">
        <v>124</v>
      </c>
      <c r="E100" s="101"/>
      <c r="F100" s="17" t="s">
        <v>106</v>
      </c>
      <c r="G100" s="72" t="s">
        <v>209</v>
      </c>
      <c r="H100" s="77">
        <v>16</v>
      </c>
      <c r="I100" s="75">
        <v>10</v>
      </c>
      <c r="J100" s="75">
        <v>12</v>
      </c>
      <c r="K100" s="75">
        <v>12</v>
      </c>
      <c r="L100" s="75">
        <v>12</v>
      </c>
      <c r="M100" s="97">
        <f>10862.96+2375.03</f>
        <v>13237.99</v>
      </c>
      <c r="N100" s="97">
        <f>10862.96-4405.49</f>
        <v>6457.4699999999993</v>
      </c>
      <c r="O100" s="93">
        <f t="shared" si="4"/>
        <v>6780.52</v>
      </c>
      <c r="P100" s="123">
        <v>10</v>
      </c>
      <c r="Q100" s="124">
        <v>10</v>
      </c>
      <c r="R100" s="124">
        <v>10</v>
      </c>
      <c r="S100" s="97">
        <v>4780.1000000000004</v>
      </c>
      <c r="T100" s="97">
        <f>4780.1-547.19</f>
        <v>4232.91</v>
      </c>
      <c r="U100" s="97">
        <f t="shared" si="5"/>
        <v>547.19000000000051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1" t="s">
        <v>103</v>
      </c>
      <c r="D101" s="100" t="s">
        <v>124</v>
      </c>
      <c r="E101" s="101"/>
      <c r="F101" s="22" t="s">
        <v>112</v>
      </c>
      <c r="G101" s="72" t="s">
        <v>208</v>
      </c>
      <c r="H101" s="77">
        <v>42</v>
      </c>
      <c r="I101" s="75">
        <v>27</v>
      </c>
      <c r="J101" s="75">
        <v>30</v>
      </c>
      <c r="K101" s="75">
        <v>26</v>
      </c>
      <c r="L101" s="75">
        <v>20</v>
      </c>
      <c r="M101" s="97">
        <f>16276.16+4466.66+1078.5</f>
        <v>21821.32</v>
      </c>
      <c r="N101" s="97">
        <f>16276.16+1078.5</f>
        <v>17354.66</v>
      </c>
      <c r="O101" s="93">
        <f t="shared" si="4"/>
        <v>4466.66</v>
      </c>
      <c r="P101" s="123">
        <v>24</v>
      </c>
      <c r="Q101" s="124">
        <v>23</v>
      </c>
      <c r="R101" s="124">
        <v>23</v>
      </c>
      <c r="S101" s="97">
        <f>21329.45-2252.12+532.3</f>
        <v>19609.63</v>
      </c>
      <c r="T101" s="97">
        <f>21329.45-2252.12</f>
        <v>19077.330000000002</v>
      </c>
      <c r="U101" s="97">
        <f t="shared" si="5"/>
        <v>532.29999999999927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16" t="s">
        <v>104</v>
      </c>
      <c r="D102" s="111" t="s">
        <v>124</v>
      </c>
      <c r="E102" s="112"/>
      <c r="F102" s="117" t="s">
        <v>106</v>
      </c>
      <c r="G102" s="118" t="s">
        <v>207</v>
      </c>
      <c r="H102" s="113">
        <v>7</v>
      </c>
      <c r="I102" s="114">
        <v>4</v>
      </c>
      <c r="J102" s="114">
        <v>5</v>
      </c>
      <c r="K102" s="114">
        <v>5</v>
      </c>
      <c r="L102" s="114">
        <v>5</v>
      </c>
      <c r="M102" s="147">
        <v>3259.83</v>
      </c>
      <c r="N102" s="147">
        <v>3259.83</v>
      </c>
      <c r="O102" s="93">
        <f t="shared" si="4"/>
        <v>0</v>
      </c>
      <c r="P102" s="149">
        <v>3</v>
      </c>
      <c r="Q102" s="150">
        <v>3</v>
      </c>
      <c r="R102" s="150">
        <v>3</v>
      </c>
      <c r="S102" s="147">
        <v>1193.3</v>
      </c>
      <c r="T102" s="147">
        <v>1193.3</v>
      </c>
      <c r="U102" s="147">
        <f t="shared" si="5"/>
        <v>0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0" t="s">
        <v>258</v>
      </c>
      <c r="D103" s="111" t="s">
        <v>124</v>
      </c>
      <c r="E103" s="101"/>
      <c r="F103" s="12" t="s">
        <v>106</v>
      </c>
      <c r="G103" s="118" t="s">
        <v>261</v>
      </c>
      <c r="H103" s="75">
        <v>6</v>
      </c>
      <c r="I103" s="75">
        <v>1</v>
      </c>
      <c r="J103" s="75">
        <v>1</v>
      </c>
      <c r="K103" s="75">
        <v>1</v>
      </c>
      <c r="L103" s="75"/>
      <c r="M103" s="97"/>
      <c r="N103" s="97"/>
      <c r="O103" s="93">
        <f t="shared" si="4"/>
        <v>0</v>
      </c>
      <c r="P103" s="124"/>
      <c r="Q103" s="124"/>
      <c r="R103" s="124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0" t="s">
        <v>242</v>
      </c>
      <c r="D104" s="111" t="s">
        <v>124</v>
      </c>
      <c r="E104" s="101"/>
      <c r="F104" s="12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75">
        <v>2</v>
      </c>
      <c r="L104" s="75">
        <v>2</v>
      </c>
      <c r="M104" s="97">
        <v>2252.12</v>
      </c>
      <c r="N104" s="97">
        <v>2252.12</v>
      </c>
      <c r="O104" s="93">
        <f t="shared" si="4"/>
        <v>0</v>
      </c>
      <c r="P104" s="124"/>
      <c r="Q104" s="124"/>
      <c r="R104" s="124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Q105" si="7">SUM(H10:H104)</f>
        <v>1417</v>
      </c>
      <c r="I105" s="119">
        <f t="shared" si="7"/>
        <v>784</v>
      </c>
      <c r="J105" s="119">
        <f t="shared" si="7"/>
        <v>1046</v>
      </c>
      <c r="K105" s="119">
        <f t="shared" si="7"/>
        <v>975</v>
      </c>
      <c r="L105" s="119">
        <f t="shared" si="7"/>
        <v>861</v>
      </c>
      <c r="M105" s="151">
        <f t="shared" si="7"/>
        <v>707853.09999999986</v>
      </c>
      <c r="N105" s="151">
        <f t="shared" si="7"/>
        <v>548880.76</v>
      </c>
      <c r="O105" s="151">
        <f t="shared" si="7"/>
        <v>158972.34000000003</v>
      </c>
      <c r="P105" s="152">
        <f t="shared" si="7"/>
        <v>655</v>
      </c>
      <c r="Q105" s="152">
        <f t="shared" si="7"/>
        <v>637</v>
      </c>
      <c r="R105" s="152">
        <f>SUM(R11:R104)</f>
        <v>609</v>
      </c>
      <c r="S105" s="151">
        <f>SUM(S10:S104)</f>
        <v>792800.53000000026</v>
      </c>
      <c r="T105" s="151">
        <f>SUM(T10:T104)</f>
        <v>749013.79000000015</v>
      </c>
      <c r="U105" s="120">
        <f>SUM(U10:U104)</f>
        <v>43786.739999999991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62">
        <f>M105+S105</f>
        <v>1500653.6300000001</v>
      </c>
      <c r="AG105" s="162">
        <f>N105+T105</f>
        <v>1297894.5500000003</v>
      </c>
      <c r="AH105" s="164">
        <f>O105+U105</f>
        <v>202759.08000000002</v>
      </c>
    </row>
    <row r="106" spans="1:35" x14ac:dyDescent="0.25"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3"/>
      <c r="AG106" s="163"/>
      <c r="AH106" s="163"/>
    </row>
    <row r="107" spans="1:35" x14ac:dyDescent="0.25">
      <c r="V107" s="145"/>
      <c r="W107" s="145"/>
      <c r="AF107" s="162"/>
      <c r="AG107" s="162"/>
      <c r="AH107" s="162"/>
      <c r="AI107" s="145"/>
    </row>
    <row r="108" spans="1:35" x14ac:dyDescent="0.25">
      <c r="AF108" s="162">
        <f>1500653.63-AF105</f>
        <v>0</v>
      </c>
      <c r="AG108" s="163"/>
      <c r="AH108" s="163"/>
    </row>
    <row r="109" spans="1:35" x14ac:dyDescent="0.25">
      <c r="AF109" s="163"/>
      <c r="AG109" s="163"/>
      <c r="AH109" s="163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403" priority="8" stopIfTrue="1" operator="equal">
      <formula>0</formula>
    </cfRule>
  </conditionalFormatting>
  <conditionalFormatting sqref="AL45">
    <cfRule type="cellIs" dxfId="402" priority="7" stopIfTrue="1" operator="equal">
      <formula>0</formula>
    </cfRule>
  </conditionalFormatting>
  <conditionalFormatting sqref="T45">
    <cfRule type="cellIs" dxfId="401" priority="6" stopIfTrue="1" operator="equal">
      <formula>0</formula>
    </cfRule>
  </conditionalFormatting>
  <conditionalFormatting sqref="T45">
    <cfRule type="cellIs" dxfId="400" priority="5" stopIfTrue="1" operator="equal">
      <formula>0</formula>
    </cfRule>
  </conditionalFormatting>
  <conditionalFormatting sqref="T45">
    <cfRule type="cellIs" dxfId="399" priority="4" stopIfTrue="1" operator="equal">
      <formula>0</formula>
    </cfRule>
  </conditionalFormatting>
  <conditionalFormatting sqref="T45">
    <cfRule type="cellIs" dxfId="398" priority="3" stopIfTrue="1" operator="equal">
      <formula>0</formula>
    </cfRule>
  </conditionalFormatting>
  <conditionalFormatting sqref="T45">
    <cfRule type="cellIs" dxfId="397" priority="2" stopIfTrue="1" operator="equal">
      <formula>0</formula>
    </cfRule>
  </conditionalFormatting>
  <conditionalFormatting sqref="T45">
    <cfRule type="cellIs" dxfId="396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9"/>
  <sheetViews>
    <sheetView topLeftCell="I1" zoomScale="80" zoomScaleNormal="80" workbookViewId="0">
      <selection activeCell="B90" sqref="B90"/>
    </sheetView>
  </sheetViews>
  <sheetFormatPr defaultRowHeight="15.75" x14ac:dyDescent="0.25"/>
  <cols>
    <col min="1" max="1" width="9.140625" style="155" hidden="1" customWidth="1"/>
    <col min="2" max="2" width="9.140625" style="55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12.42578125" style="109" customWidth="1"/>
    <col min="15" max="15" width="12.28515625" style="109" customWidth="1"/>
    <col min="16" max="18" width="9.140625" style="109" customWidth="1"/>
    <col min="19" max="19" width="16.85546875" style="109" customWidth="1"/>
    <col min="20" max="20" width="10.7109375" style="109" customWidth="1"/>
    <col min="21" max="21" width="10.7109375" style="133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0.28515625" style="134" bestFit="1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284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283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26</v>
      </c>
      <c r="I10" s="75">
        <v>15</v>
      </c>
      <c r="J10" s="75">
        <v>17</v>
      </c>
      <c r="K10" s="75">
        <v>17</v>
      </c>
      <c r="L10" s="75">
        <v>11</v>
      </c>
      <c r="M10" s="97">
        <f>8818.63+2629.32</f>
        <v>11447.949999999999</v>
      </c>
      <c r="N10" s="97">
        <f>8818.63+2629.32</f>
        <v>11447.949999999999</v>
      </c>
      <c r="O10" s="93">
        <f xml:space="preserve"> (M10-N10)</f>
        <v>0</v>
      </c>
      <c r="P10" s="123">
        <v>7</v>
      </c>
      <c r="Q10" s="124">
        <v>7</v>
      </c>
      <c r="R10" s="124">
        <v>6</v>
      </c>
      <c r="S10" s="97">
        <v>4246.75</v>
      </c>
      <c r="T10" s="97">
        <v>4246.75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6</v>
      </c>
      <c r="I11" s="75">
        <v>5</v>
      </c>
      <c r="J11" s="75">
        <v>5</v>
      </c>
      <c r="K11" s="75">
        <v>5</v>
      </c>
      <c r="L11" s="75">
        <v>5</v>
      </c>
      <c r="M11" s="97">
        <v>1778.86</v>
      </c>
      <c r="N11" s="97">
        <v>1778.86</v>
      </c>
      <c r="O11" s="93">
        <f t="shared" ref="O11:O74" si="1" xml:space="preserve"> (M11-N11)</f>
        <v>0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18</v>
      </c>
      <c r="I13" s="75">
        <v>8</v>
      </c>
      <c r="J13" s="75">
        <v>11</v>
      </c>
      <c r="K13" s="75">
        <v>11</v>
      </c>
      <c r="L13" s="75">
        <v>11</v>
      </c>
      <c r="M13" s="97">
        <f>272.84+2699.54+4096.17</f>
        <v>7068.55</v>
      </c>
      <c r="N13" s="97">
        <f>272.84+2699.54+4096.17</f>
        <v>7068.55</v>
      </c>
      <c r="O13" s="93">
        <f t="shared" si="1"/>
        <v>0</v>
      </c>
      <c r="P13" s="123">
        <v>5</v>
      </c>
      <c r="Q13" s="124">
        <v>5</v>
      </c>
      <c r="R13" s="124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26</v>
      </c>
      <c r="I14" s="75">
        <v>10</v>
      </c>
      <c r="J14" s="75">
        <v>11</v>
      </c>
      <c r="K14" s="75">
        <v>10</v>
      </c>
      <c r="L14" s="75">
        <v>10</v>
      </c>
      <c r="M14" s="97">
        <v>4932.74</v>
      </c>
      <c r="N14" s="97">
        <v>4932.74</v>
      </c>
      <c r="O14" s="93">
        <f t="shared" si="1"/>
        <v>0</v>
      </c>
      <c r="P14" s="123">
        <v>6</v>
      </c>
      <c r="Q14" s="124">
        <v>6</v>
      </c>
      <c r="R14" s="124">
        <v>5</v>
      </c>
      <c r="S14" s="97">
        <v>2847.1</v>
      </c>
      <c r="T14" s="97">
        <v>2847.1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21</v>
      </c>
      <c r="I15" s="75">
        <v>17</v>
      </c>
      <c r="J15" s="75">
        <v>23</v>
      </c>
      <c r="K15" s="75">
        <v>23</v>
      </c>
      <c r="L15" s="75">
        <v>21</v>
      </c>
      <c r="M15" s="97">
        <v>16942.87</v>
      </c>
      <c r="N15" s="97">
        <v>16942.87</v>
      </c>
      <c r="O15" s="93">
        <f t="shared" si="1"/>
        <v>0</v>
      </c>
      <c r="P15" s="123">
        <v>13</v>
      </c>
      <c r="Q15" s="124">
        <v>13</v>
      </c>
      <c r="R15" s="124">
        <v>13</v>
      </c>
      <c r="S15" s="97">
        <v>13813.9</v>
      </c>
      <c r="T15" s="97">
        <v>13813.9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22</v>
      </c>
      <c r="I17" s="75">
        <v>8</v>
      </c>
      <c r="J17" s="75">
        <v>11</v>
      </c>
      <c r="K17" s="75">
        <v>9</v>
      </c>
      <c r="L17" s="75">
        <v>9</v>
      </c>
      <c r="M17" s="97">
        <v>7235.14</v>
      </c>
      <c r="N17" s="97">
        <v>7235.14</v>
      </c>
      <c r="O17" s="93">
        <f t="shared" si="1"/>
        <v>0</v>
      </c>
      <c r="P17" s="123">
        <v>1</v>
      </c>
      <c r="Q17" s="124">
        <v>1</v>
      </c>
      <c r="R17" s="124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10</v>
      </c>
      <c r="I18" s="75"/>
      <c r="J18" s="75"/>
      <c r="K18" s="75"/>
      <c r="L18" s="75"/>
      <c r="M18" s="97">
        <v>2118.92</v>
      </c>
      <c r="N18" s="97">
        <v>2118.92</v>
      </c>
      <c r="O18" s="93">
        <f t="shared" si="1"/>
        <v>0</v>
      </c>
      <c r="P18" s="123">
        <v>5</v>
      </c>
      <c r="Q18" s="124">
        <v>5</v>
      </c>
      <c r="R18" s="124">
        <v>5</v>
      </c>
      <c r="S18" s="97">
        <v>14748.55</v>
      </c>
      <c r="T18" s="97">
        <v>14748.55</v>
      </c>
      <c r="U18" s="97">
        <f t="shared" si="2"/>
        <v>0</v>
      </c>
      <c r="V18" s="161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20</v>
      </c>
      <c r="I19" s="75">
        <v>12</v>
      </c>
      <c r="J19" s="75">
        <v>19</v>
      </c>
      <c r="K19" s="75">
        <v>19</v>
      </c>
      <c r="L19" s="75">
        <v>15</v>
      </c>
      <c r="M19" s="97">
        <f>5345.36+3385.2</f>
        <v>8730.56</v>
      </c>
      <c r="N19" s="97">
        <f>5345.36+3385.2</f>
        <v>8730.56</v>
      </c>
      <c r="O19" s="93">
        <f t="shared" si="1"/>
        <v>0</v>
      </c>
      <c r="P19" s="123">
        <v>15</v>
      </c>
      <c r="Q19" s="124">
        <v>15</v>
      </c>
      <c r="R19" s="124">
        <v>13</v>
      </c>
      <c r="S19" s="97">
        <f>12589.36+4299.58+3922.41+8458.25</f>
        <v>29269.600000000002</v>
      </c>
      <c r="T19" s="97">
        <f>12589.36+4299.58+3922.41+8458.25</f>
        <v>29269.600000000002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25</v>
      </c>
      <c r="I20" s="75">
        <v>8</v>
      </c>
      <c r="J20" s="75">
        <v>12</v>
      </c>
      <c r="K20" s="75">
        <v>11</v>
      </c>
      <c r="L20" s="75">
        <v>11</v>
      </c>
      <c r="M20" s="97">
        <f>5728.14+3727.02</f>
        <v>9455.16</v>
      </c>
      <c r="N20" s="97">
        <f>5728.14+3727.02</f>
        <v>9455.16</v>
      </c>
      <c r="O20" s="93">
        <f t="shared" si="1"/>
        <v>0</v>
      </c>
      <c r="P20" s="123">
        <v>24</v>
      </c>
      <c r="Q20" s="124">
        <v>23</v>
      </c>
      <c r="R20" s="124">
        <v>23</v>
      </c>
      <c r="S20" s="97">
        <v>36404.57</v>
      </c>
      <c r="T20" s="97">
        <v>36404.57</v>
      </c>
      <c r="U20" s="97">
        <f t="shared" si="2"/>
        <v>0</v>
      </c>
      <c r="V20" s="16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14</v>
      </c>
      <c r="I21" s="75">
        <v>6</v>
      </c>
      <c r="J21" s="75">
        <v>8</v>
      </c>
      <c r="K21" s="75">
        <v>8</v>
      </c>
      <c r="L21" s="75">
        <v>6</v>
      </c>
      <c r="M21" s="97">
        <f>3586.84+1791.4</f>
        <v>5378.24</v>
      </c>
      <c r="N21" s="97">
        <f>3586.84+1791.4</f>
        <v>5378.24</v>
      </c>
      <c r="O21" s="93">
        <f t="shared" si="1"/>
        <v>0</v>
      </c>
      <c r="P21" s="123">
        <v>5</v>
      </c>
      <c r="Q21" s="124">
        <v>5</v>
      </c>
      <c r="R21" s="124">
        <v>5</v>
      </c>
      <c r="S21" s="97">
        <v>7288.02</v>
      </c>
      <c r="T21" s="97">
        <v>7288.02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57</v>
      </c>
      <c r="I22" s="75">
        <v>24</v>
      </c>
      <c r="J22" s="75">
        <v>33</v>
      </c>
      <c r="K22" s="75">
        <v>31</v>
      </c>
      <c r="L22" s="75">
        <v>31</v>
      </c>
      <c r="M22" s="97">
        <f>19787.02+2513.73</f>
        <v>22300.75</v>
      </c>
      <c r="N22" s="97">
        <f>19787.02+2513.73</f>
        <v>22300.75</v>
      </c>
      <c r="O22" s="93">
        <f t="shared" si="1"/>
        <v>0</v>
      </c>
      <c r="P22" s="123">
        <v>20</v>
      </c>
      <c r="Q22" s="124">
        <v>19</v>
      </c>
      <c r="R22" s="124">
        <v>19</v>
      </c>
      <c r="S22" s="97">
        <v>24103.23</v>
      </c>
      <c r="T22" s="97">
        <v>24103.23</v>
      </c>
      <c r="U22" s="97">
        <f t="shared" si="2"/>
        <v>0</v>
      </c>
      <c r="V22" s="161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12</v>
      </c>
      <c r="I23" s="75">
        <v>5</v>
      </c>
      <c r="J23" s="75">
        <v>7</v>
      </c>
      <c r="K23" s="75">
        <v>7</v>
      </c>
      <c r="L23" s="75">
        <v>7</v>
      </c>
      <c r="M23" s="97">
        <f>5739.04+1828.05</f>
        <v>7567.09</v>
      </c>
      <c r="N23" s="97">
        <f>5739.04+1828.05</f>
        <v>7567.09</v>
      </c>
      <c r="O23" s="93">
        <f t="shared" si="1"/>
        <v>0</v>
      </c>
      <c r="P23" s="123">
        <v>11</v>
      </c>
      <c r="Q23" s="124">
        <v>11</v>
      </c>
      <c r="R23" s="124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13</v>
      </c>
      <c r="I24" s="75">
        <v>8</v>
      </c>
      <c r="J24" s="75">
        <v>10</v>
      </c>
      <c r="K24" s="75">
        <v>10</v>
      </c>
      <c r="L24" s="75">
        <v>10</v>
      </c>
      <c r="M24" s="97">
        <v>1515.11</v>
      </c>
      <c r="N24" s="97">
        <v>1515.11</v>
      </c>
      <c r="O24" s="93">
        <f t="shared" si="1"/>
        <v>0</v>
      </c>
      <c r="P24" s="123">
        <v>8</v>
      </c>
      <c r="Q24" s="124">
        <v>7</v>
      </c>
      <c r="R24" s="124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22</v>
      </c>
      <c r="I25" s="75">
        <v>9</v>
      </c>
      <c r="J25" s="75">
        <v>22</v>
      </c>
      <c r="K25" s="75">
        <v>22</v>
      </c>
      <c r="L25" s="75">
        <v>12</v>
      </c>
      <c r="M25" s="97">
        <v>9005.69</v>
      </c>
      <c r="N25" s="97">
        <v>9005.69</v>
      </c>
      <c r="O25" s="93">
        <f t="shared" si="1"/>
        <v>0</v>
      </c>
      <c r="P25" s="123">
        <v>21</v>
      </c>
      <c r="Q25" s="124">
        <v>20</v>
      </c>
      <c r="R25" s="124">
        <v>20</v>
      </c>
      <c r="S25" s="97">
        <v>24213.05</v>
      </c>
      <c r="T25" s="97">
        <v>24213.05</v>
      </c>
      <c r="U25" s="97">
        <f t="shared" si="2"/>
        <v>0</v>
      </c>
      <c r="V25" s="161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19</v>
      </c>
      <c r="I26" s="75">
        <v>8</v>
      </c>
      <c r="J26" s="75">
        <v>13</v>
      </c>
      <c r="K26" s="75">
        <v>13</v>
      </c>
      <c r="L26" s="75">
        <v>13</v>
      </c>
      <c r="M26" s="97">
        <f>3777.1+6399.51</f>
        <v>10176.61</v>
      </c>
      <c r="N26" s="97">
        <f>3777.1+6399.51</f>
        <v>10176.61</v>
      </c>
      <c r="O26" s="93">
        <f t="shared" si="1"/>
        <v>0</v>
      </c>
      <c r="P26" s="123">
        <v>10</v>
      </c>
      <c r="Q26" s="124">
        <v>10</v>
      </c>
      <c r="R26" s="124">
        <v>10</v>
      </c>
      <c r="S26" s="97">
        <v>3386.7</v>
      </c>
      <c r="T26" s="97">
        <v>3386.7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21</v>
      </c>
      <c r="I27" s="75">
        <v>8</v>
      </c>
      <c r="J27" s="75">
        <v>18</v>
      </c>
      <c r="K27" s="75">
        <v>18</v>
      </c>
      <c r="L27" s="75">
        <v>14</v>
      </c>
      <c r="M27" s="97">
        <v>6801.73</v>
      </c>
      <c r="N27" s="97">
        <v>6801.73</v>
      </c>
      <c r="O27" s="93">
        <f t="shared" si="1"/>
        <v>0</v>
      </c>
      <c r="P27" s="123">
        <v>14</v>
      </c>
      <c r="Q27" s="124">
        <v>14</v>
      </c>
      <c r="R27" s="124">
        <v>13</v>
      </c>
      <c r="S27" s="97">
        <v>12827.9</v>
      </c>
      <c r="T27" s="97">
        <v>12827.9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19</v>
      </c>
      <c r="I29" s="75">
        <v>12</v>
      </c>
      <c r="J29" s="75">
        <v>17</v>
      </c>
      <c r="K29" s="75">
        <v>17</v>
      </c>
      <c r="L29" s="75">
        <v>17</v>
      </c>
      <c r="M29" s="97">
        <f>7765.28+1107.91</f>
        <v>8873.19</v>
      </c>
      <c r="N29" s="97">
        <f>7765.28+1107.91</f>
        <v>8873.19</v>
      </c>
      <c r="O29" s="93">
        <f t="shared" si="1"/>
        <v>0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24</v>
      </c>
      <c r="I30" s="75">
        <v>16</v>
      </c>
      <c r="J30" s="75">
        <v>19</v>
      </c>
      <c r="K30" s="75">
        <v>16</v>
      </c>
      <c r="L30" s="75">
        <v>15</v>
      </c>
      <c r="M30" s="97">
        <f>5246.17+4965.96</f>
        <v>10212.130000000001</v>
      </c>
      <c r="N30" s="97">
        <f>5246.17+4965.96</f>
        <v>10212.130000000001</v>
      </c>
      <c r="O30" s="93">
        <f t="shared" si="1"/>
        <v>0</v>
      </c>
      <c r="P30" s="123">
        <v>21</v>
      </c>
      <c r="Q30" s="124">
        <v>21</v>
      </c>
      <c r="R30" s="124">
        <v>19</v>
      </c>
      <c r="S30" s="97">
        <f>39414.6+4786.67</f>
        <v>44201.27</v>
      </c>
      <c r="T30" s="97">
        <f>39414.6+4786.67</f>
        <v>44201.27</v>
      </c>
      <c r="U30" s="97">
        <f t="shared" si="2"/>
        <v>0</v>
      </c>
      <c r="V30" s="16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1" t="s">
        <v>38</v>
      </c>
      <c r="D31" s="100" t="s">
        <v>124</v>
      </c>
      <c r="E31" s="101"/>
      <c r="F31" s="17" t="s">
        <v>106</v>
      </c>
      <c r="G31" s="72" t="s">
        <v>157</v>
      </c>
      <c r="H31" s="77">
        <v>4</v>
      </c>
      <c r="I31" s="75">
        <v>1</v>
      </c>
      <c r="J31" s="75">
        <v>2</v>
      </c>
      <c r="K31" s="75">
        <v>2</v>
      </c>
      <c r="L31" s="75">
        <v>2</v>
      </c>
      <c r="M31" s="97">
        <v>859.25</v>
      </c>
      <c r="N31" s="97">
        <v>859.25</v>
      </c>
      <c r="O31" s="93">
        <f t="shared" si="1"/>
        <v>0</v>
      </c>
      <c r="P31" s="123">
        <v>2</v>
      </c>
      <c r="Q31" s="12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0" t="s">
        <v>39</v>
      </c>
      <c r="D32" s="100" t="s">
        <v>124</v>
      </c>
      <c r="E32" s="101"/>
      <c r="F32" s="10" t="s">
        <v>105</v>
      </c>
      <c r="G32" s="72" t="s">
        <v>220</v>
      </c>
      <c r="H32" s="77"/>
      <c r="I32" s="75"/>
      <c r="J32" s="75"/>
      <c r="K32" s="75"/>
      <c r="L32" s="75"/>
      <c r="M32" s="97"/>
      <c r="N32" s="97"/>
      <c r="O32" s="93">
        <f t="shared" si="1"/>
        <v>0</v>
      </c>
      <c r="P32" s="123"/>
      <c r="Q32" s="124"/>
      <c r="R32" s="124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0" t="s">
        <v>137</v>
      </c>
      <c r="D33" s="100" t="s">
        <v>124</v>
      </c>
      <c r="E33" s="101"/>
      <c r="F33" s="17" t="s">
        <v>106</v>
      </c>
      <c r="G33" s="72" t="s">
        <v>158</v>
      </c>
      <c r="H33" s="77">
        <v>11</v>
      </c>
      <c r="I33" s="75">
        <v>8</v>
      </c>
      <c r="J33" s="75">
        <v>9</v>
      </c>
      <c r="K33" s="75">
        <v>9</v>
      </c>
      <c r="L33" s="75">
        <v>7</v>
      </c>
      <c r="M33" s="97">
        <f>4065.1+2226.4</f>
        <v>6291.5</v>
      </c>
      <c r="N33" s="97">
        <f>4065.1+2226.4</f>
        <v>6291.5</v>
      </c>
      <c r="O33" s="93">
        <f t="shared" si="1"/>
        <v>0</v>
      </c>
      <c r="P33" s="123"/>
      <c r="Q33" s="124"/>
      <c r="R33" s="124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2" t="s">
        <v>40</v>
      </c>
      <c r="D34" s="100" t="s">
        <v>124</v>
      </c>
      <c r="E34" s="101"/>
      <c r="F34" s="19" t="s">
        <v>115</v>
      </c>
      <c r="G34" s="72" t="s">
        <v>159</v>
      </c>
      <c r="H34" s="77">
        <v>15</v>
      </c>
      <c r="I34" s="75">
        <v>10</v>
      </c>
      <c r="J34" s="75">
        <v>16</v>
      </c>
      <c r="K34" s="75">
        <v>16</v>
      </c>
      <c r="L34" s="75">
        <v>14</v>
      </c>
      <c r="M34" s="97">
        <v>8742.16</v>
      </c>
      <c r="N34" s="97">
        <v>8742.16</v>
      </c>
      <c r="O34" s="93">
        <f t="shared" si="1"/>
        <v>0</v>
      </c>
      <c r="P34" s="123">
        <v>2</v>
      </c>
      <c r="Q34" s="12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1" t="s">
        <v>41</v>
      </c>
      <c r="D35" s="100" t="s">
        <v>124</v>
      </c>
      <c r="E35" s="101"/>
      <c r="F35" s="17" t="s">
        <v>106</v>
      </c>
      <c r="G35" s="72" t="s">
        <v>160</v>
      </c>
      <c r="H35" s="77">
        <v>11</v>
      </c>
      <c r="I35" s="75">
        <v>6</v>
      </c>
      <c r="J35" s="75">
        <v>9</v>
      </c>
      <c r="K35" s="75">
        <v>9</v>
      </c>
      <c r="L35" s="75">
        <v>9</v>
      </c>
      <c r="M35" s="97">
        <v>8755.24</v>
      </c>
      <c r="N35" s="97">
        <v>8755.24</v>
      </c>
      <c r="O35" s="93">
        <f t="shared" si="1"/>
        <v>0</v>
      </c>
      <c r="P35" s="123">
        <v>8</v>
      </c>
      <c r="Q35" s="124">
        <v>8</v>
      </c>
      <c r="R35" s="124">
        <v>8</v>
      </c>
      <c r="S35" s="97">
        <v>9249.99</v>
      </c>
      <c r="T35" s="97">
        <v>9249.99</v>
      </c>
      <c r="U35" s="97">
        <f t="shared" si="2"/>
        <v>0</v>
      </c>
      <c r="V35" s="161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3" t="s">
        <v>42</v>
      </c>
      <c r="D36" s="100" t="s">
        <v>124</v>
      </c>
      <c r="E36" s="101"/>
      <c r="F36" s="17" t="s">
        <v>106</v>
      </c>
      <c r="G36" s="72" t="s">
        <v>221</v>
      </c>
      <c r="H36" s="77">
        <v>12</v>
      </c>
      <c r="I36" s="75">
        <v>4</v>
      </c>
      <c r="J36" s="75">
        <v>4</v>
      </c>
      <c r="K36" s="75">
        <v>4</v>
      </c>
      <c r="L36" s="75">
        <v>2</v>
      </c>
      <c r="M36" s="97">
        <v>2360</v>
      </c>
      <c r="N36" s="97">
        <v>2360</v>
      </c>
      <c r="O36" s="93">
        <f t="shared" si="1"/>
        <v>0</v>
      </c>
      <c r="P36" s="123">
        <v>5</v>
      </c>
      <c r="Q36" s="124">
        <v>5</v>
      </c>
      <c r="R36" s="124">
        <v>4</v>
      </c>
      <c r="S36" s="97">
        <f>1436.08+3433.93</f>
        <v>4870.01</v>
      </c>
      <c r="T36" s="97">
        <f>1436.08+3433.93</f>
        <v>4870.01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3" t="s">
        <v>43</v>
      </c>
      <c r="D37" s="100" t="s">
        <v>124</v>
      </c>
      <c r="E37" s="101"/>
      <c r="F37" s="17" t="s">
        <v>106</v>
      </c>
      <c r="G37" s="72" t="s">
        <v>161</v>
      </c>
      <c r="H37" s="77">
        <v>11</v>
      </c>
      <c r="I37" s="75">
        <v>6</v>
      </c>
      <c r="J37" s="75">
        <v>7</v>
      </c>
      <c r="K37" s="75">
        <v>7</v>
      </c>
      <c r="L37" s="75">
        <v>7</v>
      </c>
      <c r="M37" s="97">
        <f>4126.56+990.2</f>
        <v>5116.76</v>
      </c>
      <c r="N37" s="97">
        <f>4126.56+990.2</f>
        <v>5116.76</v>
      </c>
      <c r="O37" s="93">
        <f t="shared" si="1"/>
        <v>0</v>
      </c>
      <c r="P37" s="123">
        <v>2</v>
      </c>
      <c r="Q37" s="124">
        <v>1</v>
      </c>
      <c r="R37" s="124">
        <v>1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1" t="s">
        <v>44</v>
      </c>
      <c r="D38" s="100" t="s">
        <v>124</v>
      </c>
      <c r="E38" s="101"/>
      <c r="F38" s="17" t="s">
        <v>105</v>
      </c>
      <c r="G38" s="72" t="s">
        <v>162</v>
      </c>
      <c r="H38" s="77">
        <v>43</v>
      </c>
      <c r="I38" s="75">
        <v>21</v>
      </c>
      <c r="J38" s="75">
        <v>28</v>
      </c>
      <c r="K38" s="75">
        <v>28</v>
      </c>
      <c r="L38" s="75">
        <v>23</v>
      </c>
      <c r="M38" s="97">
        <f>18043.85+1739.74</f>
        <v>19783.59</v>
      </c>
      <c r="N38" s="97">
        <f>18043.85+1739.74</f>
        <v>19783.59</v>
      </c>
      <c r="O38" s="93">
        <f t="shared" si="1"/>
        <v>0</v>
      </c>
      <c r="P38" s="123">
        <v>18</v>
      </c>
      <c r="Q38" s="124">
        <v>18</v>
      </c>
      <c r="R38" s="124">
        <v>18</v>
      </c>
      <c r="S38" s="97">
        <v>22326.77</v>
      </c>
      <c r="T38" s="97">
        <v>22326.77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1" t="s">
        <v>45</v>
      </c>
      <c r="D39" s="100" t="s">
        <v>124</v>
      </c>
      <c r="E39" s="101"/>
      <c r="F39" s="17" t="s">
        <v>111</v>
      </c>
      <c r="G39" s="72" t="s">
        <v>163</v>
      </c>
      <c r="H39" s="77">
        <v>21</v>
      </c>
      <c r="I39" s="75">
        <v>8</v>
      </c>
      <c r="J39" s="75">
        <v>11</v>
      </c>
      <c r="K39" s="75">
        <v>11</v>
      </c>
      <c r="L39" s="75">
        <v>11</v>
      </c>
      <c r="M39" s="97">
        <f>4309.67+3353.38</f>
        <v>7663.05</v>
      </c>
      <c r="N39" s="97">
        <f>4309.67+3353.38</f>
        <v>7663.05</v>
      </c>
      <c r="O39" s="93">
        <f t="shared" si="1"/>
        <v>0</v>
      </c>
      <c r="P39" s="123">
        <v>3</v>
      </c>
      <c r="Q39" s="124">
        <v>3</v>
      </c>
      <c r="R39" s="124">
        <v>3</v>
      </c>
      <c r="S39" s="97">
        <v>84.92</v>
      </c>
      <c r="T39" s="97">
        <v>84.92</v>
      </c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0" t="s">
        <v>46</v>
      </c>
      <c r="D40" s="100" t="s">
        <v>124</v>
      </c>
      <c r="E40" s="101"/>
      <c r="F40" s="17" t="s">
        <v>106</v>
      </c>
      <c r="G40" s="72" t="s">
        <v>164</v>
      </c>
      <c r="H40" s="77">
        <v>7</v>
      </c>
      <c r="I40" s="75">
        <v>5</v>
      </c>
      <c r="J40" s="75">
        <v>5</v>
      </c>
      <c r="K40" s="75">
        <v>5</v>
      </c>
      <c r="L40" s="75">
        <v>5</v>
      </c>
      <c r="M40" s="97">
        <v>5430.01</v>
      </c>
      <c r="N40" s="97">
        <v>5430.01</v>
      </c>
      <c r="O40" s="93">
        <f t="shared" si="1"/>
        <v>0</v>
      </c>
      <c r="P40" s="123">
        <v>4</v>
      </c>
      <c r="Q40" s="12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0" t="s">
        <v>47</v>
      </c>
      <c r="D41" s="100" t="s">
        <v>124</v>
      </c>
      <c r="E41" s="101"/>
      <c r="F41" s="17" t="s">
        <v>116</v>
      </c>
      <c r="G41" s="72" t="s">
        <v>165</v>
      </c>
      <c r="H41" s="77">
        <v>10</v>
      </c>
      <c r="I41" s="75">
        <v>8</v>
      </c>
      <c r="J41" s="75">
        <v>9</v>
      </c>
      <c r="K41" s="75">
        <v>8</v>
      </c>
      <c r="L41" s="75">
        <v>8</v>
      </c>
      <c r="M41" s="97">
        <v>4892.78</v>
      </c>
      <c r="N41" s="97">
        <v>4892.78</v>
      </c>
      <c r="O41" s="93">
        <f t="shared" si="1"/>
        <v>0</v>
      </c>
      <c r="P41" s="123">
        <v>3</v>
      </c>
      <c r="Q41" s="124">
        <v>3</v>
      </c>
      <c r="R41" s="124">
        <v>3</v>
      </c>
      <c r="S41" s="97">
        <v>1842.88</v>
      </c>
      <c r="T41" s="97">
        <v>1842.88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3" t="s">
        <v>48</v>
      </c>
      <c r="D42" s="100" t="s">
        <v>124</v>
      </c>
      <c r="E42" s="101"/>
      <c r="F42" s="17" t="s">
        <v>106</v>
      </c>
      <c r="G42" s="72" t="s">
        <v>166</v>
      </c>
      <c r="H42" s="77">
        <v>9</v>
      </c>
      <c r="I42" s="75">
        <v>4</v>
      </c>
      <c r="J42" s="75">
        <v>4</v>
      </c>
      <c r="K42" s="75">
        <v>4</v>
      </c>
      <c r="L42" s="75">
        <v>4</v>
      </c>
      <c r="M42" s="97">
        <v>5095.29</v>
      </c>
      <c r="N42" s="97">
        <v>5095.29</v>
      </c>
      <c r="O42" s="93">
        <f t="shared" si="1"/>
        <v>0</v>
      </c>
      <c r="P42" s="123">
        <v>5</v>
      </c>
      <c r="Q42" s="124">
        <v>5</v>
      </c>
      <c r="R42" s="124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0" t="s">
        <v>49</v>
      </c>
      <c r="D43" s="100" t="s">
        <v>124</v>
      </c>
      <c r="E43" s="101"/>
      <c r="F43" s="17" t="s">
        <v>106</v>
      </c>
      <c r="G43" s="72" t="s">
        <v>167</v>
      </c>
      <c r="H43" s="77">
        <v>13</v>
      </c>
      <c r="I43" s="75">
        <v>7</v>
      </c>
      <c r="J43" s="75">
        <v>8</v>
      </c>
      <c r="K43" s="75">
        <v>8</v>
      </c>
      <c r="L43" s="75">
        <v>7</v>
      </c>
      <c r="M43" s="97">
        <f>1949.94+11241.95</f>
        <v>13191.890000000001</v>
      </c>
      <c r="N43" s="97">
        <f>1949.94+11241.95</f>
        <v>13191.890000000001</v>
      </c>
      <c r="O43" s="93">
        <f t="shared" si="1"/>
        <v>0</v>
      </c>
      <c r="P43" s="123">
        <v>7</v>
      </c>
      <c r="Q43" s="124">
        <v>6</v>
      </c>
      <c r="R43" s="124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3" t="s">
        <v>50</v>
      </c>
      <c r="D44" s="100" t="s">
        <v>124</v>
      </c>
      <c r="E44" s="101"/>
      <c r="F44" s="17" t="s">
        <v>106</v>
      </c>
      <c r="G44" s="72" t="s">
        <v>168</v>
      </c>
      <c r="H44" s="77">
        <v>6</v>
      </c>
      <c r="I44" s="75">
        <v>5</v>
      </c>
      <c r="J44" s="75">
        <v>8</v>
      </c>
      <c r="K44" s="75">
        <v>8</v>
      </c>
      <c r="L44" s="75">
        <v>8</v>
      </c>
      <c r="M44" s="97">
        <v>9600.9500000000007</v>
      </c>
      <c r="N44" s="97">
        <v>9600.9500000000007</v>
      </c>
      <c r="O44" s="93">
        <f t="shared" si="1"/>
        <v>0</v>
      </c>
      <c r="P44" s="123">
        <v>5</v>
      </c>
      <c r="Q44" s="124">
        <v>5</v>
      </c>
      <c r="R44" s="124">
        <v>4</v>
      </c>
      <c r="S44" s="97">
        <f>3997.92+850.65</f>
        <v>4848.57</v>
      </c>
      <c r="T44" s="97">
        <f>3997.92+850.65</f>
        <v>4848.57</v>
      </c>
      <c r="U44" s="97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1" t="s">
        <v>51</v>
      </c>
      <c r="D45" s="100" t="s">
        <v>124</v>
      </c>
      <c r="E45" s="101"/>
      <c r="F45" s="22" t="s">
        <v>112</v>
      </c>
      <c r="G45" s="72"/>
      <c r="H45" s="77"/>
      <c r="I45" s="75"/>
      <c r="J45" s="75"/>
      <c r="K45" s="75"/>
      <c r="L45" s="75"/>
      <c r="M45" s="97"/>
      <c r="N45" s="97"/>
      <c r="O45" s="93">
        <f t="shared" si="1"/>
        <v>0</v>
      </c>
      <c r="P45" s="123"/>
      <c r="Q45" s="124"/>
      <c r="R45" s="124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1" t="s">
        <v>131</v>
      </c>
      <c r="D46" s="100" t="s">
        <v>124</v>
      </c>
      <c r="E46" s="101"/>
      <c r="F46" s="22" t="s">
        <v>106</v>
      </c>
      <c r="G46" s="72" t="s">
        <v>171</v>
      </c>
      <c r="H46" s="77">
        <v>8</v>
      </c>
      <c r="I46" s="75">
        <v>4</v>
      </c>
      <c r="J46" s="75">
        <v>4</v>
      </c>
      <c r="K46" s="75">
        <v>4</v>
      </c>
      <c r="L46" s="75"/>
      <c r="M46" s="97"/>
      <c r="N46" s="97"/>
      <c r="O46" s="93">
        <f t="shared" si="1"/>
        <v>0</v>
      </c>
      <c r="P46" s="123">
        <v>2</v>
      </c>
      <c r="Q46" s="124">
        <v>2</v>
      </c>
      <c r="R46" s="124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3" t="s">
        <v>52</v>
      </c>
      <c r="D47" s="100" t="s">
        <v>124</v>
      </c>
      <c r="E47" s="101"/>
      <c r="F47" s="17" t="s">
        <v>106</v>
      </c>
      <c r="G47" s="72" t="s">
        <v>169</v>
      </c>
      <c r="H47" s="77">
        <v>25</v>
      </c>
      <c r="I47" s="75">
        <v>17</v>
      </c>
      <c r="J47" s="75">
        <v>23</v>
      </c>
      <c r="K47" s="75">
        <v>21</v>
      </c>
      <c r="L47" s="75">
        <v>19</v>
      </c>
      <c r="M47" s="97">
        <f>9335.56+3507.6</f>
        <v>12843.16</v>
      </c>
      <c r="N47" s="97">
        <f>9335.56+3507.6</f>
        <v>12843.16</v>
      </c>
      <c r="O47" s="93">
        <f t="shared" si="1"/>
        <v>0</v>
      </c>
      <c r="P47" s="123">
        <v>2</v>
      </c>
      <c r="Q47" s="124">
        <v>2</v>
      </c>
      <c r="R47" s="124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0" t="s">
        <v>53</v>
      </c>
      <c r="D48" s="100" t="s">
        <v>124</v>
      </c>
      <c r="E48" s="101"/>
      <c r="F48" s="17" t="s">
        <v>105</v>
      </c>
      <c r="G48" s="72" t="s">
        <v>170</v>
      </c>
      <c r="H48" s="77">
        <v>11</v>
      </c>
      <c r="I48" s="75">
        <v>5</v>
      </c>
      <c r="J48" s="75">
        <v>8</v>
      </c>
      <c r="K48" s="75">
        <v>8</v>
      </c>
      <c r="L48" s="75">
        <v>8</v>
      </c>
      <c r="M48" s="97">
        <f>8890.84+1828.05</f>
        <v>10718.89</v>
      </c>
      <c r="N48" s="97">
        <f>8890.84+1828.05</f>
        <v>10718.89</v>
      </c>
      <c r="O48" s="93">
        <f t="shared" si="1"/>
        <v>0</v>
      </c>
      <c r="P48" s="123">
        <v>3</v>
      </c>
      <c r="Q48" s="12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0" t="s">
        <v>54</v>
      </c>
      <c r="D49" s="100" t="s">
        <v>124</v>
      </c>
      <c r="E49" s="101"/>
      <c r="F49" s="17" t="s">
        <v>106</v>
      </c>
      <c r="G49" s="72" t="s">
        <v>172</v>
      </c>
      <c r="H49" s="77">
        <v>16</v>
      </c>
      <c r="I49" s="75">
        <v>4</v>
      </c>
      <c r="J49" s="75">
        <v>8</v>
      </c>
      <c r="K49" s="75">
        <v>5</v>
      </c>
      <c r="L49" s="75">
        <v>4</v>
      </c>
      <c r="M49" s="97">
        <v>1831.71</v>
      </c>
      <c r="N49" s="97">
        <v>1831.71</v>
      </c>
      <c r="O49" s="93">
        <f t="shared" si="1"/>
        <v>0</v>
      </c>
      <c r="P49" s="123">
        <v>8</v>
      </c>
      <c r="Q49" s="124">
        <v>8</v>
      </c>
      <c r="R49" s="124">
        <v>8</v>
      </c>
      <c r="S49" s="97">
        <f>8296.23+1378</f>
        <v>9674.23</v>
      </c>
      <c r="T49" s="97">
        <f>8296.23+1378</f>
        <v>9674.23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0" t="s">
        <v>55</v>
      </c>
      <c r="D50" s="100" t="s">
        <v>124</v>
      </c>
      <c r="E50" s="101"/>
      <c r="F50" s="17" t="s">
        <v>106</v>
      </c>
      <c r="G50" s="72" t="s">
        <v>173</v>
      </c>
      <c r="H50" s="77">
        <v>14</v>
      </c>
      <c r="I50" s="75">
        <v>10</v>
      </c>
      <c r="J50" s="75">
        <v>11</v>
      </c>
      <c r="K50" s="75">
        <v>11</v>
      </c>
      <c r="L50" s="75">
        <v>11</v>
      </c>
      <c r="M50" s="97">
        <f>8308.92+786.44</f>
        <v>9095.36</v>
      </c>
      <c r="N50" s="97">
        <f>8308.92+786.44</f>
        <v>9095.36</v>
      </c>
      <c r="O50" s="93">
        <f t="shared" si="1"/>
        <v>0</v>
      </c>
      <c r="P50" s="123">
        <v>6</v>
      </c>
      <c r="Q50" s="124">
        <v>6</v>
      </c>
      <c r="R50" s="124">
        <v>5</v>
      </c>
      <c r="S50" s="97">
        <f>2457.28+1725.6</f>
        <v>4182.88</v>
      </c>
      <c r="T50" s="97">
        <f>2457.28+1725.6</f>
        <v>4182.88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0" t="s">
        <v>56</v>
      </c>
      <c r="D51" s="100" t="s">
        <v>124</v>
      </c>
      <c r="E51" s="101"/>
      <c r="F51" s="17" t="s">
        <v>106</v>
      </c>
      <c r="G51" s="72" t="s">
        <v>174</v>
      </c>
      <c r="H51" s="77">
        <v>15</v>
      </c>
      <c r="I51" s="75">
        <v>9</v>
      </c>
      <c r="J51" s="75">
        <v>10</v>
      </c>
      <c r="K51" s="75">
        <v>10</v>
      </c>
      <c r="L51" s="75">
        <v>8</v>
      </c>
      <c r="M51" s="97">
        <f>5580.75+571.11</f>
        <v>6151.86</v>
      </c>
      <c r="N51" s="97">
        <f>5580.75+571.11</f>
        <v>6151.86</v>
      </c>
      <c r="O51" s="93">
        <f t="shared" si="1"/>
        <v>0</v>
      </c>
      <c r="P51" s="123">
        <v>1</v>
      </c>
      <c r="Q51" s="124">
        <v>1</v>
      </c>
      <c r="R51" s="124">
        <v>1</v>
      </c>
      <c r="S51" s="97"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3" t="s">
        <v>57</v>
      </c>
      <c r="D52" s="100" t="s">
        <v>124</v>
      </c>
      <c r="E52" s="101"/>
      <c r="F52" s="17" t="s">
        <v>106</v>
      </c>
      <c r="G52" s="72" t="s">
        <v>175</v>
      </c>
      <c r="H52" s="77">
        <v>14</v>
      </c>
      <c r="I52" s="75">
        <v>8</v>
      </c>
      <c r="J52" s="75">
        <v>10</v>
      </c>
      <c r="K52" s="75">
        <v>10</v>
      </c>
      <c r="L52" s="75">
        <v>8</v>
      </c>
      <c r="M52" s="97">
        <f>3782.6+430.65</f>
        <v>4213.25</v>
      </c>
      <c r="N52" s="97">
        <f>3782.6+430.65</f>
        <v>4213.25</v>
      </c>
      <c r="O52" s="93">
        <f t="shared" si="1"/>
        <v>0</v>
      </c>
      <c r="P52" s="123">
        <v>5</v>
      </c>
      <c r="Q52" s="124">
        <v>5</v>
      </c>
      <c r="R52" s="124">
        <v>5</v>
      </c>
      <c r="S52" s="97">
        <f>1535.39+1035.3+828.82</f>
        <v>3399.51</v>
      </c>
      <c r="T52" s="97">
        <f>1535.39+1035.3+828.82</f>
        <v>3399.51</v>
      </c>
      <c r="U52" s="97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3" t="s">
        <v>58</v>
      </c>
      <c r="D53" s="100" t="s">
        <v>124</v>
      </c>
      <c r="E53" s="101"/>
      <c r="F53" s="17" t="s">
        <v>106</v>
      </c>
      <c r="G53" s="72" t="s">
        <v>260</v>
      </c>
      <c r="H53" s="77">
        <v>6</v>
      </c>
      <c r="I53" s="75">
        <v>2</v>
      </c>
      <c r="J53" s="75">
        <v>2</v>
      </c>
      <c r="K53" s="75">
        <v>2</v>
      </c>
      <c r="L53" s="75">
        <v>2</v>
      </c>
      <c r="M53" s="97">
        <v>1102.4000000000001</v>
      </c>
      <c r="N53" s="97">
        <v>1102.4000000000001</v>
      </c>
      <c r="O53" s="93">
        <f t="shared" si="1"/>
        <v>0</v>
      </c>
      <c r="P53" s="123">
        <v>2</v>
      </c>
      <c r="Q53" s="12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3" t="s">
        <v>59</v>
      </c>
      <c r="D54" s="100" t="s">
        <v>124</v>
      </c>
      <c r="E54" s="101"/>
      <c r="F54" s="17" t="s">
        <v>112</v>
      </c>
      <c r="G54" s="72" t="s">
        <v>176</v>
      </c>
      <c r="H54" s="77">
        <v>47</v>
      </c>
      <c r="I54" s="75">
        <v>37</v>
      </c>
      <c r="J54" s="75">
        <v>48</v>
      </c>
      <c r="K54" s="75">
        <v>25</v>
      </c>
      <c r="L54" s="75">
        <v>25</v>
      </c>
      <c r="M54" s="97">
        <v>12031.27</v>
      </c>
      <c r="N54" s="97">
        <v>12031.27</v>
      </c>
      <c r="O54" s="93">
        <f t="shared" si="1"/>
        <v>0</v>
      </c>
      <c r="P54" s="123">
        <v>17</v>
      </c>
      <c r="Q54" s="12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3" t="s">
        <v>60</v>
      </c>
      <c r="D55" s="100" t="s">
        <v>125</v>
      </c>
      <c r="E55" s="106" t="s">
        <v>126</v>
      </c>
      <c r="F55" s="17" t="s">
        <v>106</v>
      </c>
      <c r="G55" s="72" t="s">
        <v>177</v>
      </c>
      <c r="H55" s="77">
        <v>6</v>
      </c>
      <c r="I55" s="75">
        <v>2</v>
      </c>
      <c r="J55" s="75">
        <v>2</v>
      </c>
      <c r="K55" s="75">
        <v>2</v>
      </c>
      <c r="L55" s="75">
        <v>2</v>
      </c>
      <c r="M55" s="97">
        <v>5677.4</v>
      </c>
      <c r="N55" s="97">
        <v>5677.4</v>
      </c>
      <c r="O55" s="93">
        <f t="shared" si="1"/>
        <v>0</v>
      </c>
      <c r="P55" s="123">
        <v>3</v>
      </c>
      <c r="Q55" s="12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1" t="s">
        <v>61</v>
      </c>
      <c r="D56" s="100" t="s">
        <v>124</v>
      </c>
      <c r="E56" s="101"/>
      <c r="F56" s="17" t="s">
        <v>107</v>
      </c>
      <c r="G56" s="72" t="s">
        <v>178</v>
      </c>
      <c r="H56" s="77">
        <v>38</v>
      </c>
      <c r="I56" s="75">
        <v>20</v>
      </c>
      <c r="J56" s="75">
        <v>29</v>
      </c>
      <c r="K56" s="75">
        <v>29</v>
      </c>
      <c r="L56" s="75">
        <v>18</v>
      </c>
      <c r="M56" s="97">
        <v>13145.7</v>
      </c>
      <c r="N56" s="97">
        <v>13145.7</v>
      </c>
      <c r="O56" s="93">
        <f t="shared" si="1"/>
        <v>0</v>
      </c>
      <c r="P56" s="123">
        <v>30</v>
      </c>
      <c r="Q56" s="124">
        <v>30</v>
      </c>
      <c r="R56" s="124">
        <v>29</v>
      </c>
      <c r="S56" s="97">
        <v>53733.15</v>
      </c>
      <c r="T56" s="97">
        <v>53733.15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1" t="s">
        <v>134</v>
      </c>
      <c r="D57" s="100" t="s">
        <v>124</v>
      </c>
      <c r="E57" s="101"/>
      <c r="F57" s="17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75">
        <v>3</v>
      </c>
      <c r="L57" s="75">
        <v>3</v>
      </c>
      <c r="M57" s="97">
        <v>1200.96</v>
      </c>
      <c r="N57" s="97">
        <v>1200.96</v>
      </c>
      <c r="O57" s="93">
        <f t="shared" si="1"/>
        <v>0</v>
      </c>
      <c r="P57" s="123"/>
      <c r="Q57" s="124"/>
      <c r="R57" s="124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1" t="s">
        <v>62</v>
      </c>
      <c r="D58" s="100" t="s">
        <v>124</v>
      </c>
      <c r="E58" s="101"/>
      <c r="F58" s="17" t="s">
        <v>106</v>
      </c>
      <c r="G58" s="72" t="s">
        <v>230</v>
      </c>
      <c r="H58" s="77"/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97"/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1" t="s">
        <v>63</v>
      </c>
      <c r="D59" s="100" t="s">
        <v>124</v>
      </c>
      <c r="E59" s="101"/>
      <c r="F59" s="22" t="s">
        <v>112</v>
      </c>
      <c r="G59" s="72" t="s">
        <v>224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1" t="s">
        <v>64</v>
      </c>
      <c r="D60" s="100" t="s">
        <v>124</v>
      </c>
      <c r="E60" s="101"/>
      <c r="F60" s="22" t="s">
        <v>107</v>
      </c>
      <c r="G60" s="72" t="s">
        <v>180</v>
      </c>
      <c r="H60" s="77">
        <v>36</v>
      </c>
      <c r="I60" s="75">
        <v>18</v>
      </c>
      <c r="J60" s="75">
        <v>29</v>
      </c>
      <c r="K60" s="75">
        <v>31</v>
      </c>
      <c r="L60" s="75">
        <v>27</v>
      </c>
      <c r="M60" s="97">
        <f>19657.67+3859.57</f>
        <v>23517.239999999998</v>
      </c>
      <c r="N60" s="97">
        <f>19657.67+3859.57</f>
        <v>23517.239999999998</v>
      </c>
      <c r="O60" s="93">
        <f t="shared" si="1"/>
        <v>0</v>
      </c>
      <c r="P60" s="123">
        <v>6</v>
      </c>
      <c r="Q60" s="124">
        <v>6</v>
      </c>
      <c r="R60" s="124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1" t="s">
        <v>135</v>
      </c>
      <c r="D61" s="100" t="s">
        <v>124</v>
      </c>
      <c r="E61" s="101"/>
      <c r="F61" s="22" t="s">
        <v>111</v>
      </c>
      <c r="G61" s="72" t="s">
        <v>181</v>
      </c>
      <c r="H61" s="77">
        <v>17</v>
      </c>
      <c r="I61" s="75">
        <v>8</v>
      </c>
      <c r="J61" s="75">
        <v>10</v>
      </c>
      <c r="K61" s="75">
        <v>9</v>
      </c>
      <c r="L61" s="75">
        <v>8</v>
      </c>
      <c r="M61" s="97">
        <f>3986.21+989.8</f>
        <v>4976.01</v>
      </c>
      <c r="N61" s="97">
        <f>3986.21+989.8</f>
        <v>4976.01</v>
      </c>
      <c r="O61" s="93">
        <f t="shared" si="1"/>
        <v>0</v>
      </c>
      <c r="P61" s="123"/>
      <c r="Q61" s="124"/>
      <c r="R61" s="124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3" t="s">
        <v>65</v>
      </c>
      <c r="D62" s="100" t="s">
        <v>124</v>
      </c>
      <c r="E62" s="101"/>
      <c r="F62" s="17" t="s">
        <v>106</v>
      </c>
      <c r="G62" s="72" t="s">
        <v>182</v>
      </c>
      <c r="H62" s="77">
        <v>14</v>
      </c>
      <c r="I62" s="75">
        <v>9</v>
      </c>
      <c r="J62" s="75">
        <v>9</v>
      </c>
      <c r="K62" s="75">
        <v>9</v>
      </c>
      <c r="L62" s="75">
        <v>9</v>
      </c>
      <c r="M62" s="97">
        <f>1263.45+2111.32+5011.35</f>
        <v>8386.1200000000008</v>
      </c>
      <c r="N62" s="97">
        <f>1263.45+2111.32+5011.35</f>
        <v>8386.1200000000008</v>
      </c>
      <c r="O62" s="93">
        <f t="shared" si="1"/>
        <v>0</v>
      </c>
      <c r="P62" s="123">
        <v>7</v>
      </c>
      <c r="Q62" s="124">
        <v>7</v>
      </c>
      <c r="R62" s="124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3" t="s">
        <v>66</v>
      </c>
      <c r="D63" s="100" t="s">
        <v>124</v>
      </c>
      <c r="E63" s="101"/>
      <c r="F63" s="17" t="s">
        <v>112</v>
      </c>
      <c r="G63" s="72" t="s">
        <v>227</v>
      </c>
      <c r="H63" s="77"/>
      <c r="I63" s="75"/>
      <c r="J63" s="75"/>
      <c r="K63" s="75"/>
      <c r="L63" s="75"/>
      <c r="M63" s="97">
        <v>482.3</v>
      </c>
      <c r="N63" s="97">
        <v>482.3</v>
      </c>
      <c r="O63" s="93">
        <f t="shared" si="1"/>
        <v>0</v>
      </c>
      <c r="P63" s="123">
        <v>28</v>
      </c>
      <c r="Q63" s="124">
        <v>28</v>
      </c>
      <c r="R63" s="124">
        <v>28</v>
      </c>
      <c r="S63" s="97">
        <v>9392.68</v>
      </c>
      <c r="T63" s="97">
        <v>9392.68</v>
      </c>
      <c r="U63" s="97">
        <f t="shared" si="2"/>
        <v>0</v>
      </c>
      <c r="V63" s="161"/>
    </row>
    <row r="64" spans="1:40" ht="20.100000000000001" customHeight="1" x14ac:dyDescent="0.25">
      <c r="A64" s="155">
        <v>50</v>
      </c>
      <c r="B64" s="99">
        <f t="shared" si="3"/>
        <v>55</v>
      </c>
      <c r="C64" s="10" t="s">
        <v>67</v>
      </c>
      <c r="D64" s="100" t="s">
        <v>124</v>
      </c>
      <c r="E64" s="101"/>
      <c r="F64" s="17" t="s">
        <v>106</v>
      </c>
      <c r="G64" s="72" t="s">
        <v>183</v>
      </c>
      <c r="H64" s="77">
        <v>20</v>
      </c>
      <c r="I64" s="75">
        <v>10</v>
      </c>
      <c r="J64" s="75">
        <v>12</v>
      </c>
      <c r="K64" s="75">
        <v>12</v>
      </c>
      <c r="L64" s="75">
        <v>11</v>
      </c>
      <c r="M64" s="97">
        <v>6496.16</v>
      </c>
      <c r="N64" s="97">
        <v>6496.16</v>
      </c>
      <c r="O64" s="93">
        <f t="shared" si="1"/>
        <v>0</v>
      </c>
      <c r="P64" s="123">
        <v>9</v>
      </c>
      <c r="Q64" s="124">
        <v>9</v>
      </c>
      <c r="R64" s="124">
        <v>9</v>
      </c>
      <c r="S64" s="97">
        <v>6866.56</v>
      </c>
      <c r="T64" s="97">
        <v>6866.56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0" t="s">
        <v>68</v>
      </c>
      <c r="D65" s="100" t="s">
        <v>124</v>
      </c>
      <c r="E65" s="101"/>
      <c r="F65" s="17" t="s">
        <v>111</v>
      </c>
      <c r="G65" s="72" t="s">
        <v>184</v>
      </c>
      <c r="H65" s="77">
        <v>35</v>
      </c>
      <c r="I65" s="75">
        <v>23</v>
      </c>
      <c r="J65" s="75">
        <v>29</v>
      </c>
      <c r="K65" s="75">
        <v>25</v>
      </c>
      <c r="L65" s="75">
        <v>24</v>
      </c>
      <c r="M65" s="97">
        <f>21561.61+5719.7</f>
        <v>27281.31</v>
      </c>
      <c r="N65" s="97">
        <f>21561.61+5719.7</f>
        <v>27281.31</v>
      </c>
      <c r="O65" s="93">
        <f t="shared" si="1"/>
        <v>0</v>
      </c>
      <c r="P65" s="123">
        <v>10</v>
      </c>
      <c r="Q65" s="124">
        <v>10</v>
      </c>
      <c r="R65" s="124">
        <v>10</v>
      </c>
      <c r="S65" s="97">
        <v>7456.7</v>
      </c>
      <c r="T65" s="97">
        <v>7456.7</v>
      </c>
      <c r="U65" s="97">
        <f t="shared" si="2"/>
        <v>0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3" t="s">
        <v>69</v>
      </c>
      <c r="D66" s="100" t="s">
        <v>124</v>
      </c>
      <c r="E66" s="101"/>
      <c r="F66" s="17" t="s">
        <v>106</v>
      </c>
      <c r="G66" s="72" t="s">
        <v>185</v>
      </c>
      <c r="H66" s="77">
        <v>3</v>
      </c>
      <c r="I66" s="75">
        <v>2</v>
      </c>
      <c r="J66" s="75">
        <v>3</v>
      </c>
      <c r="K66" s="75">
        <v>3</v>
      </c>
      <c r="L66" s="75">
        <v>3</v>
      </c>
      <c r="M66" s="97">
        <f>463.83+1653.6</f>
        <v>2117.4299999999998</v>
      </c>
      <c r="N66" s="97">
        <f>463.83+1653.6</f>
        <v>2117.4299999999998</v>
      </c>
      <c r="O66" s="93">
        <f t="shared" si="1"/>
        <v>0</v>
      </c>
      <c r="P66" s="123">
        <v>4</v>
      </c>
      <c r="Q66" s="12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1" t="s">
        <v>70</v>
      </c>
      <c r="D67" s="100" t="s">
        <v>124</v>
      </c>
      <c r="E67" s="101"/>
      <c r="F67" s="17" t="s">
        <v>107</v>
      </c>
      <c r="G67" s="72" t="s">
        <v>186</v>
      </c>
      <c r="H67" s="77">
        <v>36</v>
      </c>
      <c r="I67" s="75">
        <v>25</v>
      </c>
      <c r="J67" s="75">
        <v>33</v>
      </c>
      <c r="K67" s="75">
        <v>30</v>
      </c>
      <c r="L67" s="75">
        <v>24</v>
      </c>
      <c r="M67" s="97">
        <v>19710.93</v>
      </c>
      <c r="N67" s="97">
        <v>19710.93</v>
      </c>
      <c r="O67" s="93">
        <f t="shared" si="1"/>
        <v>0</v>
      </c>
      <c r="P67" s="123">
        <v>10</v>
      </c>
      <c r="Q67" s="124">
        <v>9</v>
      </c>
      <c r="R67" s="124">
        <v>7</v>
      </c>
      <c r="S67" s="97">
        <v>8355.57</v>
      </c>
      <c r="T67" s="97">
        <v>8355.57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1" t="s">
        <v>71</v>
      </c>
      <c r="D68" s="100" t="s">
        <v>124</v>
      </c>
      <c r="E68" s="101"/>
      <c r="F68" s="17" t="s">
        <v>117</v>
      </c>
      <c r="G68" s="72" t="s">
        <v>187</v>
      </c>
      <c r="H68" s="77">
        <v>28</v>
      </c>
      <c r="I68" s="75">
        <v>23</v>
      </c>
      <c r="J68" s="75">
        <v>40</v>
      </c>
      <c r="K68" s="75">
        <v>40</v>
      </c>
      <c r="L68" s="75">
        <v>26</v>
      </c>
      <c r="M68" s="97">
        <v>18750.75</v>
      </c>
      <c r="N68" s="97">
        <v>18750.75</v>
      </c>
      <c r="O68" s="93">
        <f t="shared" si="1"/>
        <v>0</v>
      </c>
      <c r="P68" s="123">
        <v>10</v>
      </c>
      <c r="Q68" s="124">
        <v>10</v>
      </c>
      <c r="R68" s="124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1" t="s">
        <v>72</v>
      </c>
      <c r="D69" s="100" t="s">
        <v>125</v>
      </c>
      <c r="E69" s="106" t="s">
        <v>126</v>
      </c>
      <c r="F69" s="17" t="s">
        <v>106</v>
      </c>
      <c r="G69" s="72" t="s">
        <v>188</v>
      </c>
      <c r="H69" s="77">
        <v>7</v>
      </c>
      <c r="I69" s="75">
        <v>4</v>
      </c>
      <c r="J69" s="75">
        <v>4</v>
      </c>
      <c r="K69" s="75">
        <v>4</v>
      </c>
      <c r="L69" s="75">
        <v>3</v>
      </c>
      <c r="M69" s="97">
        <v>2756</v>
      </c>
      <c r="N69" s="97">
        <v>2756</v>
      </c>
      <c r="O69" s="93">
        <f t="shared" si="1"/>
        <v>0</v>
      </c>
      <c r="P69" s="123"/>
      <c r="Q69" s="124"/>
      <c r="R69" s="124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0" t="s">
        <v>73</v>
      </c>
      <c r="D70" s="100" t="s">
        <v>124</v>
      </c>
      <c r="E70" s="101"/>
      <c r="F70" s="17" t="s">
        <v>106</v>
      </c>
      <c r="G70" s="72" t="s">
        <v>189</v>
      </c>
      <c r="H70" s="77">
        <v>8</v>
      </c>
      <c r="I70" s="75">
        <v>4</v>
      </c>
      <c r="J70" s="75">
        <v>4</v>
      </c>
      <c r="K70" s="75">
        <v>4</v>
      </c>
      <c r="L70" s="75">
        <v>4</v>
      </c>
      <c r="M70" s="97">
        <v>2039.44</v>
      </c>
      <c r="N70" s="97">
        <v>2039.44</v>
      </c>
      <c r="O70" s="93">
        <f t="shared" si="1"/>
        <v>0</v>
      </c>
      <c r="P70" s="123">
        <v>5</v>
      </c>
      <c r="Q70" s="124">
        <v>5</v>
      </c>
      <c r="R70" s="124">
        <v>4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1" t="s">
        <v>74</v>
      </c>
      <c r="D71" s="100" t="s">
        <v>124</v>
      </c>
      <c r="E71" s="101"/>
      <c r="F71" s="17" t="s">
        <v>111</v>
      </c>
      <c r="G71" s="72" t="s">
        <v>190</v>
      </c>
      <c r="H71" s="77">
        <v>18</v>
      </c>
      <c r="I71" s="75">
        <v>10</v>
      </c>
      <c r="J71" s="75">
        <v>9</v>
      </c>
      <c r="K71" s="75">
        <v>3</v>
      </c>
      <c r="L71" s="75">
        <v>3</v>
      </c>
      <c r="M71" s="97">
        <v>2383.5300000000002</v>
      </c>
      <c r="N71" s="97">
        <v>2383.5300000000002</v>
      </c>
      <c r="O71" s="93">
        <f t="shared" si="1"/>
        <v>0</v>
      </c>
      <c r="P71" s="123">
        <v>22</v>
      </c>
      <c r="Q71" s="124">
        <v>22</v>
      </c>
      <c r="R71" s="124">
        <v>22</v>
      </c>
      <c r="S71" s="97">
        <v>52337.46</v>
      </c>
      <c r="T71" s="97">
        <v>52337.46</v>
      </c>
      <c r="U71" s="97">
        <f t="shared" si="2"/>
        <v>0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1" t="s">
        <v>75</v>
      </c>
      <c r="D72" s="100" t="s">
        <v>124</v>
      </c>
      <c r="E72" s="101"/>
      <c r="F72" s="17" t="s">
        <v>118</v>
      </c>
      <c r="G72" s="72" t="s">
        <v>191</v>
      </c>
      <c r="H72" s="77">
        <v>10</v>
      </c>
      <c r="I72" s="75">
        <v>3</v>
      </c>
      <c r="J72" s="75">
        <v>4</v>
      </c>
      <c r="K72" s="75">
        <v>4</v>
      </c>
      <c r="L72" s="75">
        <v>4</v>
      </c>
      <c r="M72" s="97">
        <v>4703.53</v>
      </c>
      <c r="N72" s="97">
        <v>4703.53</v>
      </c>
      <c r="O72" s="93">
        <f t="shared" si="1"/>
        <v>0</v>
      </c>
      <c r="P72" s="123">
        <v>7</v>
      </c>
      <c r="Q72" s="12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0" t="s">
        <v>76</v>
      </c>
      <c r="D73" s="100" t="s">
        <v>124</v>
      </c>
      <c r="E73" s="101"/>
      <c r="F73" s="10" t="s">
        <v>105</v>
      </c>
      <c r="G73" s="72" t="s">
        <v>192</v>
      </c>
      <c r="H73" s="77">
        <v>11</v>
      </c>
      <c r="I73" s="75">
        <v>6</v>
      </c>
      <c r="J73" s="75">
        <v>6</v>
      </c>
      <c r="K73" s="75">
        <v>6</v>
      </c>
      <c r="L73" s="75">
        <v>6</v>
      </c>
      <c r="M73" s="97">
        <f>2095.52+746.9</f>
        <v>2842.42</v>
      </c>
      <c r="N73" s="97">
        <f>2095.52+746.9</f>
        <v>2842.42</v>
      </c>
      <c r="O73" s="93">
        <f t="shared" si="1"/>
        <v>0</v>
      </c>
      <c r="P73" s="123">
        <v>5</v>
      </c>
      <c r="Q73" s="124">
        <v>5</v>
      </c>
      <c r="R73" s="124">
        <v>5</v>
      </c>
      <c r="S73" s="97">
        <f>1821.06+4580.19</f>
        <v>6401.25</v>
      </c>
      <c r="T73" s="97">
        <f>1821.06+4580.19</f>
        <v>6401.25</v>
      </c>
      <c r="U73" s="97">
        <f t="shared" si="2"/>
        <v>0</v>
      </c>
      <c r="V73" s="161"/>
    </row>
    <row r="74" spans="1:22" ht="20.100000000000001" customHeight="1" x14ac:dyDescent="0.25">
      <c r="B74" s="99">
        <f t="shared" si="3"/>
        <v>65</v>
      </c>
      <c r="C74" s="11" t="s">
        <v>77</v>
      </c>
      <c r="D74" s="100" t="s">
        <v>124</v>
      </c>
      <c r="E74" s="101"/>
      <c r="F74" s="10" t="s">
        <v>111</v>
      </c>
      <c r="G74" s="72" t="s">
        <v>225</v>
      </c>
      <c r="H74" s="77"/>
      <c r="I74" s="75"/>
      <c r="J74" s="75"/>
      <c r="K74" s="75"/>
      <c r="L74" s="75"/>
      <c r="M74" s="97"/>
      <c r="N74" s="97"/>
      <c r="O74" s="93">
        <f t="shared" si="1"/>
        <v>0</v>
      </c>
      <c r="P74" s="123">
        <v>1</v>
      </c>
      <c r="Q74" s="12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0" t="s">
        <v>78</v>
      </c>
      <c r="D75" s="100" t="s">
        <v>124</v>
      </c>
      <c r="E75" s="101"/>
      <c r="F75" s="23" t="s">
        <v>119</v>
      </c>
      <c r="G75" s="72" t="s">
        <v>193</v>
      </c>
      <c r="H75" s="77">
        <v>7</v>
      </c>
      <c r="I75" s="75">
        <v>3</v>
      </c>
      <c r="J75" s="75">
        <v>3</v>
      </c>
      <c r="K75" s="75">
        <v>3</v>
      </c>
      <c r="L75" s="75">
        <v>3</v>
      </c>
      <c r="M75" s="97">
        <f>275.6+741.36</f>
        <v>1016.96</v>
      </c>
      <c r="N75" s="97">
        <f>275.6+741.36</f>
        <v>1016.96</v>
      </c>
      <c r="O75" s="93">
        <f t="shared" ref="O75:O104" si="4" xml:space="preserve"> (M75-N75)</f>
        <v>0</v>
      </c>
      <c r="P75" s="123">
        <v>3</v>
      </c>
      <c r="Q75" s="124">
        <v>3</v>
      </c>
      <c r="R75" s="124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1" t="s">
        <v>79</v>
      </c>
      <c r="D76" s="100" t="s">
        <v>124</v>
      </c>
      <c r="E76" s="101"/>
      <c r="F76" s="17" t="s">
        <v>106</v>
      </c>
      <c r="G76" s="72" t="s">
        <v>194</v>
      </c>
      <c r="H76" s="77">
        <v>22</v>
      </c>
      <c r="I76" s="75">
        <v>11</v>
      </c>
      <c r="J76" s="75">
        <v>15</v>
      </c>
      <c r="K76" s="75">
        <v>15</v>
      </c>
      <c r="L76" s="75">
        <v>15</v>
      </c>
      <c r="M76" s="97">
        <f>11803.63+1320.23</f>
        <v>13123.859999999999</v>
      </c>
      <c r="N76" s="97">
        <f>11803.63+1320.23</f>
        <v>13123.859999999999</v>
      </c>
      <c r="O76" s="93">
        <f t="shared" si="4"/>
        <v>0</v>
      </c>
      <c r="P76" s="123">
        <v>5</v>
      </c>
      <c r="Q76" s="124">
        <v>5</v>
      </c>
      <c r="R76" s="124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1" t="s">
        <v>80</v>
      </c>
      <c r="D77" s="100" t="s">
        <v>124</v>
      </c>
      <c r="E77" s="101"/>
      <c r="F77" s="17" t="s">
        <v>106</v>
      </c>
      <c r="G77" s="72" t="s">
        <v>195</v>
      </c>
      <c r="H77" s="77">
        <v>16</v>
      </c>
      <c r="I77" s="75">
        <v>7</v>
      </c>
      <c r="J77" s="75">
        <v>7</v>
      </c>
      <c r="K77" s="75">
        <v>7</v>
      </c>
      <c r="L77" s="75">
        <v>5</v>
      </c>
      <c r="M77" s="97">
        <v>4234.67</v>
      </c>
      <c r="N77" s="97">
        <v>4234.67</v>
      </c>
      <c r="O77" s="93">
        <f t="shared" si="4"/>
        <v>0</v>
      </c>
      <c r="P77" s="123"/>
      <c r="Q77" s="124"/>
      <c r="R77" s="124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4" t="s">
        <v>81</v>
      </c>
      <c r="D78" s="100" t="s">
        <v>124</v>
      </c>
      <c r="E78" s="101"/>
      <c r="F78" s="10" t="s">
        <v>106</v>
      </c>
      <c r="G78" s="72" t="s">
        <v>226</v>
      </c>
      <c r="H78" s="77"/>
      <c r="I78" s="75"/>
      <c r="J78" s="75"/>
      <c r="K78" s="75"/>
      <c r="L78" s="75"/>
      <c r="M78" s="97"/>
      <c r="N78" s="97"/>
      <c r="O78" s="93">
        <f t="shared" si="4"/>
        <v>0</v>
      </c>
      <c r="P78" s="123">
        <v>8</v>
      </c>
      <c r="Q78" s="12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4" t="s">
        <v>82</v>
      </c>
      <c r="D79" s="100" t="s">
        <v>124</v>
      </c>
      <c r="E79" s="101"/>
      <c r="F79" s="10" t="s">
        <v>106</v>
      </c>
      <c r="G79" s="72" t="s">
        <v>196</v>
      </c>
      <c r="H79" s="77">
        <v>16</v>
      </c>
      <c r="I79" s="75">
        <v>11</v>
      </c>
      <c r="J79" s="75">
        <v>14</v>
      </c>
      <c r="K79" s="75">
        <v>14</v>
      </c>
      <c r="L79" s="75">
        <v>13</v>
      </c>
      <c r="M79" s="97">
        <f>8913.81+7027.61</f>
        <v>15941.419999999998</v>
      </c>
      <c r="N79" s="97">
        <f>8913.81+7027.61</f>
        <v>15941.419999999998</v>
      </c>
      <c r="O79" s="93">
        <f t="shared" si="4"/>
        <v>0</v>
      </c>
      <c r="P79" s="123">
        <v>3</v>
      </c>
      <c r="Q79" s="124">
        <v>3</v>
      </c>
      <c r="R79" s="124">
        <v>1</v>
      </c>
      <c r="S79" s="97">
        <v>275.60000000000002</v>
      </c>
      <c r="T79" s="97">
        <v>275.60000000000002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4" t="s">
        <v>83</v>
      </c>
      <c r="D80" s="100" t="s">
        <v>124</v>
      </c>
      <c r="E80" s="101"/>
      <c r="F80" s="10" t="s">
        <v>106</v>
      </c>
      <c r="G80" s="72" t="s">
        <v>197</v>
      </c>
      <c r="H80" s="77">
        <v>16</v>
      </c>
      <c r="I80" s="75">
        <v>11</v>
      </c>
      <c r="J80" s="75">
        <v>14</v>
      </c>
      <c r="K80" s="75">
        <v>14</v>
      </c>
      <c r="L80" s="75">
        <v>14</v>
      </c>
      <c r="M80" s="97">
        <f>14959.64+7384.39</f>
        <v>22344.03</v>
      </c>
      <c r="N80" s="97">
        <f>14959.64+7384.39</f>
        <v>22344.03</v>
      </c>
      <c r="O80" s="93">
        <f t="shared" si="4"/>
        <v>0</v>
      </c>
      <c r="P80" s="123">
        <v>8</v>
      </c>
      <c r="Q80" s="124">
        <v>8</v>
      </c>
      <c r="R80" s="124">
        <v>8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22" ht="20.100000000000001" customHeight="1" x14ac:dyDescent="0.25">
      <c r="A81" s="155">
        <v>65</v>
      </c>
      <c r="B81" s="99">
        <f t="shared" si="6"/>
        <v>72</v>
      </c>
      <c r="C81" s="11" t="s">
        <v>84</v>
      </c>
      <c r="D81" s="100" t="s">
        <v>124</v>
      </c>
      <c r="E81" s="101"/>
      <c r="F81" s="10" t="s">
        <v>120</v>
      </c>
      <c r="G81" s="72" t="s">
        <v>198</v>
      </c>
      <c r="H81" s="77">
        <v>3</v>
      </c>
      <c r="I81" s="75"/>
      <c r="J81" s="75"/>
      <c r="K81" s="75"/>
      <c r="L81" s="75"/>
      <c r="M81" s="97"/>
      <c r="N81" s="97"/>
      <c r="O81" s="93">
        <f t="shared" si="4"/>
        <v>0</v>
      </c>
      <c r="P81" s="123"/>
      <c r="Q81" s="124"/>
      <c r="R81" s="124"/>
      <c r="S81" s="97"/>
      <c r="T81" s="97"/>
      <c r="U81" s="97">
        <f t="shared" si="5"/>
        <v>0</v>
      </c>
      <c r="V81" s="161"/>
    </row>
    <row r="82" spans="1:22" ht="20.100000000000001" customHeight="1" x14ac:dyDescent="0.25">
      <c r="A82" s="155">
        <v>66</v>
      </c>
      <c r="B82" s="99">
        <f t="shared" si="6"/>
        <v>73</v>
      </c>
      <c r="C82" s="13" t="s">
        <v>85</v>
      </c>
      <c r="D82" s="100" t="s">
        <v>124</v>
      </c>
      <c r="E82" s="101"/>
      <c r="F82" s="19" t="s">
        <v>106</v>
      </c>
      <c r="G82" s="72" t="s">
        <v>199</v>
      </c>
      <c r="H82" s="77">
        <v>17</v>
      </c>
      <c r="I82" s="75">
        <v>11</v>
      </c>
      <c r="J82" s="75">
        <v>12</v>
      </c>
      <c r="K82" s="75">
        <v>11</v>
      </c>
      <c r="L82" s="75">
        <v>10</v>
      </c>
      <c r="M82" s="97">
        <f>2626.75+8084.46</f>
        <v>10711.21</v>
      </c>
      <c r="N82" s="97">
        <f>2626.75+8084.46</f>
        <v>10711.21</v>
      </c>
      <c r="O82" s="93">
        <f t="shared" si="4"/>
        <v>0</v>
      </c>
      <c r="P82" s="123">
        <v>9</v>
      </c>
      <c r="Q82" s="124">
        <v>9</v>
      </c>
      <c r="R82" s="124">
        <v>8</v>
      </c>
      <c r="S82" s="97">
        <f>15935.59+881.06+1714.6</f>
        <v>18531.25</v>
      </c>
      <c r="T82" s="97">
        <f>15935.59+881.06+1714.6</f>
        <v>18531.25</v>
      </c>
      <c r="U82" s="97">
        <f t="shared" si="5"/>
        <v>0</v>
      </c>
      <c r="V82" s="161"/>
    </row>
    <row r="83" spans="1:22" ht="20.100000000000001" customHeight="1" x14ac:dyDescent="0.25">
      <c r="A83" s="155">
        <v>67</v>
      </c>
      <c r="B83" s="99">
        <f t="shared" si="6"/>
        <v>74</v>
      </c>
      <c r="C83" s="10" t="s">
        <v>86</v>
      </c>
      <c r="D83" s="100" t="s">
        <v>124</v>
      </c>
      <c r="E83" s="101"/>
      <c r="F83" s="22" t="s">
        <v>118</v>
      </c>
      <c r="G83" s="72" t="s">
        <v>200</v>
      </c>
      <c r="H83" s="77">
        <v>15</v>
      </c>
      <c r="I83" s="75">
        <v>11</v>
      </c>
      <c r="J83" s="75">
        <v>12</v>
      </c>
      <c r="K83" s="75">
        <v>12</v>
      </c>
      <c r="L83" s="75">
        <v>12</v>
      </c>
      <c r="M83" s="97">
        <f>11232.31+3440.1</f>
        <v>14672.41</v>
      </c>
      <c r="N83" s="97">
        <f>11232.31+3440.1</f>
        <v>14672.41</v>
      </c>
      <c r="O83" s="93">
        <f t="shared" si="4"/>
        <v>0</v>
      </c>
      <c r="P83" s="123">
        <v>9</v>
      </c>
      <c r="Q83" s="124">
        <v>6</v>
      </c>
      <c r="R83" s="124">
        <v>6</v>
      </c>
      <c r="S83" s="97">
        <f>6465.89+3406.65</f>
        <v>9872.5400000000009</v>
      </c>
      <c r="T83" s="97">
        <f>6465.89+3406.65</f>
        <v>9872.5400000000009</v>
      </c>
      <c r="U83" s="97">
        <f t="shared" si="5"/>
        <v>0</v>
      </c>
      <c r="V83" s="161"/>
    </row>
    <row r="84" spans="1:22" ht="20.100000000000001" customHeight="1" x14ac:dyDescent="0.25">
      <c r="A84" s="155">
        <v>68</v>
      </c>
      <c r="B84" s="99">
        <f t="shared" si="6"/>
        <v>75</v>
      </c>
      <c r="C84" s="10" t="s">
        <v>87</v>
      </c>
      <c r="D84" s="100" t="s">
        <v>124</v>
      </c>
      <c r="E84" s="101"/>
      <c r="F84" s="22" t="s">
        <v>115</v>
      </c>
      <c r="G84" s="72" t="s">
        <v>201</v>
      </c>
      <c r="H84" s="77">
        <v>16</v>
      </c>
      <c r="I84" s="75">
        <v>6</v>
      </c>
      <c r="J84" s="75">
        <v>9</v>
      </c>
      <c r="K84" s="75">
        <v>9</v>
      </c>
      <c r="L84" s="75">
        <v>8</v>
      </c>
      <c r="M84" s="97">
        <f>5429.56+2272.28</f>
        <v>7701.84</v>
      </c>
      <c r="N84" s="97">
        <f>5429.56+2272.28</f>
        <v>7701.84</v>
      </c>
      <c r="O84" s="93">
        <f t="shared" si="4"/>
        <v>0</v>
      </c>
      <c r="P84" s="123">
        <v>1</v>
      </c>
      <c r="Q84" s="12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22" ht="20.100000000000001" customHeight="1" x14ac:dyDescent="0.25">
      <c r="A85" s="155">
        <v>70</v>
      </c>
      <c r="B85" s="99">
        <f t="shared" si="6"/>
        <v>76</v>
      </c>
      <c r="C85" s="11" t="s">
        <v>88</v>
      </c>
      <c r="D85" s="100" t="s">
        <v>124</v>
      </c>
      <c r="E85" s="101"/>
      <c r="F85" s="17" t="s">
        <v>121</v>
      </c>
      <c r="G85" s="72" t="s">
        <v>203</v>
      </c>
      <c r="H85" s="77">
        <v>26</v>
      </c>
      <c r="I85" s="75">
        <v>17</v>
      </c>
      <c r="J85" s="75">
        <v>31</v>
      </c>
      <c r="K85" s="75">
        <v>31</v>
      </c>
      <c r="L85" s="75">
        <v>28</v>
      </c>
      <c r="M85" s="97">
        <f>15506.09+4089.12</f>
        <v>19595.21</v>
      </c>
      <c r="N85" s="97">
        <f>15506.09+4089.12</f>
        <v>19595.21</v>
      </c>
      <c r="O85" s="93">
        <f t="shared" si="4"/>
        <v>0</v>
      </c>
      <c r="P85" s="123">
        <v>6</v>
      </c>
      <c r="Q85" s="12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22" ht="20.100000000000001" customHeight="1" x14ac:dyDescent="0.25">
      <c r="A86" s="155">
        <v>69</v>
      </c>
      <c r="B86" s="99">
        <f t="shared" si="6"/>
        <v>77</v>
      </c>
      <c r="C86" s="14" t="s">
        <v>89</v>
      </c>
      <c r="D86" s="100" t="s">
        <v>124</v>
      </c>
      <c r="E86" s="101"/>
      <c r="F86" s="19" t="s">
        <v>106</v>
      </c>
      <c r="G86" s="72" t="s">
        <v>202</v>
      </c>
      <c r="H86" s="77">
        <v>10</v>
      </c>
      <c r="I86" s="75">
        <v>4</v>
      </c>
      <c r="J86" s="75">
        <v>4</v>
      </c>
      <c r="K86" s="75">
        <v>4</v>
      </c>
      <c r="L86" s="75">
        <v>4</v>
      </c>
      <c r="M86" s="97">
        <v>1956.76</v>
      </c>
      <c r="N86" s="97">
        <v>1956.76</v>
      </c>
      <c r="O86" s="93">
        <f t="shared" si="4"/>
        <v>0</v>
      </c>
      <c r="P86" s="123">
        <v>2</v>
      </c>
      <c r="Q86" s="12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22" ht="20.100000000000001" customHeight="1" x14ac:dyDescent="0.25">
      <c r="A87" s="155">
        <v>71</v>
      </c>
      <c r="B87" s="99">
        <f t="shared" si="6"/>
        <v>78</v>
      </c>
      <c r="C87" s="14" t="s">
        <v>90</v>
      </c>
      <c r="D87" s="100" t="s">
        <v>124</v>
      </c>
      <c r="E87" s="101"/>
      <c r="F87" s="19" t="s">
        <v>106</v>
      </c>
      <c r="G87" s="72" t="s">
        <v>204</v>
      </c>
      <c r="H87" s="77">
        <v>7</v>
      </c>
      <c r="I87" s="75">
        <v>5</v>
      </c>
      <c r="J87" s="75">
        <v>6</v>
      </c>
      <c r="K87" s="75">
        <v>6</v>
      </c>
      <c r="L87" s="75">
        <v>4</v>
      </c>
      <c r="M87" s="97">
        <f>795.8+4099.92</f>
        <v>4895.72</v>
      </c>
      <c r="N87" s="97">
        <f>795.8+4099.92</f>
        <v>4895.72</v>
      </c>
      <c r="O87" s="93">
        <f t="shared" si="4"/>
        <v>0</v>
      </c>
      <c r="P87" s="123">
        <v>5</v>
      </c>
      <c r="Q87" s="124">
        <v>4</v>
      </c>
      <c r="R87" s="124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  <c r="V87" s="161"/>
    </row>
    <row r="88" spans="1:22" ht="20.100000000000001" customHeight="1" x14ac:dyDescent="0.25">
      <c r="B88" s="99">
        <f t="shared" si="6"/>
        <v>79</v>
      </c>
      <c r="C88" s="10" t="s">
        <v>91</v>
      </c>
      <c r="D88" s="100" t="s">
        <v>124</v>
      </c>
      <c r="E88" s="101"/>
      <c r="F88" s="17" t="s">
        <v>111</v>
      </c>
      <c r="G88" s="72" t="s">
        <v>231</v>
      </c>
      <c r="H88" s="77">
        <v>1</v>
      </c>
      <c r="I88" s="75"/>
      <c r="J88" s="75"/>
      <c r="K88" s="75"/>
      <c r="L88" s="75"/>
      <c r="M88" s="97"/>
      <c r="N88" s="97"/>
      <c r="O88" s="93">
        <f t="shared" si="4"/>
        <v>0</v>
      </c>
      <c r="P88" s="123">
        <v>6</v>
      </c>
      <c r="Q88" s="12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22" ht="20.100000000000001" customHeight="1" x14ac:dyDescent="0.25">
      <c r="A89" s="155">
        <v>72</v>
      </c>
      <c r="B89" s="99">
        <f t="shared" si="6"/>
        <v>80</v>
      </c>
      <c r="C89" s="10" t="s">
        <v>92</v>
      </c>
      <c r="D89" s="100" t="s">
        <v>124</v>
      </c>
      <c r="E89" s="101"/>
      <c r="F89" s="19" t="s">
        <v>106</v>
      </c>
      <c r="G89" s="72" t="s">
        <v>205</v>
      </c>
      <c r="H89" s="77">
        <v>9</v>
      </c>
      <c r="I89" s="75">
        <v>3</v>
      </c>
      <c r="J89" s="75">
        <v>4</v>
      </c>
      <c r="K89" s="75">
        <v>4</v>
      </c>
      <c r="L89" s="75">
        <v>3</v>
      </c>
      <c r="M89" s="97">
        <v>2874.33</v>
      </c>
      <c r="N89" s="97">
        <v>2874.33</v>
      </c>
      <c r="O89" s="93">
        <f t="shared" si="4"/>
        <v>0</v>
      </c>
      <c r="P89" s="123">
        <v>5</v>
      </c>
      <c r="Q89" s="124">
        <v>5</v>
      </c>
      <c r="R89" s="124">
        <v>4</v>
      </c>
      <c r="S89" s="97">
        <f>8161.92+1118.75</f>
        <v>9280.67</v>
      </c>
      <c r="T89" s="97">
        <f>8161.92+1118.75</f>
        <v>9280.67</v>
      </c>
      <c r="U89" s="97">
        <f t="shared" si="5"/>
        <v>0</v>
      </c>
      <c r="V89" s="161"/>
    </row>
    <row r="90" spans="1:22" ht="20.100000000000001" customHeight="1" x14ac:dyDescent="0.25">
      <c r="A90" s="155">
        <v>73</v>
      </c>
      <c r="B90" s="99">
        <f t="shared" si="6"/>
        <v>81</v>
      </c>
      <c r="C90" s="11" t="s">
        <v>93</v>
      </c>
      <c r="D90" s="100" t="s">
        <v>124</v>
      </c>
      <c r="E90" s="101"/>
      <c r="F90" s="17" t="s">
        <v>122</v>
      </c>
      <c r="G90" s="72" t="s">
        <v>206</v>
      </c>
      <c r="H90" s="77">
        <v>34</v>
      </c>
      <c r="I90" s="75">
        <v>20</v>
      </c>
      <c r="J90" s="75">
        <v>37</v>
      </c>
      <c r="K90" s="75">
        <v>35</v>
      </c>
      <c r="L90" s="75">
        <v>34</v>
      </c>
      <c r="M90" s="97">
        <f>14303.46+6714.67</f>
        <v>21018.129999999997</v>
      </c>
      <c r="N90" s="97">
        <f>14303.46+6714.67</f>
        <v>21018.129999999997</v>
      </c>
      <c r="O90" s="93">
        <f t="shared" si="4"/>
        <v>0</v>
      </c>
      <c r="P90" s="123">
        <v>8</v>
      </c>
      <c r="Q90" s="124">
        <v>7</v>
      </c>
      <c r="R90" s="124">
        <v>7</v>
      </c>
      <c r="S90" s="97">
        <v>3130.8</v>
      </c>
      <c r="T90" s="97">
        <v>3130.8</v>
      </c>
      <c r="U90" s="97">
        <f t="shared" si="5"/>
        <v>0</v>
      </c>
      <c r="V90" s="161"/>
    </row>
    <row r="91" spans="1:22" ht="20.100000000000001" customHeight="1" x14ac:dyDescent="0.25">
      <c r="A91" s="155">
        <v>74</v>
      </c>
      <c r="B91" s="99">
        <f t="shared" si="6"/>
        <v>82</v>
      </c>
      <c r="C91" s="11" t="s">
        <v>94</v>
      </c>
      <c r="D91" s="100" t="s">
        <v>124</v>
      </c>
      <c r="E91" s="101"/>
      <c r="F91" s="19" t="s">
        <v>106</v>
      </c>
      <c r="G91" s="72" t="s">
        <v>218</v>
      </c>
      <c r="H91" s="77">
        <v>14</v>
      </c>
      <c r="I91" s="75">
        <v>5</v>
      </c>
      <c r="J91" s="75">
        <v>10</v>
      </c>
      <c r="K91" s="75">
        <v>10</v>
      </c>
      <c r="L91" s="75">
        <v>10</v>
      </c>
      <c r="M91" s="97">
        <v>5384.83</v>
      </c>
      <c r="N91" s="97">
        <v>5384.83</v>
      </c>
      <c r="O91" s="93">
        <f t="shared" si="4"/>
        <v>0</v>
      </c>
      <c r="P91" s="123">
        <v>6</v>
      </c>
      <c r="Q91" s="124">
        <v>6</v>
      </c>
      <c r="R91" s="124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  <c r="V91" s="161"/>
    </row>
    <row r="92" spans="1:22" ht="20.100000000000001" customHeight="1" x14ac:dyDescent="0.25">
      <c r="A92" s="155">
        <v>75</v>
      </c>
      <c r="B92" s="99">
        <f t="shared" si="6"/>
        <v>83</v>
      </c>
      <c r="C92" s="11" t="s">
        <v>95</v>
      </c>
      <c r="D92" s="100" t="s">
        <v>124</v>
      </c>
      <c r="E92" s="101"/>
      <c r="F92" s="19" t="s">
        <v>123</v>
      </c>
      <c r="G92" s="72" t="s">
        <v>217</v>
      </c>
      <c r="H92" s="77">
        <v>15</v>
      </c>
      <c r="I92" s="75">
        <v>10</v>
      </c>
      <c r="J92" s="75">
        <v>12</v>
      </c>
      <c r="K92" s="75">
        <v>11</v>
      </c>
      <c r="L92" s="75">
        <v>11</v>
      </c>
      <c r="M92" s="97">
        <f>2301.54+4352.56+3555.69</f>
        <v>10209.790000000001</v>
      </c>
      <c r="N92" s="97">
        <f>2301.54+4352.56+3555.69</f>
        <v>10209.790000000001</v>
      </c>
      <c r="O92" s="93">
        <f t="shared" si="4"/>
        <v>0</v>
      </c>
      <c r="P92" s="123">
        <v>1</v>
      </c>
      <c r="Q92" s="12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22" ht="20.100000000000001" customHeight="1" x14ac:dyDescent="0.25">
      <c r="A93" s="155">
        <v>76</v>
      </c>
      <c r="B93" s="99">
        <f t="shared" si="6"/>
        <v>84</v>
      </c>
      <c r="C93" s="11" t="s">
        <v>96</v>
      </c>
      <c r="D93" s="100" t="s">
        <v>124</v>
      </c>
      <c r="E93" s="101"/>
      <c r="F93" s="22" t="s">
        <v>112</v>
      </c>
      <c r="G93" s="72" t="s">
        <v>216</v>
      </c>
      <c r="H93" s="77">
        <v>53</v>
      </c>
      <c r="I93" s="75">
        <v>23</v>
      </c>
      <c r="J93" s="75">
        <v>31</v>
      </c>
      <c r="K93" s="75">
        <v>23</v>
      </c>
      <c r="L93" s="75">
        <v>21</v>
      </c>
      <c r="M93" s="97">
        <v>14656.12</v>
      </c>
      <c r="N93" s="97">
        <v>14656.12</v>
      </c>
      <c r="O93" s="93">
        <f t="shared" si="4"/>
        <v>0</v>
      </c>
      <c r="P93" s="123">
        <v>8</v>
      </c>
      <c r="Q93" s="124">
        <v>8</v>
      </c>
      <c r="R93" s="124">
        <v>8</v>
      </c>
      <c r="S93" s="97">
        <v>11083.64</v>
      </c>
      <c r="T93" s="97">
        <v>11083.64</v>
      </c>
      <c r="U93" s="97">
        <f t="shared" si="5"/>
        <v>0</v>
      </c>
      <c r="V93" s="161"/>
    </row>
    <row r="94" spans="1:22" ht="20.100000000000001" customHeight="1" x14ac:dyDescent="0.25">
      <c r="A94" s="155">
        <v>77</v>
      </c>
      <c r="B94" s="99">
        <f t="shared" si="6"/>
        <v>85</v>
      </c>
      <c r="C94" s="11" t="s">
        <v>97</v>
      </c>
      <c r="D94" s="100" t="s">
        <v>124</v>
      </c>
      <c r="E94" s="101"/>
      <c r="F94" s="17" t="s">
        <v>111</v>
      </c>
      <c r="G94" s="72" t="s">
        <v>215</v>
      </c>
      <c r="H94" s="77">
        <v>27</v>
      </c>
      <c r="I94" s="75">
        <v>12</v>
      </c>
      <c r="J94" s="75">
        <v>13</v>
      </c>
      <c r="K94" s="75">
        <v>10</v>
      </c>
      <c r="L94" s="75">
        <v>10</v>
      </c>
      <c r="M94" s="97">
        <f>6576.32+217.5</f>
        <v>6793.82</v>
      </c>
      <c r="N94" s="97">
        <f>6576.32+217.5</f>
        <v>6793.82</v>
      </c>
      <c r="O94" s="93">
        <f t="shared" si="4"/>
        <v>0</v>
      </c>
      <c r="P94" s="123">
        <v>21</v>
      </c>
      <c r="Q94" s="124">
        <v>19</v>
      </c>
      <c r="R94" s="124">
        <v>19</v>
      </c>
      <c r="S94" s="97">
        <f>18253.04+4245.2</f>
        <v>22498.240000000002</v>
      </c>
      <c r="T94" s="97">
        <f>18253.04+4245.2</f>
        <v>22498.240000000002</v>
      </c>
      <c r="U94" s="97">
        <f t="shared" si="5"/>
        <v>0</v>
      </c>
      <c r="V94" s="161"/>
    </row>
    <row r="95" spans="1:22" ht="20.100000000000001" customHeight="1" x14ac:dyDescent="0.25">
      <c r="A95" s="155">
        <v>78</v>
      </c>
      <c r="B95" s="99">
        <f t="shared" si="6"/>
        <v>86</v>
      </c>
      <c r="C95" s="10" t="s">
        <v>98</v>
      </c>
      <c r="D95" s="100" t="s">
        <v>124</v>
      </c>
      <c r="E95" s="101"/>
      <c r="F95" s="19" t="s">
        <v>106</v>
      </c>
      <c r="G95" s="72" t="s">
        <v>214</v>
      </c>
      <c r="H95" s="77">
        <v>23</v>
      </c>
      <c r="I95" s="75">
        <v>12</v>
      </c>
      <c r="J95" s="75">
        <v>13</v>
      </c>
      <c r="K95" s="75">
        <v>13</v>
      </c>
      <c r="L95" s="75">
        <v>13</v>
      </c>
      <c r="M95" s="97">
        <f>2362.32+22110.36+455.21</f>
        <v>24927.89</v>
      </c>
      <c r="N95" s="97">
        <f>2362.32+22110.36+455.21</f>
        <v>24927.89</v>
      </c>
      <c r="O95" s="93">
        <f t="shared" si="4"/>
        <v>0</v>
      </c>
      <c r="P95" s="123">
        <v>13</v>
      </c>
      <c r="Q95" s="124">
        <v>13</v>
      </c>
      <c r="R95" s="124">
        <v>12</v>
      </c>
      <c r="S95" s="97">
        <f>24552.24+1001.28+122.46</f>
        <v>25675.98</v>
      </c>
      <c r="T95" s="97">
        <f>24552.24+1001.28+122.46</f>
        <v>25675.98</v>
      </c>
      <c r="U95" s="97">
        <f t="shared" si="5"/>
        <v>0</v>
      </c>
      <c r="V95" s="161"/>
    </row>
    <row r="96" spans="1:22" ht="20.100000000000001" customHeight="1" x14ac:dyDescent="0.25">
      <c r="A96" s="155">
        <v>80</v>
      </c>
      <c r="B96" s="99">
        <f t="shared" si="6"/>
        <v>87</v>
      </c>
      <c r="C96" s="10" t="s">
        <v>129</v>
      </c>
      <c r="D96" s="100" t="s">
        <v>124</v>
      </c>
      <c r="E96" s="101"/>
      <c r="F96" s="19" t="s">
        <v>106</v>
      </c>
      <c r="G96" s="72" t="s">
        <v>212</v>
      </c>
      <c r="H96" s="77">
        <v>9</v>
      </c>
      <c r="I96" s="75">
        <v>1</v>
      </c>
      <c r="J96" s="75">
        <v>2</v>
      </c>
      <c r="K96" s="75">
        <v>2</v>
      </c>
      <c r="L96" s="75">
        <v>2</v>
      </c>
      <c r="M96" s="97">
        <v>826.8</v>
      </c>
      <c r="N96" s="97">
        <v>826.8</v>
      </c>
      <c r="O96" s="93">
        <f t="shared" si="4"/>
        <v>0</v>
      </c>
      <c r="P96" s="123"/>
      <c r="Q96" s="124"/>
      <c r="R96" s="124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0" t="s">
        <v>99</v>
      </c>
      <c r="D97" s="100" t="s">
        <v>124</v>
      </c>
      <c r="E97" s="101"/>
      <c r="F97" s="19" t="s">
        <v>106</v>
      </c>
      <c r="G97" s="72" t="s">
        <v>213</v>
      </c>
      <c r="H97" s="77">
        <v>11</v>
      </c>
      <c r="I97" s="75">
        <v>6</v>
      </c>
      <c r="J97" s="75">
        <v>7</v>
      </c>
      <c r="K97" s="75">
        <v>7</v>
      </c>
      <c r="L97" s="75">
        <v>6</v>
      </c>
      <c r="M97" s="97">
        <v>3171.93</v>
      </c>
      <c r="N97" s="97">
        <v>3171.93</v>
      </c>
      <c r="O97" s="93">
        <f t="shared" si="4"/>
        <v>0</v>
      </c>
      <c r="P97" s="123">
        <v>4</v>
      </c>
      <c r="Q97" s="12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3" t="s">
        <v>100</v>
      </c>
      <c r="D98" s="100" t="s">
        <v>124</v>
      </c>
      <c r="E98" s="101"/>
      <c r="F98" s="19" t="s">
        <v>106</v>
      </c>
      <c r="G98" s="72" t="s">
        <v>211</v>
      </c>
      <c r="H98" s="77">
        <v>13</v>
      </c>
      <c r="I98" s="75">
        <v>4</v>
      </c>
      <c r="J98" s="75">
        <v>4</v>
      </c>
      <c r="K98" s="75">
        <v>4</v>
      </c>
      <c r="L98" s="75">
        <v>4</v>
      </c>
      <c r="M98" s="97">
        <f>757.9+551.2</f>
        <v>1309.0999999999999</v>
      </c>
      <c r="N98" s="97">
        <f>757.9+551.2</f>
        <v>1309.0999999999999</v>
      </c>
      <c r="O98" s="93">
        <f t="shared" si="4"/>
        <v>0</v>
      </c>
      <c r="P98" s="123">
        <v>8</v>
      </c>
      <c r="Q98" s="124">
        <v>8</v>
      </c>
      <c r="R98" s="124">
        <v>7</v>
      </c>
      <c r="S98" s="97">
        <v>8034.56</v>
      </c>
      <c r="T98" s="97">
        <v>8034.56</v>
      </c>
      <c r="U98" s="97">
        <f t="shared" si="5"/>
        <v>0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3" t="s">
        <v>101</v>
      </c>
      <c r="D99" s="100" t="s">
        <v>124</v>
      </c>
      <c r="E99" s="101"/>
      <c r="F99" s="17" t="s">
        <v>106</v>
      </c>
      <c r="G99" s="72" t="s">
        <v>210</v>
      </c>
      <c r="H99" s="77">
        <v>19</v>
      </c>
      <c r="I99" s="75">
        <v>8</v>
      </c>
      <c r="J99" s="75">
        <v>9</v>
      </c>
      <c r="K99" s="75">
        <v>8</v>
      </c>
      <c r="L99" s="75">
        <v>7</v>
      </c>
      <c r="M99" s="97">
        <f>4782.23+1353.89</f>
        <v>6136.12</v>
      </c>
      <c r="N99" s="97">
        <f>4782.23+1353.89</f>
        <v>6136.12</v>
      </c>
      <c r="O99" s="93">
        <f t="shared" si="4"/>
        <v>0</v>
      </c>
      <c r="P99" s="123">
        <v>10</v>
      </c>
      <c r="Q99" s="124">
        <v>10</v>
      </c>
      <c r="R99" s="124">
        <v>8</v>
      </c>
      <c r="S99" s="97">
        <v>12321.66</v>
      </c>
      <c r="T99" s="97">
        <v>12321.66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3" t="s">
        <v>102</v>
      </c>
      <c r="D100" s="100" t="s">
        <v>124</v>
      </c>
      <c r="E100" s="101"/>
      <c r="F100" s="17" t="s">
        <v>106</v>
      </c>
      <c r="G100" s="72" t="s">
        <v>209</v>
      </c>
      <c r="H100" s="77">
        <v>16</v>
      </c>
      <c r="I100" s="75">
        <v>10</v>
      </c>
      <c r="J100" s="75">
        <v>12</v>
      </c>
      <c r="K100" s="75">
        <v>12</v>
      </c>
      <c r="L100" s="75">
        <v>12</v>
      </c>
      <c r="M100" s="97">
        <f>10862.96+2375.03</f>
        <v>13237.99</v>
      </c>
      <c r="N100" s="97">
        <f>10862.96+2375.03</f>
        <v>13237.99</v>
      </c>
      <c r="O100" s="93">
        <f t="shared" si="4"/>
        <v>0</v>
      </c>
      <c r="P100" s="123">
        <v>10</v>
      </c>
      <c r="Q100" s="124">
        <v>10</v>
      </c>
      <c r="R100" s="124">
        <v>10</v>
      </c>
      <c r="S100" s="97">
        <v>4780.1000000000004</v>
      </c>
      <c r="T100" s="97">
        <v>4780.1000000000004</v>
      </c>
      <c r="U100" s="97">
        <f t="shared" si="5"/>
        <v>0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1" t="s">
        <v>103</v>
      </c>
      <c r="D101" s="100" t="s">
        <v>124</v>
      </c>
      <c r="E101" s="101"/>
      <c r="F101" s="22" t="s">
        <v>112</v>
      </c>
      <c r="G101" s="72" t="s">
        <v>208</v>
      </c>
      <c r="H101" s="77">
        <v>44</v>
      </c>
      <c r="I101" s="75">
        <v>27</v>
      </c>
      <c r="J101" s="75">
        <v>30</v>
      </c>
      <c r="K101" s="75">
        <v>26</v>
      </c>
      <c r="L101" s="75">
        <v>20</v>
      </c>
      <c r="M101" s="97">
        <f>16276.16+4466.66+1078.5</f>
        <v>21821.32</v>
      </c>
      <c r="N101" s="97">
        <f>16276.16+4466.66+1078.5</f>
        <v>21821.32</v>
      </c>
      <c r="O101" s="93">
        <f t="shared" si="4"/>
        <v>0</v>
      </c>
      <c r="P101" s="123">
        <v>24</v>
      </c>
      <c r="Q101" s="124">
        <v>23</v>
      </c>
      <c r="R101" s="124">
        <v>23</v>
      </c>
      <c r="S101" s="97">
        <f>21329.45-2252.12+532.3</f>
        <v>19609.63</v>
      </c>
      <c r="T101" s="97">
        <f>21329.45-2252.12+532.3</f>
        <v>19609.63</v>
      </c>
      <c r="U101" s="97">
        <f t="shared" si="5"/>
        <v>0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16" t="s">
        <v>104</v>
      </c>
      <c r="D102" s="111" t="s">
        <v>124</v>
      </c>
      <c r="E102" s="112"/>
      <c r="F102" s="117" t="s">
        <v>106</v>
      </c>
      <c r="G102" s="118" t="s">
        <v>207</v>
      </c>
      <c r="H102" s="113">
        <v>7</v>
      </c>
      <c r="I102" s="114">
        <v>4</v>
      </c>
      <c r="J102" s="114">
        <v>5</v>
      </c>
      <c r="K102" s="114">
        <v>5</v>
      </c>
      <c r="L102" s="114">
        <v>5</v>
      </c>
      <c r="M102" s="147">
        <v>3259.83</v>
      </c>
      <c r="N102" s="147">
        <v>3259.83</v>
      </c>
      <c r="O102" s="93">
        <f t="shared" si="4"/>
        <v>0</v>
      </c>
      <c r="P102" s="149">
        <v>3</v>
      </c>
      <c r="Q102" s="150">
        <v>3</v>
      </c>
      <c r="R102" s="150">
        <v>3</v>
      </c>
      <c r="S102" s="147">
        <v>1193.3</v>
      </c>
      <c r="T102" s="147">
        <v>1193.3</v>
      </c>
      <c r="U102" s="147">
        <f t="shared" si="5"/>
        <v>0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0" t="s">
        <v>258</v>
      </c>
      <c r="D103" s="111" t="s">
        <v>124</v>
      </c>
      <c r="E103" s="101"/>
      <c r="F103" s="12" t="s">
        <v>106</v>
      </c>
      <c r="G103" s="118" t="s">
        <v>261</v>
      </c>
      <c r="H103" s="75">
        <v>7</v>
      </c>
      <c r="I103" s="75">
        <v>1</v>
      </c>
      <c r="J103" s="75">
        <v>1</v>
      </c>
      <c r="K103" s="75">
        <v>1</v>
      </c>
      <c r="L103" s="75"/>
      <c r="M103" s="97"/>
      <c r="N103" s="97"/>
      <c r="O103" s="93">
        <f t="shared" si="4"/>
        <v>0</v>
      </c>
      <c r="P103" s="124"/>
      <c r="Q103" s="124"/>
      <c r="R103" s="124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0" t="s">
        <v>242</v>
      </c>
      <c r="D104" s="111" t="s">
        <v>124</v>
      </c>
      <c r="E104" s="101"/>
      <c r="F104" s="12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75">
        <v>2</v>
      </c>
      <c r="L104" s="75">
        <v>2</v>
      </c>
      <c r="M104" s="97">
        <v>2252.12</v>
      </c>
      <c r="N104" s="97">
        <v>2252.12</v>
      </c>
      <c r="O104" s="93">
        <f t="shared" si="4"/>
        <v>0</v>
      </c>
      <c r="P104" s="124"/>
      <c r="Q104" s="124"/>
      <c r="R104" s="124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Q105" si="7">SUM(H10:H104)</f>
        <v>1483</v>
      </c>
      <c r="I105" s="119">
        <f t="shared" si="7"/>
        <v>784</v>
      </c>
      <c r="J105" s="119">
        <f t="shared" si="7"/>
        <v>1046</v>
      </c>
      <c r="K105" s="119">
        <f t="shared" si="7"/>
        <v>975</v>
      </c>
      <c r="L105" s="119">
        <f t="shared" si="7"/>
        <v>861</v>
      </c>
      <c r="M105" s="151">
        <f t="shared" si="7"/>
        <v>707853.09999999986</v>
      </c>
      <c r="N105" s="151">
        <f t="shared" si="7"/>
        <v>707853.09999999986</v>
      </c>
      <c r="O105" s="151">
        <f t="shared" si="7"/>
        <v>0</v>
      </c>
      <c r="P105" s="152">
        <f t="shared" si="7"/>
        <v>655</v>
      </c>
      <c r="Q105" s="152">
        <f t="shared" si="7"/>
        <v>637</v>
      </c>
      <c r="R105" s="152">
        <f>SUM(R11:R104)</f>
        <v>609</v>
      </c>
      <c r="S105" s="151">
        <f>SUM(S10:S104)</f>
        <v>792800.53000000026</v>
      </c>
      <c r="T105" s="151">
        <f>SUM(T10:T104)</f>
        <v>792800.53000000026</v>
      </c>
      <c r="U105" s="120">
        <f>SUM(U10:U104)</f>
        <v>0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62">
        <f>M105+S105</f>
        <v>1500653.6300000001</v>
      </c>
      <c r="AG105" s="162">
        <f>N105+T105</f>
        <v>1500653.6300000001</v>
      </c>
      <c r="AH105" s="164">
        <f>O105+U105</f>
        <v>0</v>
      </c>
    </row>
    <row r="106" spans="1:35" x14ac:dyDescent="0.25"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3"/>
      <c r="AG106" s="163"/>
      <c r="AH106" s="163"/>
    </row>
    <row r="107" spans="1:35" x14ac:dyDescent="0.25">
      <c r="V107" s="145"/>
      <c r="W107" s="145"/>
      <c r="AF107" s="162"/>
      <c r="AG107" s="162"/>
      <c r="AH107" s="162"/>
      <c r="AI107" s="145"/>
    </row>
    <row r="108" spans="1:35" x14ac:dyDescent="0.25">
      <c r="AF108" s="162">
        <f>1500653.63-AF105</f>
        <v>0</v>
      </c>
      <c r="AG108" s="163"/>
      <c r="AH108" s="163"/>
    </row>
    <row r="109" spans="1:35" x14ac:dyDescent="0.25">
      <c r="AF109" s="163"/>
      <c r="AG109" s="163"/>
      <c r="AH109" s="163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395" priority="9" stopIfTrue="1" operator="equal">
      <formula>0</formula>
    </cfRule>
  </conditionalFormatting>
  <conditionalFormatting sqref="AL45">
    <cfRule type="cellIs" dxfId="394" priority="8" stopIfTrue="1" operator="equal">
      <formula>0</formula>
    </cfRule>
  </conditionalFormatting>
  <conditionalFormatting sqref="T45">
    <cfRule type="cellIs" dxfId="393" priority="7" stopIfTrue="1" operator="equal">
      <formula>0</formula>
    </cfRule>
  </conditionalFormatting>
  <conditionalFormatting sqref="T45">
    <cfRule type="cellIs" dxfId="392" priority="6" stopIfTrue="1" operator="equal">
      <formula>0</formula>
    </cfRule>
  </conditionalFormatting>
  <conditionalFormatting sqref="T45">
    <cfRule type="cellIs" dxfId="391" priority="5" stopIfTrue="1" operator="equal">
      <formula>0</formula>
    </cfRule>
  </conditionalFormatting>
  <conditionalFormatting sqref="T45">
    <cfRule type="cellIs" dxfId="390" priority="4" stopIfTrue="1" operator="equal">
      <formula>0</formula>
    </cfRule>
  </conditionalFormatting>
  <conditionalFormatting sqref="T45">
    <cfRule type="cellIs" dxfId="389" priority="3" stopIfTrue="1" operator="equal">
      <formula>0</formula>
    </cfRule>
  </conditionalFormatting>
  <conditionalFormatting sqref="T45">
    <cfRule type="cellIs" dxfId="388" priority="2" stopIfTrue="1" operator="equal">
      <formula>0</formula>
    </cfRule>
  </conditionalFormatting>
  <conditionalFormatting sqref="T45">
    <cfRule type="cellIs" dxfId="387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9"/>
  <sheetViews>
    <sheetView topLeftCell="N1" workbookViewId="0">
      <selection activeCell="C14" sqref="A14:IV14"/>
    </sheetView>
  </sheetViews>
  <sheetFormatPr defaultRowHeight="15.75" x14ac:dyDescent="0.25"/>
  <cols>
    <col min="1" max="1" width="9.140625" style="155" hidden="1" customWidth="1"/>
    <col min="2" max="2" width="9.140625" style="55" customWidth="1"/>
    <col min="3" max="3" width="34.42578125" style="55" customWidth="1"/>
    <col min="4" max="4" width="9.140625" style="55" customWidth="1"/>
    <col min="5" max="5" width="14.5703125" style="55" customWidth="1"/>
    <col min="6" max="6" width="25.140625" style="55" customWidth="1"/>
    <col min="7" max="7" width="20.42578125" style="55" customWidth="1"/>
    <col min="8" max="12" width="9.140625" style="55" customWidth="1"/>
    <col min="13" max="13" width="12" style="109" customWidth="1"/>
    <col min="14" max="14" width="12.42578125" style="109" customWidth="1"/>
    <col min="15" max="15" width="12.28515625" style="109" customWidth="1"/>
    <col min="16" max="18" width="9.140625" style="109" customWidth="1"/>
    <col min="19" max="19" width="16.85546875" style="109" customWidth="1"/>
    <col min="20" max="20" width="10.7109375" style="109" customWidth="1"/>
    <col min="21" max="21" width="10.7109375" style="133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0.28515625" style="134" bestFit="1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286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285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0" t="s">
        <v>18</v>
      </c>
      <c r="D10" s="100" t="s">
        <v>124</v>
      </c>
      <c r="E10" s="101"/>
      <c r="F10" s="102" t="s">
        <v>105</v>
      </c>
      <c r="G10" s="72" t="s">
        <v>138</v>
      </c>
      <c r="H10" s="77">
        <v>28</v>
      </c>
      <c r="I10" s="75">
        <v>15</v>
      </c>
      <c r="J10" s="75">
        <v>17</v>
      </c>
      <c r="K10" s="75">
        <v>17</v>
      </c>
      <c r="L10" s="75">
        <v>17</v>
      </c>
      <c r="M10" s="97">
        <f>8818.63+2629.32+1661.28</f>
        <v>13109.23</v>
      </c>
      <c r="N10" s="97">
        <f>8818.63+2629.32</f>
        <v>11447.949999999999</v>
      </c>
      <c r="O10" s="93">
        <f xml:space="preserve"> (M10-N10)</f>
        <v>1661.2800000000007</v>
      </c>
      <c r="P10" s="123">
        <v>7</v>
      </c>
      <c r="Q10" s="124">
        <v>7</v>
      </c>
      <c r="R10" s="124">
        <v>7</v>
      </c>
      <c r="S10" s="97">
        <f>4246.75+895.7</f>
        <v>5142.45</v>
      </c>
      <c r="T10" s="97">
        <v>4246.75</v>
      </c>
      <c r="U10" s="97">
        <f xml:space="preserve"> (S10-T10)</f>
        <v>895.69999999999982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0" t="s">
        <v>19</v>
      </c>
      <c r="D11" s="100" t="s">
        <v>124</v>
      </c>
      <c r="E11" s="101"/>
      <c r="F11" s="17" t="s">
        <v>106</v>
      </c>
      <c r="G11" s="72" t="s">
        <v>139</v>
      </c>
      <c r="H11" s="77">
        <v>10</v>
      </c>
      <c r="I11" s="75">
        <v>5</v>
      </c>
      <c r="J11" s="75">
        <v>6</v>
      </c>
      <c r="K11" s="75">
        <v>6</v>
      </c>
      <c r="L11" s="75">
        <v>6</v>
      </c>
      <c r="M11" s="97">
        <f>1778.86+580</f>
        <v>2358.8599999999997</v>
      </c>
      <c r="N11" s="97">
        <v>1778.86</v>
      </c>
      <c r="O11" s="93">
        <f t="shared" ref="O11:O74" si="1" xml:space="preserve"> (M11-N11)</f>
        <v>579.99999999999977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1" t="s">
        <v>20</v>
      </c>
      <c r="D12" s="100" t="s">
        <v>124</v>
      </c>
      <c r="E12" s="101"/>
      <c r="F12" s="17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1" t="s">
        <v>21</v>
      </c>
      <c r="D13" s="100" t="s">
        <v>124</v>
      </c>
      <c r="E13" s="101"/>
      <c r="F13" s="17" t="s">
        <v>108</v>
      </c>
      <c r="G13" s="72" t="s">
        <v>140</v>
      </c>
      <c r="H13" s="77">
        <v>18</v>
      </c>
      <c r="I13" s="75">
        <v>8</v>
      </c>
      <c r="J13" s="75">
        <v>11</v>
      </c>
      <c r="K13" s="75">
        <v>11</v>
      </c>
      <c r="L13" s="75">
        <v>11</v>
      </c>
      <c r="M13" s="97">
        <f>272.84+2699.54+4096.17</f>
        <v>7068.55</v>
      </c>
      <c r="N13" s="97">
        <f>272.84+2699.54+4096.17</f>
        <v>7068.55</v>
      </c>
      <c r="O13" s="93">
        <f t="shared" si="1"/>
        <v>0</v>
      </c>
      <c r="P13" s="123">
        <v>5</v>
      </c>
      <c r="Q13" s="124">
        <v>5</v>
      </c>
      <c r="R13" s="124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0" t="s">
        <v>22</v>
      </c>
      <c r="D14" s="100" t="s">
        <v>124</v>
      </c>
      <c r="E14" s="101"/>
      <c r="F14" s="17" t="s">
        <v>106</v>
      </c>
      <c r="G14" s="72" t="s">
        <v>141</v>
      </c>
      <c r="H14" s="77">
        <v>26</v>
      </c>
      <c r="I14" s="75">
        <v>10</v>
      </c>
      <c r="J14" s="75">
        <v>11</v>
      </c>
      <c r="K14" s="75">
        <v>10</v>
      </c>
      <c r="L14" s="75">
        <v>10</v>
      </c>
      <c r="M14" s="97">
        <v>4932.74</v>
      </c>
      <c r="N14" s="97">
        <v>4932.74</v>
      </c>
      <c r="O14" s="93">
        <f t="shared" si="1"/>
        <v>0</v>
      </c>
      <c r="P14" s="123">
        <v>6</v>
      </c>
      <c r="Q14" s="124">
        <v>6</v>
      </c>
      <c r="R14" s="124">
        <v>6</v>
      </c>
      <c r="S14" s="97">
        <f>2847.1+1515.8</f>
        <v>4362.8999999999996</v>
      </c>
      <c r="T14" s="97">
        <v>2847.1</v>
      </c>
      <c r="U14" s="97">
        <f t="shared" si="2"/>
        <v>1515.7999999999997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0" t="s">
        <v>23</v>
      </c>
      <c r="D15" s="100" t="s">
        <v>124</v>
      </c>
      <c r="E15" s="101"/>
      <c r="F15" s="17" t="s">
        <v>106</v>
      </c>
      <c r="G15" s="72" t="s">
        <v>142</v>
      </c>
      <c r="H15" s="77">
        <v>21</v>
      </c>
      <c r="I15" s="75">
        <v>17</v>
      </c>
      <c r="J15" s="75">
        <v>23</v>
      </c>
      <c r="K15" s="75">
        <v>23</v>
      </c>
      <c r="L15" s="75">
        <v>23</v>
      </c>
      <c r="M15" s="97">
        <f>16942.87+1278.76</f>
        <v>18221.629999999997</v>
      </c>
      <c r="N15" s="97">
        <v>16942.87</v>
      </c>
      <c r="O15" s="93">
        <f t="shared" si="1"/>
        <v>1278.7599999999984</v>
      </c>
      <c r="P15" s="123">
        <v>13</v>
      </c>
      <c r="Q15" s="124">
        <v>13</v>
      </c>
      <c r="R15" s="124">
        <v>13</v>
      </c>
      <c r="S15" s="97">
        <v>13813.9</v>
      </c>
      <c r="T15" s="97">
        <v>13813.9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0" t="s">
        <v>133</v>
      </c>
      <c r="D16" s="100" t="s">
        <v>124</v>
      </c>
      <c r="E16" s="101"/>
      <c r="F16" s="17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0" t="s">
        <v>24</v>
      </c>
      <c r="D17" s="100" t="s">
        <v>124</v>
      </c>
      <c r="E17" s="101"/>
      <c r="F17" s="17" t="s">
        <v>109</v>
      </c>
      <c r="G17" s="72" t="s">
        <v>144</v>
      </c>
      <c r="H17" s="77">
        <v>25</v>
      </c>
      <c r="I17" s="75">
        <v>11</v>
      </c>
      <c r="J17" s="75">
        <v>14</v>
      </c>
      <c r="K17" s="75">
        <v>11</v>
      </c>
      <c r="L17" s="75">
        <v>11</v>
      </c>
      <c r="M17" s="97">
        <f>7235.14+4416.12</f>
        <v>11651.26</v>
      </c>
      <c r="N17" s="97">
        <v>7235.14</v>
      </c>
      <c r="O17" s="93">
        <f t="shared" si="1"/>
        <v>4416.12</v>
      </c>
      <c r="P17" s="123">
        <v>1</v>
      </c>
      <c r="Q17" s="124">
        <v>1</v>
      </c>
      <c r="R17" s="124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0" t="s">
        <v>25</v>
      </c>
      <c r="D18" s="100" t="s">
        <v>124</v>
      </c>
      <c r="E18" s="101"/>
      <c r="F18" s="103" t="s">
        <v>110</v>
      </c>
      <c r="G18" s="72" t="s">
        <v>145</v>
      </c>
      <c r="H18" s="77">
        <v>11</v>
      </c>
      <c r="I18" s="75"/>
      <c r="J18" s="75"/>
      <c r="K18" s="75"/>
      <c r="L18" s="75"/>
      <c r="M18" s="97">
        <v>2118.92</v>
      </c>
      <c r="N18" s="97">
        <v>2118.92</v>
      </c>
      <c r="O18" s="93">
        <f t="shared" si="1"/>
        <v>0</v>
      </c>
      <c r="P18" s="123">
        <v>6</v>
      </c>
      <c r="Q18" s="124">
        <v>5</v>
      </c>
      <c r="R18" s="124">
        <v>5</v>
      </c>
      <c r="S18" s="97">
        <v>14748.55</v>
      </c>
      <c r="T18" s="97">
        <v>14748.55</v>
      </c>
      <c r="U18" s="97">
        <f t="shared" si="2"/>
        <v>0</v>
      </c>
      <c r="V18" s="161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2" t="s">
        <v>26</v>
      </c>
      <c r="D19" s="100" t="s">
        <v>124</v>
      </c>
      <c r="E19" s="101"/>
      <c r="F19" s="19" t="s">
        <v>107</v>
      </c>
      <c r="G19" s="72" t="s">
        <v>146</v>
      </c>
      <c r="H19" s="77">
        <v>20</v>
      </c>
      <c r="I19" s="75">
        <v>12</v>
      </c>
      <c r="J19" s="75">
        <v>20</v>
      </c>
      <c r="K19" s="75">
        <v>19</v>
      </c>
      <c r="L19" s="75">
        <v>19</v>
      </c>
      <c r="M19" s="97">
        <f>5345.36+3385.2+4242.79</f>
        <v>12973.349999999999</v>
      </c>
      <c r="N19" s="97">
        <f>5345.36+3385.2</f>
        <v>8730.56</v>
      </c>
      <c r="O19" s="93">
        <f t="shared" si="1"/>
        <v>4242.7899999999991</v>
      </c>
      <c r="P19" s="123">
        <v>15</v>
      </c>
      <c r="Q19" s="124">
        <v>15</v>
      </c>
      <c r="R19" s="124">
        <v>15</v>
      </c>
      <c r="S19" s="97">
        <f>12589.36+4299.58+3922.41+8458.25+3936.43</f>
        <v>33206.03</v>
      </c>
      <c r="T19" s="97">
        <f>12589.36+4299.58+3922.41+8458.25</f>
        <v>29269.600000000002</v>
      </c>
      <c r="U19" s="97">
        <f t="shared" si="2"/>
        <v>3936.4299999999967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1" t="s">
        <v>27</v>
      </c>
      <c r="D20" s="100" t="s">
        <v>124</v>
      </c>
      <c r="E20" s="101"/>
      <c r="F20" s="17" t="s">
        <v>111</v>
      </c>
      <c r="G20" s="72" t="s">
        <v>147</v>
      </c>
      <c r="H20" s="77">
        <v>26</v>
      </c>
      <c r="I20" s="75">
        <v>12</v>
      </c>
      <c r="J20" s="75">
        <v>16</v>
      </c>
      <c r="K20" s="75">
        <v>12</v>
      </c>
      <c r="L20" s="75">
        <v>12</v>
      </c>
      <c r="M20" s="97">
        <f>5728.14+3727.02+315.94</f>
        <v>9771.1</v>
      </c>
      <c r="N20" s="97">
        <f>5728.14+3727.02</f>
        <v>9455.16</v>
      </c>
      <c r="O20" s="93">
        <f t="shared" si="1"/>
        <v>315.94000000000051</v>
      </c>
      <c r="P20" s="123">
        <v>24</v>
      </c>
      <c r="Q20" s="124">
        <v>24</v>
      </c>
      <c r="R20" s="124">
        <v>24</v>
      </c>
      <c r="S20" s="97">
        <f>36404.57+1488.24</f>
        <v>37892.81</v>
      </c>
      <c r="T20" s="97">
        <v>36404.57</v>
      </c>
      <c r="U20" s="97">
        <f t="shared" si="2"/>
        <v>1488.239999999998</v>
      </c>
      <c r="V20" s="16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0" t="s">
        <v>28</v>
      </c>
      <c r="D21" s="100" t="s">
        <v>124</v>
      </c>
      <c r="E21" s="101"/>
      <c r="F21" s="17" t="s">
        <v>106</v>
      </c>
      <c r="G21" s="72" t="s">
        <v>148</v>
      </c>
      <c r="H21" s="77">
        <v>14</v>
      </c>
      <c r="I21" s="75">
        <v>7</v>
      </c>
      <c r="J21" s="75">
        <v>9</v>
      </c>
      <c r="K21" s="75">
        <v>9</v>
      </c>
      <c r="L21" s="75">
        <v>9</v>
      </c>
      <c r="M21" s="97">
        <f>3586.84+1791.4+1337.88</f>
        <v>6716.12</v>
      </c>
      <c r="N21" s="97">
        <f>3586.84+1791.4</f>
        <v>5378.24</v>
      </c>
      <c r="O21" s="93">
        <f t="shared" si="1"/>
        <v>1337.88</v>
      </c>
      <c r="P21" s="123">
        <v>5</v>
      </c>
      <c r="Q21" s="124">
        <v>5</v>
      </c>
      <c r="R21" s="124">
        <v>5</v>
      </c>
      <c r="S21" s="97">
        <f>7288.02+447.62</f>
        <v>7735.64</v>
      </c>
      <c r="T21" s="97">
        <v>7288.02</v>
      </c>
      <c r="U21" s="97">
        <f t="shared" si="2"/>
        <v>447.61999999999989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0" t="s">
        <v>29</v>
      </c>
      <c r="D22" s="100" t="s">
        <v>124</v>
      </c>
      <c r="E22" s="101"/>
      <c r="F22" s="104" t="s">
        <v>112</v>
      </c>
      <c r="G22" s="72" t="s">
        <v>149</v>
      </c>
      <c r="H22" s="77">
        <v>59</v>
      </c>
      <c r="I22" s="75">
        <v>24</v>
      </c>
      <c r="J22" s="75">
        <v>33</v>
      </c>
      <c r="K22" s="75">
        <v>31</v>
      </c>
      <c r="L22" s="75">
        <v>31</v>
      </c>
      <c r="M22" s="97">
        <f>19787.02+2513.73</f>
        <v>22300.75</v>
      </c>
      <c r="N22" s="97">
        <f>19787.02+2513.73</f>
        <v>22300.75</v>
      </c>
      <c r="O22" s="93">
        <f t="shared" si="1"/>
        <v>0</v>
      </c>
      <c r="P22" s="123">
        <v>20</v>
      </c>
      <c r="Q22" s="124">
        <v>19</v>
      </c>
      <c r="R22" s="124">
        <v>19</v>
      </c>
      <c r="S22" s="97">
        <v>24103.23</v>
      </c>
      <c r="T22" s="97">
        <v>24103.23</v>
      </c>
      <c r="U22" s="97">
        <f t="shared" si="2"/>
        <v>0</v>
      </c>
      <c r="V22" s="161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2" t="s">
        <v>30</v>
      </c>
      <c r="D23" s="100" t="s">
        <v>124</v>
      </c>
      <c r="E23" s="101"/>
      <c r="F23" s="19" t="s">
        <v>111</v>
      </c>
      <c r="G23" s="72" t="s">
        <v>150</v>
      </c>
      <c r="H23" s="77">
        <v>12</v>
      </c>
      <c r="I23" s="75">
        <v>7</v>
      </c>
      <c r="J23" s="75">
        <v>10</v>
      </c>
      <c r="K23" s="75">
        <v>7</v>
      </c>
      <c r="L23" s="75">
        <v>7</v>
      </c>
      <c r="M23" s="97">
        <f>5739.04+1828.05</f>
        <v>7567.09</v>
      </c>
      <c r="N23" s="97">
        <f>5739.04+1828.05</f>
        <v>7567.09</v>
      </c>
      <c r="O23" s="93">
        <f t="shared" si="1"/>
        <v>0</v>
      </c>
      <c r="P23" s="123">
        <v>11</v>
      </c>
      <c r="Q23" s="124">
        <v>11</v>
      </c>
      <c r="R23" s="124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0" t="s">
        <v>31</v>
      </c>
      <c r="D24" s="100" t="s">
        <v>124</v>
      </c>
      <c r="E24" s="101"/>
      <c r="F24" s="105" t="s">
        <v>107</v>
      </c>
      <c r="G24" s="72" t="s">
        <v>151</v>
      </c>
      <c r="H24" s="77">
        <v>13</v>
      </c>
      <c r="I24" s="75">
        <v>11</v>
      </c>
      <c r="J24" s="75">
        <v>15</v>
      </c>
      <c r="K24" s="75">
        <v>15</v>
      </c>
      <c r="L24" s="75">
        <v>10</v>
      </c>
      <c r="M24" s="97">
        <v>1515.11</v>
      </c>
      <c r="N24" s="97">
        <v>1515.11</v>
      </c>
      <c r="O24" s="93">
        <f t="shared" si="1"/>
        <v>0</v>
      </c>
      <c r="P24" s="123">
        <v>8</v>
      </c>
      <c r="Q24" s="124">
        <v>7</v>
      </c>
      <c r="R24" s="124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3" t="s">
        <v>32</v>
      </c>
      <c r="D25" s="100" t="s">
        <v>124</v>
      </c>
      <c r="E25" s="101"/>
      <c r="F25" s="17" t="s">
        <v>106</v>
      </c>
      <c r="G25" s="72" t="s">
        <v>152</v>
      </c>
      <c r="H25" s="77">
        <v>23</v>
      </c>
      <c r="I25" s="75">
        <v>9</v>
      </c>
      <c r="J25" s="75">
        <v>23</v>
      </c>
      <c r="K25" s="75">
        <v>23</v>
      </c>
      <c r="L25" s="75">
        <v>23</v>
      </c>
      <c r="M25" s="97">
        <f>9005.69+15068.32</f>
        <v>24074.010000000002</v>
      </c>
      <c r="N25" s="97">
        <v>9005.69</v>
      </c>
      <c r="O25" s="93">
        <f t="shared" si="1"/>
        <v>15068.320000000002</v>
      </c>
      <c r="P25" s="123">
        <v>21</v>
      </c>
      <c r="Q25" s="124">
        <v>20</v>
      </c>
      <c r="R25" s="124">
        <v>20</v>
      </c>
      <c r="S25" s="97">
        <v>24213.05</v>
      </c>
      <c r="T25" s="97">
        <v>24213.05</v>
      </c>
      <c r="U25" s="97">
        <f t="shared" si="2"/>
        <v>0</v>
      </c>
      <c r="V25" s="161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0" t="s">
        <v>33</v>
      </c>
      <c r="D26" s="100" t="s">
        <v>124</v>
      </c>
      <c r="E26" s="101"/>
      <c r="F26" s="17" t="s">
        <v>106</v>
      </c>
      <c r="G26" s="72" t="s">
        <v>153</v>
      </c>
      <c r="H26" s="77">
        <v>19</v>
      </c>
      <c r="I26" s="75">
        <v>8</v>
      </c>
      <c r="J26" s="75">
        <v>13</v>
      </c>
      <c r="K26" s="75">
        <v>13</v>
      </c>
      <c r="L26" s="75">
        <v>13</v>
      </c>
      <c r="M26" s="97">
        <f>3777.1+6399.51</f>
        <v>10176.61</v>
      </c>
      <c r="N26" s="97">
        <f>3777.1+6399.51</f>
        <v>10176.61</v>
      </c>
      <c r="O26" s="93">
        <f t="shared" si="1"/>
        <v>0</v>
      </c>
      <c r="P26" s="123">
        <v>10</v>
      </c>
      <c r="Q26" s="124">
        <v>10</v>
      </c>
      <c r="R26" s="124">
        <v>10</v>
      </c>
      <c r="S26" s="97">
        <v>3386.7</v>
      </c>
      <c r="T26" s="97">
        <v>3386.7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0" t="s">
        <v>34</v>
      </c>
      <c r="D27" s="100" t="s">
        <v>124</v>
      </c>
      <c r="E27" s="101"/>
      <c r="F27" s="17" t="s">
        <v>113</v>
      </c>
      <c r="G27" s="72" t="s">
        <v>154</v>
      </c>
      <c r="H27" s="77">
        <v>21</v>
      </c>
      <c r="I27" s="75">
        <v>11</v>
      </c>
      <c r="J27" s="75">
        <v>21</v>
      </c>
      <c r="K27" s="75">
        <v>21</v>
      </c>
      <c r="L27" s="75">
        <v>18</v>
      </c>
      <c r="M27" s="97">
        <f>6801.73+4254.18</f>
        <v>11055.91</v>
      </c>
      <c r="N27" s="97">
        <v>6801.73</v>
      </c>
      <c r="O27" s="93">
        <f t="shared" si="1"/>
        <v>4254.18</v>
      </c>
      <c r="P27" s="123">
        <v>14</v>
      </c>
      <c r="Q27" s="124">
        <v>14</v>
      </c>
      <c r="R27" s="124">
        <v>14</v>
      </c>
      <c r="S27" s="97">
        <f>12827.9+197.93</f>
        <v>13025.83</v>
      </c>
      <c r="T27" s="97">
        <v>12827.9</v>
      </c>
      <c r="U27" s="97">
        <f t="shared" si="2"/>
        <v>197.93000000000029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0" t="s">
        <v>35</v>
      </c>
      <c r="D28" s="100" t="s">
        <v>124</v>
      </c>
      <c r="E28" s="101"/>
      <c r="F28" s="17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2" t="s">
        <v>36</v>
      </c>
      <c r="D29" s="100" t="s">
        <v>124</v>
      </c>
      <c r="E29" s="101"/>
      <c r="F29" s="19" t="s">
        <v>114</v>
      </c>
      <c r="G29" s="72" t="s">
        <v>155</v>
      </c>
      <c r="H29" s="77">
        <v>19</v>
      </c>
      <c r="I29" s="75">
        <v>12</v>
      </c>
      <c r="J29" s="75">
        <v>22</v>
      </c>
      <c r="K29" s="75">
        <v>22</v>
      </c>
      <c r="L29" s="75">
        <v>22</v>
      </c>
      <c r="M29" s="97">
        <f>7765.28+1107.91+3282.4</f>
        <v>12155.59</v>
      </c>
      <c r="N29" s="97">
        <f>7765.28+1107.91</f>
        <v>8873.19</v>
      </c>
      <c r="O29" s="93">
        <f t="shared" si="1"/>
        <v>3282.3999999999996</v>
      </c>
      <c r="P29" s="123">
        <v>11</v>
      </c>
      <c r="Q29" s="124">
        <v>10</v>
      </c>
      <c r="R29" s="124">
        <v>10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1" t="s">
        <v>37</v>
      </c>
      <c r="D30" s="100" t="s">
        <v>124</v>
      </c>
      <c r="E30" s="101"/>
      <c r="F30" s="17" t="s">
        <v>108</v>
      </c>
      <c r="G30" s="72" t="s">
        <v>156</v>
      </c>
      <c r="H30" s="77">
        <v>26</v>
      </c>
      <c r="I30" s="75">
        <v>18</v>
      </c>
      <c r="J30" s="75">
        <v>23</v>
      </c>
      <c r="K30" s="75">
        <v>23</v>
      </c>
      <c r="L30" s="75">
        <v>17</v>
      </c>
      <c r="M30" s="97">
        <f>5246.17+4965.96+1939.12</f>
        <v>12151.25</v>
      </c>
      <c r="N30" s="97">
        <f>5246.17+4965.96</f>
        <v>10212.130000000001</v>
      </c>
      <c r="O30" s="93">
        <f t="shared" si="1"/>
        <v>1939.119999999999</v>
      </c>
      <c r="P30" s="123">
        <v>22</v>
      </c>
      <c r="Q30" s="124">
        <v>22</v>
      </c>
      <c r="R30" s="124">
        <v>21</v>
      </c>
      <c r="S30" s="97">
        <f>39414.6+4786.67+1562.33</f>
        <v>45763.6</v>
      </c>
      <c r="T30" s="97">
        <f>39414.6+4786.67</f>
        <v>44201.27</v>
      </c>
      <c r="U30" s="97">
        <f t="shared" si="2"/>
        <v>1562.3300000000017</v>
      </c>
      <c r="V30" s="16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1" t="s">
        <v>38</v>
      </c>
      <c r="D31" s="100" t="s">
        <v>124</v>
      </c>
      <c r="E31" s="101"/>
      <c r="F31" s="17" t="s">
        <v>106</v>
      </c>
      <c r="G31" s="72" t="s">
        <v>157</v>
      </c>
      <c r="H31" s="77">
        <v>4</v>
      </c>
      <c r="I31" s="75">
        <v>1</v>
      </c>
      <c r="J31" s="75">
        <v>2</v>
      </c>
      <c r="K31" s="75">
        <v>2</v>
      </c>
      <c r="L31" s="75">
        <v>2</v>
      </c>
      <c r="M31" s="97">
        <v>859.25</v>
      </c>
      <c r="N31" s="97">
        <v>859.25</v>
      </c>
      <c r="O31" s="93">
        <f t="shared" si="1"/>
        <v>0</v>
      </c>
      <c r="P31" s="123">
        <v>2</v>
      </c>
      <c r="Q31" s="12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0" t="s">
        <v>39</v>
      </c>
      <c r="D32" s="100" t="s">
        <v>124</v>
      </c>
      <c r="E32" s="101"/>
      <c r="F32" s="10" t="s">
        <v>105</v>
      </c>
      <c r="G32" s="72" t="s">
        <v>220</v>
      </c>
      <c r="H32" s="77"/>
      <c r="I32" s="75"/>
      <c r="J32" s="75"/>
      <c r="K32" s="75"/>
      <c r="L32" s="75"/>
      <c r="M32" s="97"/>
      <c r="N32" s="97"/>
      <c r="O32" s="93">
        <f t="shared" si="1"/>
        <v>0</v>
      </c>
      <c r="P32" s="123"/>
      <c r="Q32" s="124"/>
      <c r="R32" s="124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0" t="s">
        <v>137</v>
      </c>
      <c r="D33" s="100" t="s">
        <v>124</v>
      </c>
      <c r="E33" s="101"/>
      <c r="F33" s="17" t="s">
        <v>106</v>
      </c>
      <c r="G33" s="72" t="s">
        <v>158</v>
      </c>
      <c r="H33" s="77">
        <v>11</v>
      </c>
      <c r="I33" s="75">
        <v>8</v>
      </c>
      <c r="J33" s="75">
        <v>10</v>
      </c>
      <c r="K33" s="75">
        <v>10</v>
      </c>
      <c r="L33" s="75">
        <v>10</v>
      </c>
      <c r="M33" s="97">
        <f>4065+2226.4+2915.4</f>
        <v>9206.7999999999993</v>
      </c>
      <c r="N33" s="97">
        <f>4065.1+2226.4</f>
        <v>6291.5</v>
      </c>
      <c r="O33" s="93">
        <f t="shared" si="1"/>
        <v>2915.2999999999993</v>
      </c>
      <c r="P33" s="123"/>
      <c r="Q33" s="124"/>
      <c r="R33" s="124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2" t="s">
        <v>40</v>
      </c>
      <c r="D34" s="100" t="s">
        <v>124</v>
      </c>
      <c r="E34" s="101"/>
      <c r="F34" s="19" t="s">
        <v>115</v>
      </c>
      <c r="G34" s="72" t="s">
        <v>159</v>
      </c>
      <c r="H34" s="77">
        <v>16</v>
      </c>
      <c r="I34" s="75">
        <v>13</v>
      </c>
      <c r="J34" s="75">
        <v>20</v>
      </c>
      <c r="K34" s="75">
        <v>20</v>
      </c>
      <c r="L34" s="75">
        <v>16</v>
      </c>
      <c r="M34" s="97">
        <f>8742.16+2424.59</f>
        <v>11166.75</v>
      </c>
      <c r="N34" s="97">
        <v>8742.16</v>
      </c>
      <c r="O34" s="93">
        <f t="shared" si="1"/>
        <v>2424.59</v>
      </c>
      <c r="P34" s="123">
        <v>2</v>
      </c>
      <c r="Q34" s="12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1" t="s">
        <v>41</v>
      </c>
      <c r="D35" s="100" t="s">
        <v>124</v>
      </c>
      <c r="E35" s="101"/>
      <c r="F35" s="17" t="s">
        <v>106</v>
      </c>
      <c r="G35" s="72" t="s">
        <v>160</v>
      </c>
      <c r="H35" s="77">
        <v>11</v>
      </c>
      <c r="I35" s="75">
        <v>6</v>
      </c>
      <c r="J35" s="75">
        <v>12</v>
      </c>
      <c r="K35" s="75">
        <v>12</v>
      </c>
      <c r="L35" s="75">
        <v>12</v>
      </c>
      <c r="M35" s="97">
        <f>8755.24+1744.06</f>
        <v>10499.3</v>
      </c>
      <c r="N35" s="97">
        <v>8755.24</v>
      </c>
      <c r="O35" s="93">
        <f t="shared" si="1"/>
        <v>1744.0599999999995</v>
      </c>
      <c r="P35" s="123">
        <v>10</v>
      </c>
      <c r="Q35" s="124">
        <v>10</v>
      </c>
      <c r="R35" s="124">
        <v>10</v>
      </c>
      <c r="S35" s="97">
        <f>9249.99+1156.49</f>
        <v>10406.48</v>
      </c>
      <c r="T35" s="97">
        <v>9249.99</v>
      </c>
      <c r="U35" s="97">
        <f t="shared" si="2"/>
        <v>1156.4899999999998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3" t="s">
        <v>42</v>
      </c>
      <c r="D36" s="100" t="s">
        <v>124</v>
      </c>
      <c r="E36" s="101"/>
      <c r="F36" s="17" t="s">
        <v>106</v>
      </c>
      <c r="G36" s="72" t="s">
        <v>221</v>
      </c>
      <c r="H36" s="77">
        <v>13</v>
      </c>
      <c r="I36" s="75">
        <v>6</v>
      </c>
      <c r="J36" s="75">
        <v>6</v>
      </c>
      <c r="K36" s="75">
        <v>6</v>
      </c>
      <c r="L36" s="75">
        <v>6</v>
      </c>
      <c r="M36" s="97">
        <f>2360+2665.25</f>
        <v>5025.25</v>
      </c>
      <c r="N36" s="97">
        <v>2360</v>
      </c>
      <c r="O36" s="93">
        <f t="shared" si="1"/>
        <v>2665.25</v>
      </c>
      <c r="P36" s="123">
        <v>5</v>
      </c>
      <c r="Q36" s="124">
        <v>5</v>
      </c>
      <c r="R36" s="124">
        <v>5</v>
      </c>
      <c r="S36" s="97">
        <f>1436.08+3433.93+5939.33</f>
        <v>10809.34</v>
      </c>
      <c r="T36" s="97">
        <f>1436.08+3433.93</f>
        <v>4870.01</v>
      </c>
      <c r="U36" s="97">
        <f t="shared" si="2"/>
        <v>5939.33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3" t="s">
        <v>43</v>
      </c>
      <c r="D37" s="100" t="s">
        <v>124</v>
      </c>
      <c r="E37" s="101"/>
      <c r="F37" s="17" t="s">
        <v>106</v>
      </c>
      <c r="G37" s="72" t="s">
        <v>161</v>
      </c>
      <c r="H37" s="77">
        <v>12</v>
      </c>
      <c r="I37" s="75">
        <v>6</v>
      </c>
      <c r="J37" s="75">
        <v>10</v>
      </c>
      <c r="K37" s="75">
        <v>10</v>
      </c>
      <c r="L37" s="75">
        <v>10</v>
      </c>
      <c r="M37" s="97">
        <f>4126.56+990.2+862.75</f>
        <v>5979.51</v>
      </c>
      <c r="N37" s="97">
        <f>4126.56+990.2</f>
        <v>5116.76</v>
      </c>
      <c r="O37" s="93">
        <f t="shared" si="1"/>
        <v>862.75</v>
      </c>
      <c r="P37" s="123">
        <v>2</v>
      </c>
      <c r="Q37" s="124">
        <v>1</v>
      </c>
      <c r="R37" s="124">
        <v>1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1" t="s">
        <v>44</v>
      </c>
      <c r="D38" s="100" t="s">
        <v>124</v>
      </c>
      <c r="E38" s="101"/>
      <c r="F38" s="17" t="s">
        <v>105</v>
      </c>
      <c r="G38" s="72" t="s">
        <v>162</v>
      </c>
      <c r="H38" s="77">
        <v>46</v>
      </c>
      <c r="I38" s="75">
        <v>21</v>
      </c>
      <c r="J38" s="75">
        <v>29</v>
      </c>
      <c r="K38" s="75">
        <v>29</v>
      </c>
      <c r="L38" s="75">
        <v>29</v>
      </c>
      <c r="M38" s="97">
        <f>18043.85+1739.74+12219.36</f>
        <v>32002.95</v>
      </c>
      <c r="N38" s="97">
        <f>18043.85+1739.74</f>
        <v>19783.59</v>
      </c>
      <c r="O38" s="93">
        <f t="shared" si="1"/>
        <v>12219.36</v>
      </c>
      <c r="P38" s="123">
        <v>19</v>
      </c>
      <c r="Q38" s="124">
        <v>19</v>
      </c>
      <c r="R38" s="124">
        <v>19</v>
      </c>
      <c r="S38" s="97">
        <f>22326.77+417.74</f>
        <v>22744.510000000002</v>
      </c>
      <c r="T38" s="97">
        <v>22326.77</v>
      </c>
      <c r="U38" s="97">
        <f t="shared" si="2"/>
        <v>417.7400000000016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1" t="s">
        <v>45</v>
      </c>
      <c r="D39" s="100" t="s">
        <v>124</v>
      </c>
      <c r="E39" s="101"/>
      <c r="F39" s="17" t="s">
        <v>111</v>
      </c>
      <c r="G39" s="72" t="s">
        <v>163</v>
      </c>
      <c r="H39" s="77">
        <v>21</v>
      </c>
      <c r="I39" s="75">
        <v>8</v>
      </c>
      <c r="J39" s="75">
        <v>11</v>
      </c>
      <c r="K39" s="75">
        <v>11</v>
      </c>
      <c r="L39" s="75">
        <v>11</v>
      </c>
      <c r="M39" s="97">
        <f>4309.67+3353.38</f>
        <v>7663.05</v>
      </c>
      <c r="N39" s="97">
        <f>4309.67+3353.38</f>
        <v>7663.05</v>
      </c>
      <c r="O39" s="93">
        <f t="shared" si="1"/>
        <v>0</v>
      </c>
      <c r="P39" s="123">
        <v>3</v>
      </c>
      <c r="Q39" s="124">
        <v>3</v>
      </c>
      <c r="R39" s="124">
        <v>3</v>
      </c>
      <c r="S39" s="97">
        <v>84.92</v>
      </c>
      <c r="T39" s="97">
        <v>84.92</v>
      </c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0" t="s">
        <v>46</v>
      </c>
      <c r="D40" s="100" t="s">
        <v>124</v>
      </c>
      <c r="E40" s="101"/>
      <c r="F40" s="17" t="s">
        <v>106</v>
      </c>
      <c r="G40" s="72" t="s">
        <v>164</v>
      </c>
      <c r="H40" s="77">
        <v>7</v>
      </c>
      <c r="I40" s="75">
        <v>5</v>
      </c>
      <c r="J40" s="75">
        <v>5</v>
      </c>
      <c r="K40" s="75">
        <v>5</v>
      </c>
      <c r="L40" s="75">
        <v>5</v>
      </c>
      <c r="M40" s="97">
        <v>5430.01</v>
      </c>
      <c r="N40" s="97">
        <v>5430.01</v>
      </c>
      <c r="O40" s="93">
        <f t="shared" si="1"/>
        <v>0</v>
      </c>
      <c r="P40" s="123">
        <v>4</v>
      </c>
      <c r="Q40" s="12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0" t="s">
        <v>47</v>
      </c>
      <c r="D41" s="100" t="s">
        <v>124</v>
      </c>
      <c r="E41" s="101"/>
      <c r="F41" s="17" t="s">
        <v>116</v>
      </c>
      <c r="G41" s="72" t="s">
        <v>165</v>
      </c>
      <c r="H41" s="77">
        <v>10</v>
      </c>
      <c r="I41" s="75">
        <v>8</v>
      </c>
      <c r="J41" s="75">
        <v>9</v>
      </c>
      <c r="K41" s="75">
        <v>9</v>
      </c>
      <c r="L41" s="75">
        <v>9</v>
      </c>
      <c r="M41" s="97">
        <f>4892.78+1033.5</f>
        <v>5926.28</v>
      </c>
      <c r="N41" s="97">
        <v>4892.78</v>
      </c>
      <c r="O41" s="93">
        <f t="shared" si="1"/>
        <v>1033.5</v>
      </c>
      <c r="P41" s="123">
        <v>3</v>
      </c>
      <c r="Q41" s="124">
        <v>3</v>
      </c>
      <c r="R41" s="124">
        <v>3</v>
      </c>
      <c r="S41" s="97">
        <f>1842.88</f>
        <v>1842.88</v>
      </c>
      <c r="T41" s="97">
        <v>1842.88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3" t="s">
        <v>48</v>
      </c>
      <c r="D42" s="100" t="s">
        <v>124</v>
      </c>
      <c r="E42" s="101"/>
      <c r="F42" s="17" t="s">
        <v>106</v>
      </c>
      <c r="G42" s="72" t="s">
        <v>166</v>
      </c>
      <c r="H42" s="77">
        <v>10</v>
      </c>
      <c r="I42" s="75">
        <v>4</v>
      </c>
      <c r="J42" s="75">
        <v>4</v>
      </c>
      <c r="K42" s="75">
        <v>4</v>
      </c>
      <c r="L42" s="75">
        <v>4</v>
      </c>
      <c r="M42" s="97">
        <v>5095.29</v>
      </c>
      <c r="N42" s="97">
        <v>5095.29</v>
      </c>
      <c r="O42" s="93">
        <f t="shared" si="1"/>
        <v>0</v>
      </c>
      <c r="P42" s="123">
        <v>5</v>
      </c>
      <c r="Q42" s="124">
        <v>5</v>
      </c>
      <c r="R42" s="124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0" t="s">
        <v>49</v>
      </c>
      <c r="D43" s="100" t="s">
        <v>124</v>
      </c>
      <c r="E43" s="101"/>
      <c r="F43" s="17" t="s">
        <v>106</v>
      </c>
      <c r="G43" s="72" t="s">
        <v>167</v>
      </c>
      <c r="H43" s="77">
        <v>14</v>
      </c>
      <c r="I43" s="75">
        <v>7</v>
      </c>
      <c r="J43" s="75">
        <v>8</v>
      </c>
      <c r="K43" s="75">
        <v>8</v>
      </c>
      <c r="L43" s="75">
        <v>8</v>
      </c>
      <c r="M43" s="97">
        <f>1949.94+11241.95+1670.56</f>
        <v>14862.45</v>
      </c>
      <c r="N43" s="97">
        <f>1949.94+11241.95</f>
        <v>13191.890000000001</v>
      </c>
      <c r="O43" s="93">
        <f t="shared" si="1"/>
        <v>1670.5599999999995</v>
      </c>
      <c r="P43" s="123">
        <v>7</v>
      </c>
      <c r="Q43" s="124">
        <v>6</v>
      </c>
      <c r="R43" s="124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3" t="s">
        <v>50</v>
      </c>
      <c r="D44" s="100" t="s">
        <v>124</v>
      </c>
      <c r="E44" s="101"/>
      <c r="F44" s="17" t="s">
        <v>106</v>
      </c>
      <c r="G44" s="72" t="s">
        <v>168</v>
      </c>
      <c r="H44" s="77">
        <v>6</v>
      </c>
      <c r="I44" s="75">
        <v>5</v>
      </c>
      <c r="J44" s="75">
        <v>9</v>
      </c>
      <c r="K44" s="75">
        <v>9</v>
      </c>
      <c r="L44" s="75">
        <v>9</v>
      </c>
      <c r="M44" s="97">
        <f>9600.95+145</f>
        <v>9745.9500000000007</v>
      </c>
      <c r="N44" s="97">
        <v>9600.9500000000007</v>
      </c>
      <c r="O44" s="93">
        <f t="shared" si="1"/>
        <v>145</v>
      </c>
      <c r="P44" s="123">
        <v>5</v>
      </c>
      <c r="Q44" s="124">
        <v>5</v>
      </c>
      <c r="R44" s="124">
        <v>5</v>
      </c>
      <c r="S44" s="97">
        <f>3997.92+850.65+4367.7</f>
        <v>9216.27</v>
      </c>
      <c r="T44" s="97">
        <f>3997.92+850.65</f>
        <v>4848.57</v>
      </c>
      <c r="U44" s="97">
        <f t="shared" si="2"/>
        <v>4367.7000000000007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1" t="s">
        <v>51</v>
      </c>
      <c r="D45" s="100" t="s">
        <v>124</v>
      </c>
      <c r="E45" s="101"/>
      <c r="F45" s="22" t="s">
        <v>112</v>
      </c>
      <c r="G45" s="72"/>
      <c r="H45" s="77"/>
      <c r="I45" s="75"/>
      <c r="J45" s="75"/>
      <c r="K45" s="75"/>
      <c r="L45" s="75"/>
      <c r="M45" s="97"/>
      <c r="N45" s="97"/>
      <c r="O45" s="93">
        <f t="shared" si="1"/>
        <v>0</v>
      </c>
      <c r="P45" s="123"/>
      <c r="Q45" s="124"/>
      <c r="R45" s="124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1" t="s">
        <v>131</v>
      </c>
      <c r="D46" s="100" t="s">
        <v>124</v>
      </c>
      <c r="E46" s="101"/>
      <c r="F46" s="22" t="s">
        <v>106</v>
      </c>
      <c r="G46" s="72" t="s">
        <v>171</v>
      </c>
      <c r="H46" s="77">
        <v>8</v>
      </c>
      <c r="I46" s="75">
        <v>4</v>
      </c>
      <c r="J46" s="75">
        <v>4</v>
      </c>
      <c r="K46" s="75">
        <v>4</v>
      </c>
      <c r="L46" s="75">
        <v>4</v>
      </c>
      <c r="M46" s="97">
        <f>1290.6</f>
        <v>1290.5999999999999</v>
      </c>
      <c r="N46" s="97"/>
      <c r="O46" s="93">
        <f t="shared" si="1"/>
        <v>1290.5999999999999</v>
      </c>
      <c r="P46" s="123">
        <v>2</v>
      </c>
      <c r="Q46" s="124">
        <v>2</v>
      </c>
      <c r="R46" s="124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3" t="s">
        <v>52</v>
      </c>
      <c r="D47" s="100" t="s">
        <v>124</v>
      </c>
      <c r="E47" s="101"/>
      <c r="F47" s="17" t="s">
        <v>106</v>
      </c>
      <c r="G47" s="72" t="s">
        <v>169</v>
      </c>
      <c r="H47" s="77">
        <v>25</v>
      </c>
      <c r="I47" s="75">
        <v>17</v>
      </c>
      <c r="J47" s="75">
        <v>23</v>
      </c>
      <c r="K47" s="75">
        <v>21</v>
      </c>
      <c r="L47" s="75">
        <v>21</v>
      </c>
      <c r="M47" s="97">
        <f>9335.56+3507.6+826.8</f>
        <v>13669.96</v>
      </c>
      <c r="N47" s="97">
        <f>9335.56+3507.6</f>
        <v>12843.16</v>
      </c>
      <c r="O47" s="93">
        <f t="shared" si="1"/>
        <v>826.79999999999927</v>
      </c>
      <c r="P47" s="123">
        <v>2</v>
      </c>
      <c r="Q47" s="124">
        <v>2</v>
      </c>
      <c r="R47" s="124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0" t="s">
        <v>53</v>
      </c>
      <c r="D48" s="100" t="s">
        <v>124</v>
      </c>
      <c r="E48" s="101"/>
      <c r="F48" s="17" t="s">
        <v>105</v>
      </c>
      <c r="G48" s="72" t="s">
        <v>170</v>
      </c>
      <c r="H48" s="77">
        <v>12</v>
      </c>
      <c r="I48" s="75">
        <v>5</v>
      </c>
      <c r="J48" s="75">
        <v>8</v>
      </c>
      <c r="K48" s="75">
        <v>8</v>
      </c>
      <c r="L48" s="75">
        <v>8</v>
      </c>
      <c r="M48" s="97">
        <f>8890.84+1828.05</f>
        <v>10718.89</v>
      </c>
      <c r="N48" s="97">
        <f>8890.84+1828.05</f>
        <v>10718.89</v>
      </c>
      <c r="O48" s="93">
        <f t="shared" si="1"/>
        <v>0</v>
      </c>
      <c r="P48" s="123">
        <v>3</v>
      </c>
      <c r="Q48" s="12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0" t="s">
        <v>54</v>
      </c>
      <c r="D49" s="100" t="s">
        <v>124</v>
      </c>
      <c r="E49" s="101"/>
      <c r="F49" s="17" t="s">
        <v>106</v>
      </c>
      <c r="G49" s="72" t="s">
        <v>172</v>
      </c>
      <c r="H49" s="77">
        <v>17</v>
      </c>
      <c r="I49" s="75">
        <v>4</v>
      </c>
      <c r="J49" s="75">
        <v>8</v>
      </c>
      <c r="K49" s="75">
        <v>5</v>
      </c>
      <c r="L49" s="75">
        <v>5</v>
      </c>
      <c r="M49" s="97">
        <f>1831.71+137.8</f>
        <v>1969.51</v>
      </c>
      <c r="N49" s="97">
        <v>1831.71</v>
      </c>
      <c r="O49" s="93">
        <f t="shared" si="1"/>
        <v>137.79999999999995</v>
      </c>
      <c r="P49" s="123">
        <v>8</v>
      </c>
      <c r="Q49" s="124">
        <v>8</v>
      </c>
      <c r="R49" s="124">
        <v>8</v>
      </c>
      <c r="S49" s="97">
        <f>8296.23+1378</f>
        <v>9674.23</v>
      </c>
      <c r="T49" s="97">
        <f>8296.23+1378</f>
        <v>9674.23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0" t="s">
        <v>55</v>
      </c>
      <c r="D50" s="100" t="s">
        <v>124</v>
      </c>
      <c r="E50" s="101"/>
      <c r="F50" s="17" t="s">
        <v>106</v>
      </c>
      <c r="G50" s="72" t="s">
        <v>173</v>
      </c>
      <c r="H50" s="77">
        <v>14</v>
      </c>
      <c r="I50" s="75">
        <v>11</v>
      </c>
      <c r="J50" s="75">
        <v>13</v>
      </c>
      <c r="K50" s="75">
        <v>13</v>
      </c>
      <c r="L50" s="75">
        <v>13</v>
      </c>
      <c r="M50" s="97">
        <f>8308.92+786.44+453</f>
        <v>9548.36</v>
      </c>
      <c r="N50" s="97">
        <f>8308.92+786.44</f>
        <v>9095.36</v>
      </c>
      <c r="O50" s="93">
        <f t="shared" si="1"/>
        <v>453</v>
      </c>
      <c r="P50" s="123">
        <v>6</v>
      </c>
      <c r="Q50" s="124">
        <v>6</v>
      </c>
      <c r="R50" s="124">
        <v>6</v>
      </c>
      <c r="S50" s="97">
        <f>2457.28+1725.6+5017.9</f>
        <v>9200.7799999999988</v>
      </c>
      <c r="T50" s="97">
        <f>2457.28+1725.6</f>
        <v>4182.88</v>
      </c>
      <c r="U50" s="97">
        <f t="shared" si="2"/>
        <v>5017.8999999999987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0" t="s">
        <v>56</v>
      </c>
      <c r="D51" s="100" t="s">
        <v>124</v>
      </c>
      <c r="E51" s="101"/>
      <c r="F51" s="17" t="s">
        <v>106</v>
      </c>
      <c r="G51" s="72" t="s">
        <v>174</v>
      </c>
      <c r="H51" s="77">
        <v>15</v>
      </c>
      <c r="I51" s="75">
        <v>9</v>
      </c>
      <c r="J51" s="75">
        <v>10</v>
      </c>
      <c r="K51" s="75">
        <v>10</v>
      </c>
      <c r="L51" s="75">
        <v>10</v>
      </c>
      <c r="M51" s="97">
        <f>5580.75+571.11+696.2</f>
        <v>6848.0599999999995</v>
      </c>
      <c r="N51" s="97">
        <f>5580.75+571.11</f>
        <v>6151.86</v>
      </c>
      <c r="O51" s="93">
        <f t="shared" si="1"/>
        <v>696.19999999999982</v>
      </c>
      <c r="P51" s="123">
        <v>1</v>
      </c>
      <c r="Q51" s="124">
        <v>1</v>
      </c>
      <c r="R51" s="124">
        <v>1</v>
      </c>
      <c r="S51" s="97"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3" t="s">
        <v>57</v>
      </c>
      <c r="D52" s="100" t="s">
        <v>124</v>
      </c>
      <c r="E52" s="101"/>
      <c r="F52" s="17" t="s">
        <v>106</v>
      </c>
      <c r="G52" s="72" t="s">
        <v>175</v>
      </c>
      <c r="H52" s="77">
        <v>14</v>
      </c>
      <c r="I52" s="75">
        <v>8</v>
      </c>
      <c r="J52" s="75">
        <v>10</v>
      </c>
      <c r="K52" s="75">
        <v>10</v>
      </c>
      <c r="L52" s="75">
        <v>10</v>
      </c>
      <c r="M52" s="97">
        <f>3782.6+430.65+1221.61</f>
        <v>5434.86</v>
      </c>
      <c r="N52" s="97">
        <f>3782.6+430.65</f>
        <v>4213.25</v>
      </c>
      <c r="O52" s="93">
        <f t="shared" si="1"/>
        <v>1221.6099999999997</v>
      </c>
      <c r="P52" s="123">
        <v>5</v>
      </c>
      <c r="Q52" s="124">
        <v>5</v>
      </c>
      <c r="R52" s="124">
        <v>5</v>
      </c>
      <c r="S52" s="97">
        <f>1535.39+1035.3+828.82</f>
        <v>3399.51</v>
      </c>
      <c r="T52" s="97">
        <f>1535.39+1035.3+828.82</f>
        <v>3399.51</v>
      </c>
      <c r="U52" s="97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3" t="s">
        <v>58</v>
      </c>
      <c r="D53" s="100" t="s">
        <v>124</v>
      </c>
      <c r="E53" s="101"/>
      <c r="F53" s="17" t="s">
        <v>106</v>
      </c>
      <c r="G53" s="72" t="s">
        <v>260</v>
      </c>
      <c r="H53" s="77">
        <v>6</v>
      </c>
      <c r="I53" s="75">
        <v>2</v>
      </c>
      <c r="J53" s="75">
        <v>2</v>
      </c>
      <c r="K53" s="75">
        <v>2</v>
      </c>
      <c r="L53" s="75">
        <v>2</v>
      </c>
      <c r="M53" s="97">
        <v>1102.4000000000001</v>
      </c>
      <c r="N53" s="97">
        <v>1102.4000000000001</v>
      </c>
      <c r="O53" s="93">
        <f t="shared" si="1"/>
        <v>0</v>
      </c>
      <c r="P53" s="123">
        <v>2</v>
      </c>
      <c r="Q53" s="12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3" t="s">
        <v>59</v>
      </c>
      <c r="D54" s="100" t="s">
        <v>124</v>
      </c>
      <c r="E54" s="101"/>
      <c r="F54" s="17" t="s">
        <v>112</v>
      </c>
      <c r="G54" s="72" t="s">
        <v>176</v>
      </c>
      <c r="H54" s="77">
        <v>49</v>
      </c>
      <c r="I54" s="75">
        <v>39</v>
      </c>
      <c r="J54" s="75">
        <v>51</v>
      </c>
      <c r="K54" s="75">
        <v>35</v>
      </c>
      <c r="L54" s="75">
        <v>35</v>
      </c>
      <c r="M54" s="97">
        <f>12031.27+4728.85</f>
        <v>16760.120000000003</v>
      </c>
      <c r="N54" s="97">
        <v>12031.27</v>
      </c>
      <c r="O54" s="93">
        <f t="shared" si="1"/>
        <v>4728.8500000000022</v>
      </c>
      <c r="P54" s="123">
        <v>17</v>
      </c>
      <c r="Q54" s="12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3" t="s">
        <v>60</v>
      </c>
      <c r="D55" s="100" t="s">
        <v>125</v>
      </c>
      <c r="E55" s="106" t="s">
        <v>126</v>
      </c>
      <c r="F55" s="17" t="s">
        <v>106</v>
      </c>
      <c r="G55" s="72" t="s">
        <v>177</v>
      </c>
      <c r="H55" s="77">
        <v>6</v>
      </c>
      <c r="I55" s="75">
        <v>2</v>
      </c>
      <c r="J55" s="75">
        <v>2</v>
      </c>
      <c r="K55" s="75">
        <v>2</v>
      </c>
      <c r="L55" s="75">
        <v>2</v>
      </c>
      <c r="M55" s="97">
        <v>5677.4</v>
      </c>
      <c r="N55" s="97">
        <v>5677.4</v>
      </c>
      <c r="O55" s="93">
        <f t="shared" si="1"/>
        <v>0</v>
      </c>
      <c r="P55" s="123">
        <v>3</v>
      </c>
      <c r="Q55" s="12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1" t="s">
        <v>61</v>
      </c>
      <c r="D56" s="100" t="s">
        <v>124</v>
      </c>
      <c r="E56" s="101"/>
      <c r="F56" s="17" t="s">
        <v>107</v>
      </c>
      <c r="G56" s="72" t="s">
        <v>178</v>
      </c>
      <c r="H56" s="77">
        <v>38</v>
      </c>
      <c r="I56" s="75">
        <v>23</v>
      </c>
      <c r="J56" s="75">
        <v>29</v>
      </c>
      <c r="K56" s="75">
        <v>29</v>
      </c>
      <c r="L56" s="75">
        <v>29</v>
      </c>
      <c r="M56" s="97">
        <f>13145.7+14183.3</f>
        <v>27329</v>
      </c>
      <c r="N56" s="97">
        <v>13145.7</v>
      </c>
      <c r="O56" s="93">
        <f t="shared" si="1"/>
        <v>14183.3</v>
      </c>
      <c r="P56" s="123">
        <v>31</v>
      </c>
      <c r="Q56" s="124">
        <v>31</v>
      </c>
      <c r="R56" s="124">
        <v>31</v>
      </c>
      <c r="S56" s="97">
        <f>53733.15+4264.52</f>
        <v>57997.67</v>
      </c>
      <c r="T56" s="97">
        <v>53733.15</v>
      </c>
      <c r="U56" s="97">
        <f t="shared" si="2"/>
        <v>4264.5199999999968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1" t="s">
        <v>134</v>
      </c>
      <c r="D57" s="100" t="s">
        <v>124</v>
      </c>
      <c r="E57" s="101"/>
      <c r="F57" s="17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75">
        <v>3</v>
      </c>
      <c r="L57" s="75">
        <v>3</v>
      </c>
      <c r="M57" s="97">
        <v>1200.96</v>
      </c>
      <c r="N57" s="97">
        <v>1200.96</v>
      </c>
      <c r="O57" s="93">
        <f t="shared" si="1"/>
        <v>0</v>
      </c>
      <c r="P57" s="123"/>
      <c r="Q57" s="124"/>
      <c r="R57" s="124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1" t="s">
        <v>62</v>
      </c>
      <c r="D58" s="100" t="s">
        <v>124</v>
      </c>
      <c r="E58" s="101"/>
      <c r="F58" s="17" t="s">
        <v>106</v>
      </c>
      <c r="G58" s="72" t="s">
        <v>230</v>
      </c>
      <c r="H58" s="77"/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97"/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1" t="s">
        <v>63</v>
      </c>
      <c r="D59" s="100" t="s">
        <v>124</v>
      </c>
      <c r="E59" s="101"/>
      <c r="F59" s="22" t="s">
        <v>112</v>
      </c>
      <c r="G59" s="72" t="s">
        <v>224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1" t="s">
        <v>64</v>
      </c>
      <c r="D60" s="100" t="s">
        <v>124</v>
      </c>
      <c r="E60" s="101"/>
      <c r="F60" s="22" t="s">
        <v>107</v>
      </c>
      <c r="G60" s="72" t="s">
        <v>180</v>
      </c>
      <c r="H60" s="77">
        <v>36</v>
      </c>
      <c r="I60" s="75">
        <v>24</v>
      </c>
      <c r="J60" s="75">
        <v>35</v>
      </c>
      <c r="K60" s="75">
        <v>31</v>
      </c>
      <c r="L60" s="75">
        <v>30</v>
      </c>
      <c r="M60" s="97">
        <f>19657.67+3859.57+3638.88</f>
        <v>27156.12</v>
      </c>
      <c r="N60" s="97">
        <f>19657.67+3859.57</f>
        <v>23517.239999999998</v>
      </c>
      <c r="O60" s="93">
        <f t="shared" si="1"/>
        <v>3638.880000000001</v>
      </c>
      <c r="P60" s="123">
        <v>6</v>
      </c>
      <c r="Q60" s="124">
        <v>6</v>
      </c>
      <c r="R60" s="124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1" t="s">
        <v>135</v>
      </c>
      <c r="D61" s="100" t="s">
        <v>124</v>
      </c>
      <c r="E61" s="101"/>
      <c r="F61" s="22" t="s">
        <v>111</v>
      </c>
      <c r="G61" s="72" t="s">
        <v>181</v>
      </c>
      <c r="H61" s="77">
        <v>18</v>
      </c>
      <c r="I61" s="75">
        <v>8</v>
      </c>
      <c r="J61" s="75">
        <v>10</v>
      </c>
      <c r="K61" s="75">
        <v>10</v>
      </c>
      <c r="L61" s="75">
        <v>8</v>
      </c>
      <c r="M61" s="97">
        <f>3986.21+989.8</f>
        <v>4976.01</v>
      </c>
      <c r="N61" s="97">
        <f>3986.21+989.8</f>
        <v>4976.01</v>
      </c>
      <c r="O61" s="93">
        <f t="shared" si="1"/>
        <v>0</v>
      </c>
      <c r="P61" s="123"/>
      <c r="Q61" s="124"/>
      <c r="R61" s="124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3" t="s">
        <v>65</v>
      </c>
      <c r="D62" s="100" t="s">
        <v>124</v>
      </c>
      <c r="E62" s="101"/>
      <c r="F62" s="17" t="s">
        <v>106</v>
      </c>
      <c r="G62" s="72" t="s">
        <v>182</v>
      </c>
      <c r="H62" s="77">
        <v>14</v>
      </c>
      <c r="I62" s="75">
        <v>9</v>
      </c>
      <c r="J62" s="75">
        <v>9</v>
      </c>
      <c r="K62" s="75">
        <v>9</v>
      </c>
      <c r="L62" s="75">
        <v>9</v>
      </c>
      <c r="M62" s="97">
        <f>1263.45+2111.32+5011.35</f>
        <v>8386.1200000000008</v>
      </c>
      <c r="N62" s="97">
        <f>1263.45+2111.32+5011.35</f>
        <v>8386.1200000000008</v>
      </c>
      <c r="O62" s="93">
        <f t="shared" si="1"/>
        <v>0</v>
      </c>
      <c r="P62" s="123">
        <v>7</v>
      </c>
      <c r="Q62" s="124">
        <v>7</v>
      </c>
      <c r="R62" s="124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3" t="s">
        <v>66</v>
      </c>
      <c r="D63" s="100" t="s">
        <v>124</v>
      </c>
      <c r="E63" s="101"/>
      <c r="F63" s="17" t="s">
        <v>112</v>
      </c>
      <c r="G63" s="72" t="s">
        <v>227</v>
      </c>
      <c r="H63" s="77"/>
      <c r="I63" s="75"/>
      <c r="J63" s="75"/>
      <c r="K63" s="75"/>
      <c r="L63" s="75"/>
      <c r="M63" s="97">
        <v>482.3</v>
      </c>
      <c r="N63" s="97">
        <v>482.3</v>
      </c>
      <c r="O63" s="93">
        <f t="shared" si="1"/>
        <v>0</v>
      </c>
      <c r="P63" s="123">
        <v>28</v>
      </c>
      <c r="Q63" s="124">
        <v>28</v>
      </c>
      <c r="R63" s="124">
        <v>28</v>
      </c>
      <c r="S63" s="97">
        <v>9392.68</v>
      </c>
      <c r="T63" s="97">
        <v>9392.68</v>
      </c>
      <c r="U63" s="97">
        <f t="shared" si="2"/>
        <v>0</v>
      </c>
      <c r="V63" s="161"/>
    </row>
    <row r="64" spans="1:40" ht="20.100000000000001" customHeight="1" x14ac:dyDescent="0.25">
      <c r="A64" s="155">
        <v>50</v>
      </c>
      <c r="B64" s="99">
        <f t="shared" si="3"/>
        <v>55</v>
      </c>
      <c r="C64" s="10" t="s">
        <v>67</v>
      </c>
      <c r="D64" s="100" t="s">
        <v>124</v>
      </c>
      <c r="E64" s="101"/>
      <c r="F64" s="17" t="s">
        <v>106</v>
      </c>
      <c r="G64" s="72" t="s">
        <v>183</v>
      </c>
      <c r="H64" s="77">
        <v>20</v>
      </c>
      <c r="I64" s="75">
        <v>12</v>
      </c>
      <c r="J64" s="75">
        <v>14</v>
      </c>
      <c r="K64" s="75">
        <v>14</v>
      </c>
      <c r="L64" s="75">
        <v>14</v>
      </c>
      <c r="M64" s="97">
        <f>6496.16+4335.01</f>
        <v>10831.17</v>
      </c>
      <c r="N64" s="97">
        <v>6496.16</v>
      </c>
      <c r="O64" s="93">
        <f t="shared" si="1"/>
        <v>4335.01</v>
      </c>
      <c r="P64" s="123">
        <v>10</v>
      </c>
      <c r="Q64" s="124">
        <v>10</v>
      </c>
      <c r="R64" s="124">
        <v>10</v>
      </c>
      <c r="S64" s="97">
        <v>6866.56</v>
      </c>
      <c r="T64" s="97">
        <v>6866.56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0" t="s">
        <v>68</v>
      </c>
      <c r="D65" s="100" t="s">
        <v>124</v>
      </c>
      <c r="E65" s="101"/>
      <c r="F65" s="17" t="s">
        <v>111</v>
      </c>
      <c r="G65" s="72" t="s">
        <v>184</v>
      </c>
      <c r="H65" s="77">
        <v>37</v>
      </c>
      <c r="I65" s="75">
        <v>27</v>
      </c>
      <c r="J65" s="75">
        <v>33</v>
      </c>
      <c r="K65" s="75">
        <v>26</v>
      </c>
      <c r="L65" s="75">
        <v>26</v>
      </c>
      <c r="M65" s="97">
        <f>21561.61+5719.7+1305</f>
        <v>28586.31</v>
      </c>
      <c r="N65" s="97">
        <f>21561.61+5719.7</f>
        <v>27281.31</v>
      </c>
      <c r="O65" s="93">
        <f t="shared" si="1"/>
        <v>1305</v>
      </c>
      <c r="P65" s="123">
        <v>10</v>
      </c>
      <c r="Q65" s="124">
        <v>10</v>
      </c>
      <c r="R65" s="124">
        <v>10</v>
      </c>
      <c r="S65" s="97">
        <v>7456.7</v>
      </c>
      <c r="T65" s="97">
        <v>7456.7</v>
      </c>
      <c r="U65" s="97">
        <f t="shared" si="2"/>
        <v>0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3" t="s">
        <v>69</v>
      </c>
      <c r="D66" s="100" t="s">
        <v>124</v>
      </c>
      <c r="E66" s="101"/>
      <c r="F66" s="17" t="s">
        <v>106</v>
      </c>
      <c r="G66" s="72" t="s">
        <v>185</v>
      </c>
      <c r="H66" s="77">
        <v>3</v>
      </c>
      <c r="I66" s="75">
        <v>2</v>
      </c>
      <c r="J66" s="75">
        <v>3</v>
      </c>
      <c r="K66" s="75">
        <v>3</v>
      </c>
      <c r="L66" s="75">
        <v>3</v>
      </c>
      <c r="M66" s="97">
        <f>463.83+1653.6</f>
        <v>2117.4299999999998</v>
      </c>
      <c r="N66" s="97">
        <f>463.83+1653.6</f>
        <v>2117.4299999999998</v>
      </c>
      <c r="O66" s="93">
        <f t="shared" si="1"/>
        <v>0</v>
      </c>
      <c r="P66" s="123">
        <v>4</v>
      </c>
      <c r="Q66" s="12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1" t="s">
        <v>70</v>
      </c>
      <c r="D67" s="100" t="s">
        <v>124</v>
      </c>
      <c r="E67" s="101"/>
      <c r="F67" s="17" t="s">
        <v>107</v>
      </c>
      <c r="G67" s="72" t="s">
        <v>186</v>
      </c>
      <c r="H67" s="77">
        <v>38</v>
      </c>
      <c r="I67" s="75">
        <v>30</v>
      </c>
      <c r="J67" s="75">
        <v>39</v>
      </c>
      <c r="K67" s="75">
        <v>38</v>
      </c>
      <c r="L67" s="75">
        <v>31</v>
      </c>
      <c r="M67" s="97">
        <f>19710.93+7009.96</f>
        <v>26720.89</v>
      </c>
      <c r="N67" s="97">
        <v>19710.93</v>
      </c>
      <c r="O67" s="93">
        <f t="shared" si="1"/>
        <v>7009.9599999999991</v>
      </c>
      <c r="P67" s="123">
        <v>11</v>
      </c>
      <c r="Q67" s="124">
        <v>11</v>
      </c>
      <c r="R67" s="124">
        <v>9</v>
      </c>
      <c r="S67" s="97">
        <f>8355.57+1548.48</f>
        <v>9904.0499999999993</v>
      </c>
      <c r="T67" s="97">
        <v>8355.57</v>
      </c>
      <c r="U67" s="97">
        <f t="shared" si="2"/>
        <v>1548.4799999999996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1" t="s">
        <v>71</v>
      </c>
      <c r="D68" s="100" t="s">
        <v>124</v>
      </c>
      <c r="E68" s="101"/>
      <c r="F68" s="17" t="s">
        <v>117</v>
      </c>
      <c r="G68" s="72" t="s">
        <v>187</v>
      </c>
      <c r="H68" s="77">
        <v>28</v>
      </c>
      <c r="I68" s="75">
        <v>23</v>
      </c>
      <c r="J68" s="75">
        <v>40</v>
      </c>
      <c r="K68" s="75">
        <v>40</v>
      </c>
      <c r="L68" s="75">
        <v>40</v>
      </c>
      <c r="M68" s="97">
        <f>18750.75+14453.14</f>
        <v>33203.89</v>
      </c>
      <c r="N68" s="97">
        <v>18750.75</v>
      </c>
      <c r="O68" s="93">
        <f t="shared" si="1"/>
        <v>14453.14</v>
      </c>
      <c r="P68" s="123">
        <v>10</v>
      </c>
      <c r="Q68" s="124">
        <v>10</v>
      </c>
      <c r="R68" s="124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1" t="s">
        <v>72</v>
      </c>
      <c r="D69" s="100" t="s">
        <v>125</v>
      </c>
      <c r="E69" s="106" t="s">
        <v>126</v>
      </c>
      <c r="F69" s="17" t="s">
        <v>106</v>
      </c>
      <c r="G69" s="72" t="s">
        <v>188</v>
      </c>
      <c r="H69" s="77">
        <v>7</v>
      </c>
      <c r="I69" s="75">
        <v>4</v>
      </c>
      <c r="J69" s="75">
        <v>4</v>
      </c>
      <c r="K69" s="75">
        <v>4</v>
      </c>
      <c r="L69" s="75">
        <v>4</v>
      </c>
      <c r="M69" s="97">
        <f>2756+1240.2</f>
        <v>3996.2</v>
      </c>
      <c r="N69" s="97">
        <v>2756</v>
      </c>
      <c r="O69" s="93">
        <f t="shared" si="1"/>
        <v>1240.1999999999998</v>
      </c>
      <c r="P69" s="123"/>
      <c r="Q69" s="124"/>
      <c r="R69" s="124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0" t="s">
        <v>73</v>
      </c>
      <c r="D70" s="100" t="s">
        <v>124</v>
      </c>
      <c r="E70" s="101"/>
      <c r="F70" s="17" t="s">
        <v>106</v>
      </c>
      <c r="G70" s="72" t="s">
        <v>189</v>
      </c>
      <c r="H70" s="77">
        <v>8</v>
      </c>
      <c r="I70" s="75">
        <v>4</v>
      </c>
      <c r="J70" s="75">
        <v>4</v>
      </c>
      <c r="K70" s="75">
        <v>4</v>
      </c>
      <c r="L70" s="75">
        <v>4</v>
      </c>
      <c r="M70" s="97">
        <f>2039.44+3242.32</f>
        <v>5281.76</v>
      </c>
      <c r="N70" s="97">
        <v>2039.44</v>
      </c>
      <c r="O70" s="93">
        <f t="shared" si="1"/>
        <v>3242.32</v>
      </c>
      <c r="P70" s="123">
        <v>5</v>
      </c>
      <c r="Q70" s="124">
        <v>5</v>
      </c>
      <c r="R70" s="124">
        <v>5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1" t="s">
        <v>74</v>
      </c>
      <c r="D71" s="100" t="s">
        <v>124</v>
      </c>
      <c r="E71" s="101"/>
      <c r="F71" s="17" t="s">
        <v>111</v>
      </c>
      <c r="G71" s="72" t="s">
        <v>190</v>
      </c>
      <c r="H71" s="77">
        <v>18</v>
      </c>
      <c r="I71" s="75">
        <v>13</v>
      </c>
      <c r="J71" s="75">
        <v>14</v>
      </c>
      <c r="K71" s="75">
        <v>9</v>
      </c>
      <c r="L71" s="75">
        <v>9</v>
      </c>
      <c r="M71" s="97">
        <f>2383.53+3781.9</f>
        <v>6165.43</v>
      </c>
      <c r="N71" s="97">
        <v>2383.5300000000002</v>
      </c>
      <c r="O71" s="93">
        <f t="shared" si="1"/>
        <v>3781.9</v>
      </c>
      <c r="P71" s="123">
        <v>22</v>
      </c>
      <c r="Q71" s="124">
        <v>22</v>
      </c>
      <c r="R71" s="124">
        <v>22</v>
      </c>
      <c r="S71" s="97">
        <v>52337.46</v>
      </c>
      <c r="T71" s="97">
        <v>52337.46</v>
      </c>
      <c r="U71" s="97">
        <f t="shared" si="2"/>
        <v>0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1" t="s">
        <v>75</v>
      </c>
      <c r="D72" s="100" t="s">
        <v>124</v>
      </c>
      <c r="E72" s="101"/>
      <c r="F72" s="17" t="s">
        <v>118</v>
      </c>
      <c r="G72" s="72" t="s">
        <v>191</v>
      </c>
      <c r="H72" s="77">
        <v>11</v>
      </c>
      <c r="I72" s="75">
        <v>3</v>
      </c>
      <c r="J72" s="75">
        <v>4</v>
      </c>
      <c r="K72" s="75">
        <v>4</v>
      </c>
      <c r="L72" s="75">
        <v>4</v>
      </c>
      <c r="M72" s="97">
        <v>4703.53</v>
      </c>
      <c r="N72" s="97">
        <v>4703.53</v>
      </c>
      <c r="O72" s="93">
        <f t="shared" si="1"/>
        <v>0</v>
      </c>
      <c r="P72" s="123">
        <v>7</v>
      </c>
      <c r="Q72" s="12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0" t="s">
        <v>76</v>
      </c>
      <c r="D73" s="100" t="s">
        <v>124</v>
      </c>
      <c r="E73" s="101"/>
      <c r="F73" s="10" t="s">
        <v>105</v>
      </c>
      <c r="G73" s="72" t="s">
        <v>192</v>
      </c>
      <c r="H73" s="77">
        <v>14</v>
      </c>
      <c r="I73" s="75">
        <v>6</v>
      </c>
      <c r="J73" s="75">
        <v>6</v>
      </c>
      <c r="K73" s="75">
        <v>6</v>
      </c>
      <c r="L73" s="75">
        <v>6</v>
      </c>
      <c r="M73" s="97">
        <f>2095.52+746.9</f>
        <v>2842.42</v>
      </c>
      <c r="N73" s="97">
        <f>2095.52+746.9</f>
        <v>2842.42</v>
      </c>
      <c r="O73" s="93">
        <f t="shared" si="1"/>
        <v>0</v>
      </c>
      <c r="P73" s="123">
        <v>5</v>
      </c>
      <c r="Q73" s="124">
        <v>5</v>
      </c>
      <c r="R73" s="124">
        <v>5</v>
      </c>
      <c r="S73" s="97">
        <f>1821.06+4580.19</f>
        <v>6401.25</v>
      </c>
      <c r="T73" s="97">
        <f>1821.06+4580.19</f>
        <v>6401.25</v>
      </c>
      <c r="U73" s="97">
        <f t="shared" si="2"/>
        <v>0</v>
      </c>
      <c r="V73" s="161"/>
    </row>
    <row r="74" spans="1:22" ht="20.100000000000001" customHeight="1" x14ac:dyDescent="0.25">
      <c r="B74" s="99">
        <f t="shared" si="3"/>
        <v>65</v>
      </c>
      <c r="C74" s="11" t="s">
        <v>77</v>
      </c>
      <c r="D74" s="100" t="s">
        <v>124</v>
      </c>
      <c r="E74" s="101"/>
      <c r="F74" s="10" t="s">
        <v>111</v>
      </c>
      <c r="G74" s="72" t="s">
        <v>225</v>
      </c>
      <c r="H74" s="77"/>
      <c r="I74" s="75"/>
      <c r="J74" s="75"/>
      <c r="K74" s="75"/>
      <c r="L74" s="75"/>
      <c r="M74" s="97"/>
      <c r="N74" s="97"/>
      <c r="O74" s="93">
        <f t="shared" si="1"/>
        <v>0</v>
      </c>
      <c r="P74" s="123">
        <v>1</v>
      </c>
      <c r="Q74" s="12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0" t="s">
        <v>78</v>
      </c>
      <c r="D75" s="100" t="s">
        <v>124</v>
      </c>
      <c r="E75" s="101"/>
      <c r="F75" s="23" t="s">
        <v>119</v>
      </c>
      <c r="G75" s="72" t="s">
        <v>193</v>
      </c>
      <c r="H75" s="77">
        <v>7</v>
      </c>
      <c r="I75" s="75">
        <v>3</v>
      </c>
      <c r="J75" s="75">
        <v>3</v>
      </c>
      <c r="K75" s="75">
        <v>3</v>
      </c>
      <c r="L75" s="75">
        <v>3</v>
      </c>
      <c r="M75" s="97">
        <f>275.6+741.36</f>
        <v>1016.96</v>
      </c>
      <c r="N75" s="97">
        <f>275.6+741.36</f>
        <v>1016.96</v>
      </c>
      <c r="O75" s="93">
        <f t="shared" ref="O75:O104" si="4" xml:space="preserve"> (M75-N75)</f>
        <v>0</v>
      </c>
      <c r="P75" s="123">
        <v>3</v>
      </c>
      <c r="Q75" s="124">
        <v>3</v>
      </c>
      <c r="R75" s="124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1" t="s">
        <v>79</v>
      </c>
      <c r="D76" s="100" t="s">
        <v>124</v>
      </c>
      <c r="E76" s="101"/>
      <c r="F76" s="17" t="s">
        <v>106</v>
      </c>
      <c r="G76" s="72" t="s">
        <v>194</v>
      </c>
      <c r="H76" s="77">
        <v>22</v>
      </c>
      <c r="I76" s="75">
        <v>15</v>
      </c>
      <c r="J76" s="75">
        <v>19</v>
      </c>
      <c r="K76" s="75">
        <v>19</v>
      </c>
      <c r="L76" s="75">
        <v>19</v>
      </c>
      <c r="M76" s="97">
        <f>11803.63+1320.23+3132.15</f>
        <v>16256.009999999998</v>
      </c>
      <c r="N76" s="97">
        <f>11803.63+1320.23</f>
        <v>13123.859999999999</v>
      </c>
      <c r="O76" s="93">
        <f t="shared" si="4"/>
        <v>3132.1499999999996</v>
      </c>
      <c r="P76" s="123">
        <v>5</v>
      </c>
      <c r="Q76" s="124">
        <v>5</v>
      </c>
      <c r="R76" s="124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1" t="s">
        <v>80</v>
      </c>
      <c r="D77" s="100" t="s">
        <v>124</v>
      </c>
      <c r="E77" s="101"/>
      <c r="F77" s="17" t="s">
        <v>106</v>
      </c>
      <c r="G77" s="72" t="s">
        <v>195</v>
      </c>
      <c r="H77" s="77">
        <v>18</v>
      </c>
      <c r="I77" s="75">
        <v>9</v>
      </c>
      <c r="J77" s="75">
        <v>9</v>
      </c>
      <c r="K77" s="75">
        <v>9</v>
      </c>
      <c r="L77" s="75">
        <v>9</v>
      </c>
      <c r="M77" s="97">
        <f>4234.67+4498.63</f>
        <v>8733.2999999999993</v>
      </c>
      <c r="N77" s="97">
        <v>4234.67</v>
      </c>
      <c r="O77" s="93">
        <f t="shared" si="4"/>
        <v>4498.6299999999992</v>
      </c>
      <c r="P77" s="123"/>
      <c r="Q77" s="124"/>
      <c r="R77" s="124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4" t="s">
        <v>81</v>
      </c>
      <c r="D78" s="100" t="s">
        <v>124</v>
      </c>
      <c r="E78" s="101"/>
      <c r="F78" s="10" t="s">
        <v>106</v>
      </c>
      <c r="G78" s="72" t="s">
        <v>226</v>
      </c>
      <c r="H78" s="77"/>
      <c r="I78" s="75"/>
      <c r="J78" s="75"/>
      <c r="K78" s="75"/>
      <c r="L78" s="75"/>
      <c r="M78" s="97"/>
      <c r="N78" s="97"/>
      <c r="O78" s="93">
        <f t="shared" si="4"/>
        <v>0</v>
      </c>
      <c r="P78" s="123">
        <v>8</v>
      </c>
      <c r="Q78" s="12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4" t="s">
        <v>82</v>
      </c>
      <c r="D79" s="100" t="s">
        <v>124</v>
      </c>
      <c r="E79" s="101"/>
      <c r="F79" s="10" t="s">
        <v>106</v>
      </c>
      <c r="G79" s="72" t="s">
        <v>196</v>
      </c>
      <c r="H79" s="77">
        <v>16</v>
      </c>
      <c r="I79" s="75">
        <v>12</v>
      </c>
      <c r="J79" s="75">
        <v>16</v>
      </c>
      <c r="K79" s="75">
        <v>16</v>
      </c>
      <c r="L79" s="75">
        <v>16</v>
      </c>
      <c r="M79" s="97">
        <f>8913.81+7027.61+1244.33</f>
        <v>17185.75</v>
      </c>
      <c r="N79" s="97">
        <f>8913.81+7027.61</f>
        <v>15941.419999999998</v>
      </c>
      <c r="O79" s="93">
        <f t="shared" si="4"/>
        <v>1244.3300000000017</v>
      </c>
      <c r="P79" s="123">
        <v>4</v>
      </c>
      <c r="Q79" s="124">
        <v>4</v>
      </c>
      <c r="R79" s="124">
        <v>4</v>
      </c>
      <c r="S79" s="97">
        <f>275.6+4163.58</f>
        <v>4439.18</v>
      </c>
      <c r="T79" s="97">
        <v>275.60000000000002</v>
      </c>
      <c r="U79" s="97">
        <f t="shared" si="5"/>
        <v>4163.58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4" t="s">
        <v>83</v>
      </c>
      <c r="D80" s="100" t="s">
        <v>124</v>
      </c>
      <c r="E80" s="101"/>
      <c r="F80" s="10" t="s">
        <v>106</v>
      </c>
      <c r="G80" s="72" t="s">
        <v>197</v>
      </c>
      <c r="H80" s="77">
        <v>17</v>
      </c>
      <c r="I80" s="75">
        <v>11</v>
      </c>
      <c r="J80" s="75">
        <v>14</v>
      </c>
      <c r="K80" s="75">
        <v>14</v>
      </c>
      <c r="L80" s="75">
        <v>14</v>
      </c>
      <c r="M80" s="97">
        <f>14959.64+7384.39</f>
        <v>22344.03</v>
      </c>
      <c r="N80" s="97">
        <f>14959.64+7384.39</f>
        <v>22344.03</v>
      </c>
      <c r="O80" s="93">
        <f t="shared" si="4"/>
        <v>0</v>
      </c>
      <c r="P80" s="123">
        <v>8</v>
      </c>
      <c r="Q80" s="124">
        <v>8</v>
      </c>
      <c r="R80" s="124">
        <v>8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22" ht="20.100000000000001" customHeight="1" x14ac:dyDescent="0.25">
      <c r="A81" s="155">
        <v>65</v>
      </c>
      <c r="B81" s="99">
        <f t="shared" si="6"/>
        <v>72</v>
      </c>
      <c r="C81" s="11" t="s">
        <v>84</v>
      </c>
      <c r="D81" s="100" t="s">
        <v>124</v>
      </c>
      <c r="E81" s="101"/>
      <c r="F81" s="10" t="s">
        <v>120</v>
      </c>
      <c r="G81" s="72" t="s">
        <v>198</v>
      </c>
      <c r="H81" s="77">
        <v>3</v>
      </c>
      <c r="I81" s="75"/>
      <c r="J81" s="75"/>
      <c r="K81" s="75"/>
      <c r="L81" s="75"/>
      <c r="M81" s="97"/>
      <c r="N81" s="97"/>
      <c r="O81" s="93">
        <f t="shared" si="4"/>
        <v>0</v>
      </c>
      <c r="P81" s="123"/>
      <c r="Q81" s="124"/>
      <c r="R81" s="124"/>
      <c r="S81" s="97"/>
      <c r="T81" s="97"/>
      <c r="U81" s="97">
        <f t="shared" si="5"/>
        <v>0</v>
      </c>
      <c r="V81" s="161"/>
    </row>
    <row r="82" spans="1:22" ht="20.100000000000001" customHeight="1" x14ac:dyDescent="0.25">
      <c r="A82" s="155">
        <v>66</v>
      </c>
      <c r="B82" s="99">
        <f t="shared" si="6"/>
        <v>73</v>
      </c>
      <c r="C82" s="13" t="s">
        <v>85</v>
      </c>
      <c r="D82" s="100" t="s">
        <v>124</v>
      </c>
      <c r="E82" s="101"/>
      <c r="F82" s="19" t="s">
        <v>106</v>
      </c>
      <c r="G82" s="72" t="s">
        <v>199</v>
      </c>
      <c r="H82" s="77">
        <v>17</v>
      </c>
      <c r="I82" s="75">
        <v>11</v>
      </c>
      <c r="J82" s="75">
        <v>12</v>
      </c>
      <c r="K82" s="75">
        <v>12</v>
      </c>
      <c r="L82" s="75">
        <v>12</v>
      </c>
      <c r="M82" s="97">
        <f>2626.75+8084.46+600.05</f>
        <v>11311.259999999998</v>
      </c>
      <c r="N82" s="97">
        <f>2626.75+8084.46</f>
        <v>10711.21</v>
      </c>
      <c r="O82" s="93">
        <f t="shared" si="4"/>
        <v>600.04999999999927</v>
      </c>
      <c r="P82" s="123">
        <v>9</v>
      </c>
      <c r="Q82" s="124">
        <v>9</v>
      </c>
      <c r="R82" s="124">
        <v>9</v>
      </c>
      <c r="S82" s="97">
        <f>15935.59+881.06+1714.6+1015.59</f>
        <v>19546.84</v>
      </c>
      <c r="T82" s="97">
        <f>15935.59+881.06+1714.6</f>
        <v>18531.25</v>
      </c>
      <c r="U82" s="97">
        <f t="shared" si="5"/>
        <v>1015.5900000000001</v>
      </c>
      <c r="V82" s="161"/>
    </row>
    <row r="83" spans="1:22" ht="20.100000000000001" customHeight="1" x14ac:dyDescent="0.25">
      <c r="A83" s="155">
        <v>67</v>
      </c>
      <c r="B83" s="99">
        <f t="shared" si="6"/>
        <v>74</v>
      </c>
      <c r="C83" s="10" t="s">
        <v>86</v>
      </c>
      <c r="D83" s="100" t="s">
        <v>124</v>
      </c>
      <c r="E83" s="101"/>
      <c r="F83" s="22" t="s">
        <v>118</v>
      </c>
      <c r="G83" s="72" t="s">
        <v>200</v>
      </c>
      <c r="H83" s="77">
        <v>15</v>
      </c>
      <c r="I83" s="75">
        <v>11</v>
      </c>
      <c r="J83" s="75">
        <v>12</v>
      </c>
      <c r="K83" s="75">
        <v>12</v>
      </c>
      <c r="L83" s="75">
        <v>12</v>
      </c>
      <c r="M83" s="97">
        <f>11232.31+3440.1</f>
        <v>14672.41</v>
      </c>
      <c r="N83" s="97">
        <f>11232.31+3440.1</f>
        <v>14672.41</v>
      </c>
      <c r="O83" s="93">
        <f t="shared" si="4"/>
        <v>0</v>
      </c>
      <c r="P83" s="123">
        <v>9</v>
      </c>
      <c r="Q83" s="124">
        <v>6</v>
      </c>
      <c r="R83" s="124">
        <v>6</v>
      </c>
      <c r="S83" s="97">
        <f>6465.89+3406.65</f>
        <v>9872.5400000000009</v>
      </c>
      <c r="T83" s="97">
        <f>6465.89+3406.65</f>
        <v>9872.5400000000009</v>
      </c>
      <c r="U83" s="97">
        <f t="shared" si="5"/>
        <v>0</v>
      </c>
      <c r="V83" s="161"/>
    </row>
    <row r="84" spans="1:22" ht="20.100000000000001" customHeight="1" x14ac:dyDescent="0.25">
      <c r="A84" s="155">
        <v>68</v>
      </c>
      <c r="B84" s="99">
        <f t="shared" si="6"/>
        <v>75</v>
      </c>
      <c r="C84" s="10" t="s">
        <v>87</v>
      </c>
      <c r="D84" s="100" t="s">
        <v>124</v>
      </c>
      <c r="E84" s="101"/>
      <c r="F84" s="22" t="s">
        <v>115</v>
      </c>
      <c r="G84" s="72" t="s">
        <v>201</v>
      </c>
      <c r="H84" s="77">
        <v>16</v>
      </c>
      <c r="I84" s="75">
        <v>6</v>
      </c>
      <c r="J84" s="75">
        <v>9</v>
      </c>
      <c r="K84" s="75">
        <v>9</v>
      </c>
      <c r="L84" s="75">
        <v>9</v>
      </c>
      <c r="M84" s="97">
        <f>5429.56+2272.28+2029.9</f>
        <v>9731.74</v>
      </c>
      <c r="N84" s="97">
        <f>5429.56+2272.28</f>
        <v>7701.84</v>
      </c>
      <c r="O84" s="93">
        <f t="shared" si="4"/>
        <v>2029.8999999999996</v>
      </c>
      <c r="P84" s="123">
        <v>1</v>
      </c>
      <c r="Q84" s="12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22" ht="20.100000000000001" customHeight="1" x14ac:dyDescent="0.25">
      <c r="A85" s="155">
        <v>70</v>
      </c>
      <c r="B85" s="99">
        <f t="shared" si="6"/>
        <v>76</v>
      </c>
      <c r="C85" s="11" t="s">
        <v>88</v>
      </c>
      <c r="D85" s="100" t="s">
        <v>124</v>
      </c>
      <c r="E85" s="101"/>
      <c r="F85" s="17" t="s">
        <v>121</v>
      </c>
      <c r="G85" s="72" t="s">
        <v>203</v>
      </c>
      <c r="H85" s="77">
        <v>26</v>
      </c>
      <c r="I85" s="75">
        <v>21</v>
      </c>
      <c r="J85" s="75">
        <v>39</v>
      </c>
      <c r="K85" s="75">
        <v>38</v>
      </c>
      <c r="L85" s="75">
        <v>31</v>
      </c>
      <c r="M85" s="97">
        <f>15506.09+4089.12+1924.78</f>
        <v>21519.989999999998</v>
      </c>
      <c r="N85" s="97">
        <f>15506.09+4089.12</f>
        <v>19595.21</v>
      </c>
      <c r="O85" s="93">
        <f t="shared" si="4"/>
        <v>1924.7799999999988</v>
      </c>
      <c r="P85" s="123">
        <v>6</v>
      </c>
      <c r="Q85" s="12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22" ht="20.100000000000001" customHeight="1" x14ac:dyDescent="0.25">
      <c r="A86" s="155">
        <v>69</v>
      </c>
      <c r="B86" s="99">
        <f t="shared" si="6"/>
        <v>77</v>
      </c>
      <c r="C86" s="14" t="s">
        <v>89</v>
      </c>
      <c r="D86" s="100" t="s">
        <v>124</v>
      </c>
      <c r="E86" s="101"/>
      <c r="F86" s="19" t="s">
        <v>106</v>
      </c>
      <c r="G86" s="72" t="s">
        <v>202</v>
      </c>
      <c r="H86" s="77">
        <v>10</v>
      </c>
      <c r="I86" s="75">
        <v>4</v>
      </c>
      <c r="J86" s="75">
        <v>4</v>
      </c>
      <c r="K86" s="75">
        <v>4</v>
      </c>
      <c r="L86" s="75">
        <v>4</v>
      </c>
      <c r="M86" s="97">
        <v>1956.76</v>
      </c>
      <c r="N86" s="97">
        <v>1956.76</v>
      </c>
      <c r="O86" s="93">
        <f t="shared" si="4"/>
        <v>0</v>
      </c>
      <c r="P86" s="123">
        <v>2</v>
      </c>
      <c r="Q86" s="12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22" ht="20.100000000000001" customHeight="1" x14ac:dyDescent="0.25">
      <c r="A87" s="155">
        <v>71</v>
      </c>
      <c r="B87" s="99">
        <f t="shared" si="6"/>
        <v>78</v>
      </c>
      <c r="C87" s="14" t="s">
        <v>90</v>
      </c>
      <c r="D87" s="100" t="s">
        <v>124</v>
      </c>
      <c r="E87" s="101"/>
      <c r="F87" s="19" t="s">
        <v>106</v>
      </c>
      <c r="G87" s="72" t="s">
        <v>204</v>
      </c>
      <c r="H87" s="77">
        <v>7</v>
      </c>
      <c r="I87" s="75">
        <v>5</v>
      </c>
      <c r="J87" s="75">
        <v>6</v>
      </c>
      <c r="K87" s="75">
        <v>6</v>
      </c>
      <c r="L87" s="75">
        <v>6</v>
      </c>
      <c r="M87" s="97">
        <f>795.8+4099.92+1305</f>
        <v>6200.72</v>
      </c>
      <c r="N87" s="97">
        <f>795.8+4099.92</f>
        <v>4895.72</v>
      </c>
      <c r="O87" s="93">
        <f t="shared" si="4"/>
        <v>1305</v>
      </c>
      <c r="P87" s="123">
        <v>5</v>
      </c>
      <c r="Q87" s="124">
        <v>4</v>
      </c>
      <c r="R87" s="124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  <c r="V87" s="161"/>
    </row>
    <row r="88" spans="1:22" ht="20.100000000000001" customHeight="1" x14ac:dyDescent="0.25">
      <c r="B88" s="99">
        <f t="shared" si="6"/>
        <v>79</v>
      </c>
      <c r="C88" s="10" t="s">
        <v>91</v>
      </c>
      <c r="D88" s="100" t="s">
        <v>124</v>
      </c>
      <c r="E88" s="101"/>
      <c r="F88" s="17" t="s">
        <v>111</v>
      </c>
      <c r="G88" s="72" t="s">
        <v>231</v>
      </c>
      <c r="H88" s="77">
        <v>1</v>
      </c>
      <c r="I88" s="75"/>
      <c r="J88" s="75"/>
      <c r="K88" s="75"/>
      <c r="L88" s="75"/>
      <c r="M88" s="97"/>
      <c r="N88" s="97"/>
      <c r="O88" s="93">
        <f t="shared" si="4"/>
        <v>0</v>
      </c>
      <c r="P88" s="123">
        <v>6</v>
      </c>
      <c r="Q88" s="12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22" ht="20.100000000000001" customHeight="1" x14ac:dyDescent="0.25">
      <c r="A89" s="155">
        <v>72</v>
      </c>
      <c r="B89" s="99">
        <f t="shared" si="6"/>
        <v>80</v>
      </c>
      <c r="C89" s="10" t="s">
        <v>92</v>
      </c>
      <c r="D89" s="100" t="s">
        <v>124</v>
      </c>
      <c r="E89" s="101"/>
      <c r="F89" s="19" t="s">
        <v>106</v>
      </c>
      <c r="G89" s="72" t="s">
        <v>205</v>
      </c>
      <c r="H89" s="77">
        <v>9</v>
      </c>
      <c r="I89" s="75">
        <v>4</v>
      </c>
      <c r="J89" s="75">
        <v>5</v>
      </c>
      <c r="K89" s="75">
        <v>5</v>
      </c>
      <c r="L89" s="75">
        <v>5</v>
      </c>
      <c r="M89" s="97">
        <f>2874.33+1509.2</f>
        <v>4383.53</v>
      </c>
      <c r="N89" s="97">
        <v>2874.33</v>
      </c>
      <c r="O89" s="93">
        <f t="shared" si="4"/>
        <v>1509.1999999999998</v>
      </c>
      <c r="P89" s="123">
        <v>5</v>
      </c>
      <c r="Q89" s="124">
        <v>5</v>
      </c>
      <c r="R89" s="124">
        <v>5</v>
      </c>
      <c r="S89" s="97">
        <f>8161.92+1118.75+3779.58</f>
        <v>13060.25</v>
      </c>
      <c r="T89" s="97">
        <f>8161.92+1118.75</f>
        <v>9280.67</v>
      </c>
      <c r="U89" s="97">
        <f t="shared" si="5"/>
        <v>3779.58</v>
      </c>
      <c r="V89" s="161"/>
    </row>
    <row r="90" spans="1:22" ht="20.100000000000001" customHeight="1" x14ac:dyDescent="0.25">
      <c r="A90" s="155">
        <v>73</v>
      </c>
      <c r="B90" s="99">
        <f t="shared" si="6"/>
        <v>81</v>
      </c>
      <c r="C90" s="11" t="s">
        <v>93</v>
      </c>
      <c r="D90" s="100" t="s">
        <v>124</v>
      </c>
      <c r="E90" s="101"/>
      <c r="F90" s="17" t="s">
        <v>122</v>
      </c>
      <c r="G90" s="72" t="s">
        <v>206</v>
      </c>
      <c r="H90" s="77">
        <v>34</v>
      </c>
      <c r="I90" s="75">
        <v>31</v>
      </c>
      <c r="J90" s="75">
        <v>55</v>
      </c>
      <c r="K90" s="75">
        <v>35</v>
      </c>
      <c r="L90" s="75">
        <v>35</v>
      </c>
      <c r="M90" s="97">
        <f>14303.46+6714.67+1828.05</f>
        <v>22846.179999999997</v>
      </c>
      <c r="N90" s="97">
        <f>14303.46+6714.67</f>
        <v>21018.129999999997</v>
      </c>
      <c r="O90" s="93">
        <f t="shared" si="4"/>
        <v>1828.0499999999993</v>
      </c>
      <c r="P90" s="123">
        <v>8</v>
      </c>
      <c r="Q90" s="124">
        <v>7</v>
      </c>
      <c r="R90" s="124">
        <v>7</v>
      </c>
      <c r="S90" s="97">
        <v>3130.8</v>
      </c>
      <c r="T90" s="97">
        <v>3130.8</v>
      </c>
      <c r="U90" s="97">
        <f t="shared" si="5"/>
        <v>0</v>
      </c>
      <c r="V90" s="161"/>
    </row>
    <row r="91" spans="1:22" ht="20.100000000000001" customHeight="1" x14ac:dyDescent="0.25">
      <c r="A91" s="155">
        <v>74</v>
      </c>
      <c r="B91" s="99">
        <f t="shared" si="6"/>
        <v>82</v>
      </c>
      <c r="C91" s="11" t="s">
        <v>94</v>
      </c>
      <c r="D91" s="100" t="s">
        <v>124</v>
      </c>
      <c r="E91" s="101"/>
      <c r="F91" s="19" t="s">
        <v>106</v>
      </c>
      <c r="G91" s="72" t="s">
        <v>218</v>
      </c>
      <c r="H91" s="77">
        <v>15</v>
      </c>
      <c r="I91" s="75">
        <v>5</v>
      </c>
      <c r="J91" s="75">
        <v>10</v>
      </c>
      <c r="K91" s="75">
        <v>10</v>
      </c>
      <c r="L91" s="75">
        <v>10</v>
      </c>
      <c r="M91" s="97">
        <v>5384.83</v>
      </c>
      <c r="N91" s="97">
        <v>5384.83</v>
      </c>
      <c r="O91" s="93">
        <f t="shared" si="4"/>
        <v>0</v>
      </c>
      <c r="P91" s="123">
        <v>6</v>
      </c>
      <c r="Q91" s="124">
        <v>6</v>
      </c>
      <c r="R91" s="124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  <c r="V91" s="161"/>
    </row>
    <row r="92" spans="1:22" ht="20.100000000000001" customHeight="1" x14ac:dyDescent="0.25">
      <c r="A92" s="155">
        <v>75</v>
      </c>
      <c r="B92" s="99">
        <f t="shared" si="6"/>
        <v>83</v>
      </c>
      <c r="C92" s="11" t="s">
        <v>95</v>
      </c>
      <c r="D92" s="100" t="s">
        <v>124</v>
      </c>
      <c r="E92" s="101"/>
      <c r="F92" s="19" t="s">
        <v>123</v>
      </c>
      <c r="G92" s="72" t="s">
        <v>217</v>
      </c>
      <c r="H92" s="77">
        <v>15</v>
      </c>
      <c r="I92" s="75">
        <v>11</v>
      </c>
      <c r="J92" s="75">
        <v>14</v>
      </c>
      <c r="K92" s="75">
        <v>14</v>
      </c>
      <c r="L92" s="75">
        <v>14</v>
      </c>
      <c r="M92" s="97">
        <f>2301.54+4352.56+3555.69+1798.94</f>
        <v>12008.730000000001</v>
      </c>
      <c r="N92" s="97">
        <f>2301.54+4352.56+3555.69</f>
        <v>10209.790000000001</v>
      </c>
      <c r="O92" s="93">
        <f t="shared" si="4"/>
        <v>1798.9400000000005</v>
      </c>
      <c r="P92" s="123">
        <v>1</v>
      </c>
      <c r="Q92" s="12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22" ht="20.100000000000001" customHeight="1" x14ac:dyDescent="0.25">
      <c r="A93" s="155">
        <v>76</v>
      </c>
      <c r="B93" s="99">
        <f t="shared" si="6"/>
        <v>84</v>
      </c>
      <c r="C93" s="11" t="s">
        <v>96</v>
      </c>
      <c r="D93" s="100" t="s">
        <v>124</v>
      </c>
      <c r="E93" s="101"/>
      <c r="F93" s="22" t="s">
        <v>112</v>
      </c>
      <c r="G93" s="72" t="s">
        <v>216</v>
      </c>
      <c r="H93" s="77">
        <v>55</v>
      </c>
      <c r="I93" s="75">
        <v>23</v>
      </c>
      <c r="J93" s="75">
        <v>31</v>
      </c>
      <c r="K93" s="75">
        <v>28</v>
      </c>
      <c r="L93" s="75">
        <v>28</v>
      </c>
      <c r="M93" s="97">
        <f>14656.12+3543.47</f>
        <v>18199.59</v>
      </c>
      <c r="N93" s="97">
        <v>14656.12</v>
      </c>
      <c r="O93" s="93">
        <f t="shared" si="4"/>
        <v>3543.4699999999993</v>
      </c>
      <c r="P93" s="123">
        <v>8</v>
      </c>
      <c r="Q93" s="124">
        <v>8</v>
      </c>
      <c r="R93" s="124">
        <v>8</v>
      </c>
      <c r="S93" s="97">
        <v>11083.64</v>
      </c>
      <c r="T93" s="97">
        <v>11083.64</v>
      </c>
      <c r="U93" s="97">
        <f t="shared" si="5"/>
        <v>0</v>
      </c>
      <c r="V93" s="161"/>
    </row>
    <row r="94" spans="1:22" ht="20.100000000000001" customHeight="1" x14ac:dyDescent="0.25">
      <c r="A94" s="155">
        <v>77</v>
      </c>
      <c r="B94" s="99">
        <f t="shared" si="6"/>
        <v>85</v>
      </c>
      <c r="C94" s="11" t="s">
        <v>97</v>
      </c>
      <c r="D94" s="100" t="s">
        <v>124</v>
      </c>
      <c r="E94" s="101"/>
      <c r="F94" s="17" t="s">
        <v>111</v>
      </c>
      <c r="G94" s="72" t="s">
        <v>215</v>
      </c>
      <c r="H94" s="77">
        <v>27</v>
      </c>
      <c r="I94" s="75">
        <v>12</v>
      </c>
      <c r="J94" s="75">
        <v>13</v>
      </c>
      <c r="K94" s="75">
        <v>12</v>
      </c>
      <c r="L94" s="75">
        <v>12</v>
      </c>
      <c r="M94" s="97">
        <f>6576.32+217.5+2898.52</f>
        <v>9692.34</v>
      </c>
      <c r="N94" s="97">
        <f>6576.32+217.5</f>
        <v>6793.82</v>
      </c>
      <c r="O94" s="93">
        <f t="shared" si="4"/>
        <v>2898.5200000000004</v>
      </c>
      <c r="P94" s="123">
        <v>21</v>
      </c>
      <c r="Q94" s="124">
        <v>21</v>
      </c>
      <c r="R94" s="124">
        <v>21</v>
      </c>
      <c r="S94" s="97">
        <f>18253.04+4245.2+858.65</f>
        <v>23356.890000000003</v>
      </c>
      <c r="T94" s="97">
        <f>18253.04+4245.2</f>
        <v>22498.240000000002</v>
      </c>
      <c r="U94" s="97">
        <f t="shared" si="5"/>
        <v>858.65000000000146</v>
      </c>
      <c r="V94" s="161"/>
    </row>
    <row r="95" spans="1:22" ht="20.100000000000001" customHeight="1" x14ac:dyDescent="0.25">
      <c r="A95" s="155">
        <v>78</v>
      </c>
      <c r="B95" s="99">
        <f t="shared" si="6"/>
        <v>86</v>
      </c>
      <c r="C95" s="10" t="s">
        <v>98</v>
      </c>
      <c r="D95" s="100" t="s">
        <v>124</v>
      </c>
      <c r="E95" s="101"/>
      <c r="F95" s="19" t="s">
        <v>106</v>
      </c>
      <c r="G95" s="72" t="s">
        <v>214</v>
      </c>
      <c r="H95" s="77">
        <v>23</v>
      </c>
      <c r="I95" s="75">
        <v>12</v>
      </c>
      <c r="J95" s="75">
        <v>13</v>
      </c>
      <c r="K95" s="75">
        <v>13</v>
      </c>
      <c r="L95" s="75">
        <v>13</v>
      </c>
      <c r="M95" s="97">
        <f>2362.32+22110.36+455.21+2039.58</f>
        <v>26967.47</v>
      </c>
      <c r="N95" s="97">
        <f>2362.32+22110.36+455.21</f>
        <v>24927.89</v>
      </c>
      <c r="O95" s="93">
        <f t="shared" si="4"/>
        <v>2039.5800000000017</v>
      </c>
      <c r="P95" s="123">
        <v>15</v>
      </c>
      <c r="Q95" s="124">
        <v>15</v>
      </c>
      <c r="R95" s="124">
        <v>15</v>
      </c>
      <c r="S95" s="97">
        <f>24552.24+1001.28+122.46</f>
        <v>25675.98</v>
      </c>
      <c r="T95" s="97">
        <f>24552.24+1001.28+122.46</f>
        <v>25675.98</v>
      </c>
      <c r="U95" s="97">
        <f t="shared" si="5"/>
        <v>0</v>
      </c>
      <c r="V95" s="161"/>
    </row>
    <row r="96" spans="1:22" ht="20.100000000000001" customHeight="1" x14ac:dyDescent="0.25">
      <c r="A96" s="155">
        <v>80</v>
      </c>
      <c r="B96" s="99">
        <f t="shared" si="6"/>
        <v>87</v>
      </c>
      <c r="C96" s="10" t="s">
        <v>129</v>
      </c>
      <c r="D96" s="100" t="s">
        <v>124</v>
      </c>
      <c r="E96" s="101"/>
      <c r="F96" s="19" t="s">
        <v>106</v>
      </c>
      <c r="G96" s="72" t="s">
        <v>212</v>
      </c>
      <c r="H96" s="77">
        <v>9</v>
      </c>
      <c r="I96" s="75">
        <v>6</v>
      </c>
      <c r="J96" s="75">
        <v>7</v>
      </c>
      <c r="K96" s="75">
        <v>7</v>
      </c>
      <c r="L96" s="75">
        <v>7</v>
      </c>
      <c r="M96" s="97">
        <f>826.8+2786.41</f>
        <v>3613.21</v>
      </c>
      <c r="N96" s="97">
        <v>826.8</v>
      </c>
      <c r="O96" s="93">
        <f t="shared" si="4"/>
        <v>2786.41</v>
      </c>
      <c r="P96" s="123"/>
      <c r="Q96" s="124"/>
      <c r="R96" s="124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0" t="s">
        <v>99</v>
      </c>
      <c r="D97" s="100" t="s">
        <v>124</v>
      </c>
      <c r="E97" s="101"/>
      <c r="F97" s="19" t="s">
        <v>106</v>
      </c>
      <c r="G97" s="72" t="s">
        <v>213</v>
      </c>
      <c r="H97" s="77">
        <v>11</v>
      </c>
      <c r="I97" s="75">
        <v>6</v>
      </c>
      <c r="J97" s="75">
        <v>7</v>
      </c>
      <c r="K97" s="75">
        <v>7</v>
      </c>
      <c r="L97" s="75">
        <v>7</v>
      </c>
      <c r="M97" s="97">
        <f>3171.93+1457.25</f>
        <v>4629.18</v>
      </c>
      <c r="N97" s="97">
        <v>3171.93</v>
      </c>
      <c r="O97" s="93">
        <f t="shared" si="4"/>
        <v>1457.2500000000005</v>
      </c>
      <c r="P97" s="123">
        <v>4</v>
      </c>
      <c r="Q97" s="12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3" t="s">
        <v>100</v>
      </c>
      <c r="D98" s="100" t="s">
        <v>124</v>
      </c>
      <c r="E98" s="101"/>
      <c r="F98" s="19" t="s">
        <v>106</v>
      </c>
      <c r="G98" s="72" t="s">
        <v>211</v>
      </c>
      <c r="H98" s="77">
        <v>13</v>
      </c>
      <c r="I98" s="75">
        <v>4</v>
      </c>
      <c r="J98" s="75">
        <v>4</v>
      </c>
      <c r="K98" s="75">
        <v>4</v>
      </c>
      <c r="L98" s="75">
        <v>4</v>
      </c>
      <c r="M98" s="97">
        <f>757.9+551.2+895.7</f>
        <v>2204.8000000000002</v>
      </c>
      <c r="N98" s="97">
        <f>757.9+551.2</f>
        <v>1309.0999999999999</v>
      </c>
      <c r="O98" s="93">
        <f t="shared" si="4"/>
        <v>895.70000000000027</v>
      </c>
      <c r="P98" s="123">
        <v>8</v>
      </c>
      <c r="Q98" s="124">
        <v>8</v>
      </c>
      <c r="R98" s="124">
        <v>8</v>
      </c>
      <c r="S98" s="97">
        <v>8034.56</v>
      </c>
      <c r="T98" s="97">
        <v>8034.56</v>
      </c>
      <c r="U98" s="97">
        <f t="shared" si="5"/>
        <v>0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3" t="s">
        <v>101</v>
      </c>
      <c r="D99" s="100" t="s">
        <v>124</v>
      </c>
      <c r="E99" s="101"/>
      <c r="F99" s="17" t="s">
        <v>106</v>
      </c>
      <c r="G99" s="72" t="s">
        <v>210</v>
      </c>
      <c r="H99" s="77">
        <v>20</v>
      </c>
      <c r="I99" s="75">
        <v>8</v>
      </c>
      <c r="J99" s="75">
        <v>9</v>
      </c>
      <c r="K99" s="75">
        <v>8</v>
      </c>
      <c r="L99" s="75">
        <v>8</v>
      </c>
      <c r="M99" s="97">
        <f>4782.23+1353.89+2195.41</f>
        <v>8331.5299999999988</v>
      </c>
      <c r="N99" s="97">
        <f>4782.23+1353.89</f>
        <v>6136.12</v>
      </c>
      <c r="O99" s="93">
        <f t="shared" si="4"/>
        <v>2195.4099999999989</v>
      </c>
      <c r="P99" s="123">
        <v>10</v>
      </c>
      <c r="Q99" s="124">
        <v>10</v>
      </c>
      <c r="R99" s="124">
        <v>10</v>
      </c>
      <c r="S99" s="97">
        <f>12321.66+1021.27</f>
        <v>13342.93</v>
      </c>
      <c r="T99" s="97">
        <v>12321.66</v>
      </c>
      <c r="U99" s="97">
        <f t="shared" si="5"/>
        <v>1021.2700000000004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3" t="s">
        <v>102</v>
      </c>
      <c r="D100" s="100" t="s">
        <v>124</v>
      </c>
      <c r="E100" s="101"/>
      <c r="F100" s="17" t="s">
        <v>106</v>
      </c>
      <c r="G100" s="72" t="s">
        <v>209</v>
      </c>
      <c r="H100" s="77">
        <v>16</v>
      </c>
      <c r="I100" s="75">
        <v>10</v>
      </c>
      <c r="J100" s="75">
        <v>12</v>
      </c>
      <c r="K100" s="75">
        <v>12</v>
      </c>
      <c r="L100" s="75">
        <v>12</v>
      </c>
      <c r="M100" s="97">
        <f>10862.96+2375.03</f>
        <v>13237.99</v>
      </c>
      <c r="N100" s="97">
        <f>10862.96+2375.03</f>
        <v>13237.99</v>
      </c>
      <c r="O100" s="93">
        <f t="shared" si="4"/>
        <v>0</v>
      </c>
      <c r="P100" s="123">
        <v>10</v>
      </c>
      <c r="Q100" s="124">
        <v>10</v>
      </c>
      <c r="R100" s="124">
        <v>10</v>
      </c>
      <c r="S100" s="97">
        <v>4780.1000000000004</v>
      </c>
      <c r="T100" s="97">
        <v>4780.1000000000004</v>
      </c>
      <c r="U100" s="97">
        <f t="shared" si="5"/>
        <v>0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1" t="s">
        <v>103</v>
      </c>
      <c r="D101" s="100" t="s">
        <v>124</v>
      </c>
      <c r="E101" s="101"/>
      <c r="F101" s="22" t="s">
        <v>112</v>
      </c>
      <c r="G101" s="72" t="s">
        <v>208</v>
      </c>
      <c r="H101" s="77">
        <v>48</v>
      </c>
      <c r="I101" s="75">
        <v>27</v>
      </c>
      <c r="J101" s="75">
        <v>30</v>
      </c>
      <c r="K101" s="75">
        <v>28</v>
      </c>
      <c r="L101" s="75">
        <v>28</v>
      </c>
      <c r="M101" s="97">
        <f>16276.16+4466.66+1078.5+4011.53</f>
        <v>25832.85</v>
      </c>
      <c r="N101" s="97">
        <f>16276.16+4466.66+1078.5</f>
        <v>21821.32</v>
      </c>
      <c r="O101" s="93">
        <f t="shared" si="4"/>
        <v>4011.5299999999988</v>
      </c>
      <c r="P101" s="123">
        <v>24</v>
      </c>
      <c r="Q101" s="124">
        <v>24</v>
      </c>
      <c r="R101" s="124">
        <v>24</v>
      </c>
      <c r="S101" s="97">
        <f>21329.45-2252.12+532.3+345.99</f>
        <v>19955.620000000003</v>
      </c>
      <c r="T101" s="97">
        <f>21329.45-2252.12+532.3</f>
        <v>19609.63</v>
      </c>
      <c r="U101" s="97">
        <f t="shared" si="5"/>
        <v>345.9900000000016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16" t="s">
        <v>104</v>
      </c>
      <c r="D102" s="111" t="s">
        <v>124</v>
      </c>
      <c r="E102" s="112"/>
      <c r="F102" s="117" t="s">
        <v>106</v>
      </c>
      <c r="G102" s="118" t="s">
        <v>207</v>
      </c>
      <c r="H102" s="113">
        <v>8</v>
      </c>
      <c r="I102" s="114">
        <v>4</v>
      </c>
      <c r="J102" s="114">
        <v>5</v>
      </c>
      <c r="K102" s="114">
        <v>5</v>
      </c>
      <c r="L102" s="114">
        <v>5</v>
      </c>
      <c r="M102" s="147">
        <v>3259.83</v>
      </c>
      <c r="N102" s="147">
        <v>3259.83</v>
      </c>
      <c r="O102" s="93">
        <f t="shared" si="4"/>
        <v>0</v>
      </c>
      <c r="P102" s="149">
        <v>3</v>
      </c>
      <c r="Q102" s="150">
        <v>3</v>
      </c>
      <c r="R102" s="150">
        <v>3</v>
      </c>
      <c r="S102" s="147">
        <v>1193.3</v>
      </c>
      <c r="T102" s="147">
        <v>1193.3</v>
      </c>
      <c r="U102" s="147">
        <f t="shared" si="5"/>
        <v>0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0" t="s">
        <v>258</v>
      </c>
      <c r="D103" s="111" t="s">
        <v>124</v>
      </c>
      <c r="E103" s="101"/>
      <c r="F103" s="12" t="s">
        <v>106</v>
      </c>
      <c r="G103" s="118" t="s">
        <v>261</v>
      </c>
      <c r="H103" s="75">
        <v>9</v>
      </c>
      <c r="I103" s="75">
        <v>1</v>
      </c>
      <c r="J103" s="75">
        <v>2</v>
      </c>
      <c r="K103" s="75">
        <v>2</v>
      </c>
      <c r="L103" s="75">
        <v>2</v>
      </c>
      <c r="M103" s="97">
        <v>699.33</v>
      </c>
      <c r="N103" s="97"/>
      <c r="O103" s="93">
        <f t="shared" si="4"/>
        <v>699.33</v>
      </c>
      <c r="P103" s="124"/>
      <c r="Q103" s="124"/>
      <c r="R103" s="124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0" t="s">
        <v>242</v>
      </c>
      <c r="D104" s="111" t="s">
        <v>124</v>
      </c>
      <c r="E104" s="101"/>
      <c r="F104" s="12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75">
        <v>2</v>
      </c>
      <c r="L104" s="75">
        <v>2</v>
      </c>
      <c r="M104" s="97">
        <v>2252.12</v>
      </c>
      <c r="N104" s="97">
        <v>2252.12</v>
      </c>
      <c r="O104" s="93">
        <f t="shared" si="4"/>
        <v>0</v>
      </c>
      <c r="P104" s="124"/>
      <c r="Q104" s="124"/>
      <c r="R104" s="124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1534</v>
      </c>
      <c r="I105" s="119">
        <f t="shared" si="7"/>
        <v>862</v>
      </c>
      <c r="J105" s="119">
        <f t="shared" si="7"/>
        <v>1163</v>
      </c>
      <c r="K105" s="119">
        <f t="shared" si="7"/>
        <v>1082</v>
      </c>
      <c r="L105" s="119">
        <f t="shared" si="7"/>
        <v>1047</v>
      </c>
      <c r="M105" s="151">
        <f t="shared" si="7"/>
        <v>874853.06</v>
      </c>
      <c r="N105" s="151">
        <f t="shared" si="7"/>
        <v>707853.09999999986</v>
      </c>
      <c r="O105" s="151">
        <f t="shared" si="7"/>
        <v>166999.95999999996</v>
      </c>
      <c r="P105" s="152">
        <f t="shared" si="7"/>
        <v>666</v>
      </c>
      <c r="Q105" s="152">
        <f>SUM(Q10:Q104)</f>
        <v>652</v>
      </c>
      <c r="R105" s="152">
        <f>SUM(R11:R104)</f>
        <v>642</v>
      </c>
      <c r="S105" s="151">
        <f>SUM(S10:S104)</f>
        <v>836741.40000000026</v>
      </c>
      <c r="T105" s="151">
        <f>SUM(T10:T104)</f>
        <v>792800.53000000026</v>
      </c>
      <c r="U105" s="120">
        <f>SUM(U10:U104)</f>
        <v>43940.869999999995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62">
        <f>M105+S105</f>
        <v>1711594.4600000004</v>
      </c>
      <c r="AG105" s="162">
        <f>N105+T105</f>
        <v>1500653.6300000001</v>
      </c>
      <c r="AH105" s="162">
        <f>O105+U105</f>
        <v>210940.82999999996</v>
      </c>
    </row>
    <row r="106" spans="1:35" x14ac:dyDescent="0.25"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3"/>
      <c r="AG106" s="163"/>
      <c r="AH106" s="163"/>
    </row>
    <row r="107" spans="1:35" x14ac:dyDescent="0.25">
      <c r="V107" s="145"/>
      <c r="W107" s="145"/>
      <c r="AF107" s="162"/>
      <c r="AG107" s="162"/>
      <c r="AH107" s="162"/>
      <c r="AI107" s="145"/>
    </row>
    <row r="108" spans="1:35" x14ac:dyDescent="0.25">
      <c r="AF108" s="162">
        <f>1711594.46-AF105</f>
        <v>0</v>
      </c>
      <c r="AG108" s="163"/>
      <c r="AH108" s="163"/>
    </row>
    <row r="109" spans="1:35" x14ac:dyDescent="0.25">
      <c r="AF109" s="163"/>
      <c r="AG109" s="163"/>
      <c r="AH109" s="163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386" priority="9" stopIfTrue="1" operator="equal">
      <formula>0</formula>
    </cfRule>
  </conditionalFormatting>
  <conditionalFormatting sqref="AL45">
    <cfRule type="cellIs" dxfId="385" priority="8" stopIfTrue="1" operator="equal">
      <formula>0</formula>
    </cfRule>
  </conditionalFormatting>
  <conditionalFormatting sqref="T45">
    <cfRule type="cellIs" dxfId="384" priority="7" stopIfTrue="1" operator="equal">
      <formula>0</formula>
    </cfRule>
  </conditionalFormatting>
  <conditionalFormatting sqref="T45">
    <cfRule type="cellIs" dxfId="383" priority="6" stopIfTrue="1" operator="equal">
      <formula>0</formula>
    </cfRule>
  </conditionalFormatting>
  <conditionalFormatting sqref="T45">
    <cfRule type="cellIs" dxfId="382" priority="5" stopIfTrue="1" operator="equal">
      <formula>0</formula>
    </cfRule>
  </conditionalFormatting>
  <conditionalFormatting sqref="T45">
    <cfRule type="cellIs" dxfId="381" priority="4" stopIfTrue="1" operator="equal">
      <formula>0</formula>
    </cfRule>
  </conditionalFormatting>
  <conditionalFormatting sqref="T45">
    <cfRule type="cellIs" dxfId="380" priority="3" stopIfTrue="1" operator="equal">
      <formula>0</formula>
    </cfRule>
  </conditionalFormatting>
  <conditionalFormatting sqref="T45">
    <cfRule type="cellIs" dxfId="379" priority="2" stopIfTrue="1" operator="equal">
      <formula>0</formula>
    </cfRule>
  </conditionalFormatting>
  <conditionalFormatting sqref="T45">
    <cfRule type="cellIs" dxfId="378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9"/>
  <sheetViews>
    <sheetView topLeftCell="B94" workbookViewId="0">
      <selection activeCell="O8" sqref="O8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4.42578125" style="184" customWidth="1"/>
    <col min="4" max="4" width="9.140625" style="184" customWidth="1"/>
    <col min="5" max="5" width="14.5703125" style="184" customWidth="1"/>
    <col min="6" max="6" width="25.140625" style="184" customWidth="1"/>
    <col min="7" max="7" width="20.42578125" style="184" customWidth="1"/>
    <col min="8" max="12" width="9.140625" style="184" customWidth="1"/>
    <col min="13" max="13" width="12" style="185" customWidth="1"/>
    <col min="14" max="14" width="12.42578125" style="185" customWidth="1"/>
    <col min="15" max="15" width="12.28515625" style="185" customWidth="1"/>
    <col min="16" max="18" width="9.140625" style="185" customWidth="1"/>
    <col min="19" max="19" width="16.85546875" style="185" customWidth="1"/>
    <col min="20" max="20" width="10.7109375" style="185" customWidth="1"/>
    <col min="21" max="21" width="10.7109375" style="186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0.28515625" style="134" bestFit="1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288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287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63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94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6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22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29</v>
      </c>
      <c r="I10" s="75">
        <v>15</v>
      </c>
      <c r="J10" s="75">
        <v>17</v>
      </c>
      <c r="K10" s="75">
        <v>17</v>
      </c>
      <c r="L10" s="75">
        <v>17</v>
      </c>
      <c r="M10" s="97">
        <f>8818.63+2629.32+1661.28</f>
        <v>13109.23</v>
      </c>
      <c r="N10" s="97">
        <f>8818.63+2629.32</f>
        <v>11447.949999999999</v>
      </c>
      <c r="O10" s="93">
        <f xml:space="preserve"> (M10-N10)</f>
        <v>1661.2800000000007</v>
      </c>
      <c r="P10" s="123">
        <v>7</v>
      </c>
      <c r="Q10" s="124">
        <v>7</v>
      </c>
      <c r="R10" s="124">
        <v>7</v>
      </c>
      <c r="S10" s="97">
        <f>4246.75+895.7</f>
        <v>5142.45</v>
      </c>
      <c r="T10" s="97">
        <v>4246.75</v>
      </c>
      <c r="U10" s="97">
        <f xml:space="preserve"> (S10-T10)</f>
        <v>895.69999999999982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11</v>
      </c>
      <c r="I11" s="75">
        <v>9</v>
      </c>
      <c r="J11" s="75">
        <v>9</v>
      </c>
      <c r="K11" s="75">
        <v>9</v>
      </c>
      <c r="L11" s="75">
        <v>9</v>
      </c>
      <c r="M11" s="97">
        <f>1778.86+580+1740</f>
        <v>4098.8599999999997</v>
      </c>
      <c r="N11" s="97">
        <v>1778.86</v>
      </c>
      <c r="O11" s="93">
        <f t="shared" ref="O11:O74" si="1" xml:space="preserve"> (M11-N11)</f>
        <v>2320</v>
      </c>
      <c r="P11" s="123">
        <v>2</v>
      </c>
      <c r="Q11" s="12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75"/>
      <c r="J12" s="75"/>
      <c r="K12" s="75"/>
      <c r="L12" s="75"/>
      <c r="M12" s="97"/>
      <c r="N12" s="97"/>
      <c r="O12" s="93">
        <f t="shared" si="1"/>
        <v>0</v>
      </c>
      <c r="P12" s="123">
        <v>3</v>
      </c>
      <c r="Q12" s="124">
        <v>3</v>
      </c>
      <c r="R12" s="124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18</v>
      </c>
      <c r="I13" s="75">
        <v>8</v>
      </c>
      <c r="J13" s="75">
        <v>11</v>
      </c>
      <c r="K13" s="75">
        <v>11</v>
      </c>
      <c r="L13" s="75">
        <v>11</v>
      </c>
      <c r="M13" s="97">
        <f>272.84+2699.54+4096.17</f>
        <v>7068.55</v>
      </c>
      <c r="N13" s="97">
        <f>272.84+2699.54+4096.17</f>
        <v>7068.55</v>
      </c>
      <c r="O13" s="93">
        <f t="shared" si="1"/>
        <v>0</v>
      </c>
      <c r="P13" s="123">
        <v>5</v>
      </c>
      <c r="Q13" s="124">
        <v>5</v>
      </c>
      <c r="R13" s="124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26</v>
      </c>
      <c r="I14" s="75">
        <v>18</v>
      </c>
      <c r="J14" s="75">
        <v>18</v>
      </c>
      <c r="K14" s="75">
        <v>18</v>
      </c>
      <c r="L14" s="75">
        <v>16</v>
      </c>
      <c r="M14" s="97">
        <f>4932.74+3257.04</f>
        <v>8189.78</v>
      </c>
      <c r="N14" s="97">
        <v>4932.74</v>
      </c>
      <c r="O14" s="93">
        <f t="shared" si="1"/>
        <v>3257.04</v>
      </c>
      <c r="P14" s="123">
        <v>6</v>
      </c>
      <c r="Q14" s="124">
        <v>6</v>
      </c>
      <c r="R14" s="124">
        <v>6</v>
      </c>
      <c r="S14" s="97">
        <f>2847.1+1515.8</f>
        <v>4362.8999999999996</v>
      </c>
      <c r="T14" s="97">
        <v>2847.1</v>
      </c>
      <c r="U14" s="97">
        <f t="shared" si="2"/>
        <v>1515.7999999999997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22</v>
      </c>
      <c r="I15" s="75">
        <v>17</v>
      </c>
      <c r="J15" s="75">
        <v>23</v>
      </c>
      <c r="K15" s="75">
        <v>23</v>
      </c>
      <c r="L15" s="75">
        <v>23</v>
      </c>
      <c r="M15" s="97">
        <f>16942.87+1278.76</f>
        <v>18221.629999999997</v>
      </c>
      <c r="N15" s="97">
        <v>16942.87</v>
      </c>
      <c r="O15" s="93">
        <f t="shared" si="1"/>
        <v>1278.7599999999984</v>
      </c>
      <c r="P15" s="123">
        <v>13</v>
      </c>
      <c r="Q15" s="124">
        <v>13</v>
      </c>
      <c r="R15" s="124">
        <v>13</v>
      </c>
      <c r="S15" s="97">
        <v>13813.9</v>
      </c>
      <c r="T15" s="97">
        <v>13813.9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75"/>
      <c r="J16" s="75"/>
      <c r="K16" s="75"/>
      <c r="L16" s="75"/>
      <c r="M16" s="97"/>
      <c r="N16" s="97"/>
      <c r="O16" s="93">
        <f t="shared" si="1"/>
        <v>0</v>
      </c>
      <c r="P16" s="123"/>
      <c r="Q16" s="124"/>
      <c r="R16" s="124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26</v>
      </c>
      <c r="I17" s="75">
        <v>11</v>
      </c>
      <c r="J17" s="75">
        <v>14</v>
      </c>
      <c r="K17" s="75">
        <v>14</v>
      </c>
      <c r="L17" s="75">
        <v>14</v>
      </c>
      <c r="M17" s="97">
        <f>7235.14+4416.12+1559.66</f>
        <v>13210.92</v>
      </c>
      <c r="N17" s="97">
        <v>7235.14</v>
      </c>
      <c r="O17" s="93">
        <f t="shared" si="1"/>
        <v>5975.78</v>
      </c>
      <c r="P17" s="123">
        <v>1</v>
      </c>
      <c r="Q17" s="124">
        <v>1</v>
      </c>
      <c r="R17" s="124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15</v>
      </c>
      <c r="I18" s="75"/>
      <c r="J18" s="75"/>
      <c r="K18" s="75"/>
      <c r="L18" s="75"/>
      <c r="M18" s="97">
        <v>2118.92</v>
      </c>
      <c r="N18" s="97">
        <v>2118.92</v>
      </c>
      <c r="O18" s="93">
        <f t="shared" si="1"/>
        <v>0</v>
      </c>
      <c r="P18" s="123">
        <v>6</v>
      </c>
      <c r="Q18" s="124">
        <v>5</v>
      </c>
      <c r="R18" s="124">
        <v>5</v>
      </c>
      <c r="S18" s="97">
        <v>14748.55</v>
      </c>
      <c r="T18" s="97">
        <v>14748.55</v>
      </c>
      <c r="U18" s="97">
        <f t="shared" si="2"/>
        <v>0</v>
      </c>
      <c r="V18" s="161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20</v>
      </c>
      <c r="I19" s="75">
        <v>12</v>
      </c>
      <c r="J19" s="75">
        <v>20</v>
      </c>
      <c r="K19" s="75">
        <v>19</v>
      </c>
      <c r="L19" s="75">
        <v>19</v>
      </c>
      <c r="M19" s="97">
        <f>5345.36+3385.2+4242.79</f>
        <v>12973.349999999999</v>
      </c>
      <c r="N19" s="97">
        <f>5345.36+3385.2</f>
        <v>8730.56</v>
      </c>
      <c r="O19" s="93">
        <f t="shared" si="1"/>
        <v>4242.7899999999991</v>
      </c>
      <c r="P19" s="123">
        <v>15</v>
      </c>
      <c r="Q19" s="124">
        <v>15</v>
      </c>
      <c r="R19" s="124">
        <v>15</v>
      </c>
      <c r="S19" s="97">
        <f>12589.36+4299.58+3922.41+8458.25+3936.43</f>
        <v>33206.03</v>
      </c>
      <c r="T19" s="97">
        <f>12589.36+4299.58+3922.41+8458.25</f>
        <v>29269.600000000002</v>
      </c>
      <c r="U19" s="97">
        <f t="shared" si="2"/>
        <v>3936.4299999999967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27</v>
      </c>
      <c r="I20" s="75">
        <v>12</v>
      </c>
      <c r="J20" s="75">
        <v>16</v>
      </c>
      <c r="K20" s="75">
        <v>12</v>
      </c>
      <c r="L20" s="75">
        <v>12</v>
      </c>
      <c r="M20" s="97">
        <f>5728.14+3727.02+315.94</f>
        <v>9771.1</v>
      </c>
      <c r="N20" s="97">
        <f>5728.14+3727.02</f>
        <v>9455.16</v>
      </c>
      <c r="O20" s="93">
        <f t="shared" si="1"/>
        <v>315.94000000000051</v>
      </c>
      <c r="P20" s="123">
        <v>24</v>
      </c>
      <c r="Q20" s="124">
        <v>24</v>
      </c>
      <c r="R20" s="124">
        <v>24</v>
      </c>
      <c r="S20" s="97">
        <f>36404.57+1488.24</f>
        <v>37892.81</v>
      </c>
      <c r="T20" s="97">
        <v>36404.57</v>
      </c>
      <c r="U20" s="97">
        <f t="shared" si="2"/>
        <v>1488.239999999998</v>
      </c>
      <c r="V20" s="16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14</v>
      </c>
      <c r="I21" s="75">
        <v>7</v>
      </c>
      <c r="J21" s="75">
        <v>9</v>
      </c>
      <c r="K21" s="75">
        <v>9</v>
      </c>
      <c r="L21" s="75">
        <v>9</v>
      </c>
      <c r="M21" s="97">
        <f>3586.84+1791.4+1337.88</f>
        <v>6716.12</v>
      </c>
      <c r="N21" s="97">
        <f>3586.84+1791.4</f>
        <v>5378.24</v>
      </c>
      <c r="O21" s="93">
        <f t="shared" si="1"/>
        <v>1337.88</v>
      </c>
      <c r="P21" s="123">
        <v>5</v>
      </c>
      <c r="Q21" s="124">
        <v>5</v>
      </c>
      <c r="R21" s="124">
        <v>5</v>
      </c>
      <c r="S21" s="97">
        <f>7288.02+447.62</f>
        <v>7735.64</v>
      </c>
      <c r="T21" s="97">
        <v>7288.02</v>
      </c>
      <c r="U21" s="97">
        <f t="shared" si="2"/>
        <v>447.61999999999989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64</v>
      </c>
      <c r="I22" s="75">
        <v>28</v>
      </c>
      <c r="J22" s="75">
        <v>34</v>
      </c>
      <c r="K22" s="75">
        <v>34</v>
      </c>
      <c r="L22" s="75">
        <v>31</v>
      </c>
      <c r="M22" s="97">
        <f>19787.02+2513.73</f>
        <v>22300.75</v>
      </c>
      <c r="N22" s="97">
        <f>19787.02+2513.73</f>
        <v>22300.75</v>
      </c>
      <c r="O22" s="93">
        <f t="shared" si="1"/>
        <v>0</v>
      </c>
      <c r="P22" s="123">
        <v>20</v>
      </c>
      <c r="Q22" s="124">
        <v>20</v>
      </c>
      <c r="R22" s="124">
        <v>19</v>
      </c>
      <c r="S22" s="97">
        <v>24103.23</v>
      </c>
      <c r="T22" s="97">
        <v>24103.23</v>
      </c>
      <c r="U22" s="97">
        <f t="shared" si="2"/>
        <v>0</v>
      </c>
      <c r="V22" s="161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12</v>
      </c>
      <c r="I23" s="75">
        <v>7</v>
      </c>
      <c r="J23" s="75">
        <v>10</v>
      </c>
      <c r="K23" s="75">
        <v>9</v>
      </c>
      <c r="L23" s="75">
        <v>9</v>
      </c>
      <c r="M23" s="97">
        <f>5739.04+1828.05+1440.72</f>
        <v>9007.81</v>
      </c>
      <c r="N23" s="97">
        <f>5739.04+1828.05</f>
        <v>7567.09</v>
      </c>
      <c r="O23" s="93">
        <f t="shared" si="1"/>
        <v>1440.7199999999993</v>
      </c>
      <c r="P23" s="123">
        <v>11</v>
      </c>
      <c r="Q23" s="124">
        <v>11</v>
      </c>
      <c r="R23" s="124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13</v>
      </c>
      <c r="I24" s="75">
        <v>11</v>
      </c>
      <c r="J24" s="75">
        <v>15</v>
      </c>
      <c r="K24" s="75">
        <v>15</v>
      </c>
      <c r="L24" s="75">
        <v>15</v>
      </c>
      <c r="M24" s="97">
        <f>1515.11+3525.12</f>
        <v>5040.2299999999996</v>
      </c>
      <c r="N24" s="97">
        <v>1515.11</v>
      </c>
      <c r="O24" s="93">
        <f t="shared" si="1"/>
        <v>3525.12</v>
      </c>
      <c r="P24" s="123">
        <v>8</v>
      </c>
      <c r="Q24" s="124">
        <v>7</v>
      </c>
      <c r="R24" s="124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24</v>
      </c>
      <c r="I25" s="75">
        <v>9</v>
      </c>
      <c r="J25" s="75">
        <v>23</v>
      </c>
      <c r="K25" s="75">
        <v>23</v>
      </c>
      <c r="L25" s="75">
        <v>23</v>
      </c>
      <c r="M25" s="97">
        <f>9005.69+15068.32</f>
        <v>24074.010000000002</v>
      </c>
      <c r="N25" s="97">
        <v>9005.69</v>
      </c>
      <c r="O25" s="93">
        <f t="shared" si="1"/>
        <v>15068.320000000002</v>
      </c>
      <c r="P25" s="123">
        <v>21</v>
      </c>
      <c r="Q25" s="124">
        <v>20</v>
      </c>
      <c r="R25" s="124">
        <v>20</v>
      </c>
      <c r="S25" s="97">
        <v>24213.05</v>
      </c>
      <c r="T25" s="97">
        <v>24213.05</v>
      </c>
      <c r="U25" s="97">
        <f t="shared" si="2"/>
        <v>0</v>
      </c>
      <c r="V25" s="161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19</v>
      </c>
      <c r="I26" s="75">
        <v>8</v>
      </c>
      <c r="J26" s="75">
        <v>13</v>
      </c>
      <c r="K26" s="75">
        <v>13</v>
      </c>
      <c r="L26" s="75">
        <v>13</v>
      </c>
      <c r="M26" s="97">
        <f>3777.1+6399.51</f>
        <v>10176.61</v>
      </c>
      <c r="N26" s="97">
        <f>3777.1+6399.51</f>
        <v>10176.61</v>
      </c>
      <c r="O26" s="93">
        <f t="shared" si="1"/>
        <v>0</v>
      </c>
      <c r="P26" s="123">
        <v>10</v>
      </c>
      <c r="Q26" s="124">
        <v>10</v>
      </c>
      <c r="R26" s="124">
        <v>10</v>
      </c>
      <c r="S26" s="97">
        <v>3386.7</v>
      </c>
      <c r="T26" s="97">
        <v>3386.7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21</v>
      </c>
      <c r="I27" s="75">
        <v>13</v>
      </c>
      <c r="J27" s="75">
        <v>24</v>
      </c>
      <c r="K27" s="75">
        <v>24</v>
      </c>
      <c r="L27" s="75">
        <v>24</v>
      </c>
      <c r="M27" s="97">
        <f>6801.73+4254.18+3948.81</f>
        <v>15004.72</v>
      </c>
      <c r="N27" s="97">
        <v>6801.73</v>
      </c>
      <c r="O27" s="93">
        <f t="shared" si="1"/>
        <v>8202.99</v>
      </c>
      <c r="P27" s="123">
        <v>14</v>
      </c>
      <c r="Q27" s="124">
        <v>14</v>
      </c>
      <c r="R27" s="124">
        <v>14</v>
      </c>
      <c r="S27" s="97">
        <f>12827.9+197.93</f>
        <v>13025.83</v>
      </c>
      <c r="T27" s="97">
        <v>12827.9</v>
      </c>
      <c r="U27" s="97">
        <f t="shared" si="2"/>
        <v>197.93000000000029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75"/>
      <c r="J28" s="75"/>
      <c r="K28" s="75"/>
      <c r="L28" s="75"/>
      <c r="M28" s="97"/>
      <c r="N28" s="97"/>
      <c r="O28" s="93">
        <f t="shared" si="1"/>
        <v>0</v>
      </c>
      <c r="P28" s="123"/>
      <c r="Q28" s="124"/>
      <c r="R28" s="124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19</v>
      </c>
      <c r="I29" s="75">
        <v>18</v>
      </c>
      <c r="J29" s="75">
        <v>25</v>
      </c>
      <c r="K29" s="75">
        <v>25</v>
      </c>
      <c r="L29" s="75">
        <v>25</v>
      </c>
      <c r="M29" s="97">
        <f>7765.28+1107.91+3282.4+1320.23</f>
        <v>13475.82</v>
      </c>
      <c r="N29" s="97">
        <f>7765.28+1107.91</f>
        <v>8873.19</v>
      </c>
      <c r="O29" s="93">
        <f t="shared" si="1"/>
        <v>4602.6299999999992</v>
      </c>
      <c r="P29" s="123">
        <v>11</v>
      </c>
      <c r="Q29" s="124">
        <v>11</v>
      </c>
      <c r="R29" s="124">
        <v>11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26</v>
      </c>
      <c r="I30" s="75">
        <v>18</v>
      </c>
      <c r="J30" s="75">
        <v>23</v>
      </c>
      <c r="K30" s="75">
        <v>23</v>
      </c>
      <c r="L30" s="75">
        <v>17</v>
      </c>
      <c r="M30" s="97">
        <f>5246.17+4965.96+1939.12</f>
        <v>12151.25</v>
      </c>
      <c r="N30" s="97">
        <f>5246.17+4965.96</f>
        <v>10212.130000000001</v>
      </c>
      <c r="O30" s="93">
        <f t="shared" si="1"/>
        <v>1939.119999999999</v>
      </c>
      <c r="P30" s="123">
        <v>22</v>
      </c>
      <c r="Q30" s="124">
        <v>22</v>
      </c>
      <c r="R30" s="124">
        <v>22</v>
      </c>
      <c r="S30" s="97">
        <f>39414.6+4786.67+1562.33+638.43</f>
        <v>46402.03</v>
      </c>
      <c r="T30" s="97">
        <f>39414.6+4786.67</f>
        <v>44201.27</v>
      </c>
      <c r="U30" s="97">
        <f t="shared" si="2"/>
        <v>2200.760000000002</v>
      </c>
      <c r="V30" s="16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75">
        <v>1</v>
      </c>
      <c r="J31" s="75">
        <v>2</v>
      </c>
      <c r="K31" s="75">
        <v>2</v>
      </c>
      <c r="L31" s="75">
        <v>2</v>
      </c>
      <c r="M31" s="97">
        <v>859.25</v>
      </c>
      <c r="N31" s="97">
        <v>859.25</v>
      </c>
      <c r="O31" s="93">
        <f t="shared" si="1"/>
        <v>0</v>
      </c>
      <c r="P31" s="123">
        <v>2</v>
      </c>
      <c r="Q31" s="12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75"/>
      <c r="J32" s="75"/>
      <c r="K32" s="75"/>
      <c r="L32" s="75"/>
      <c r="M32" s="97"/>
      <c r="N32" s="97"/>
      <c r="O32" s="93">
        <f t="shared" si="1"/>
        <v>0</v>
      </c>
      <c r="P32" s="123"/>
      <c r="Q32" s="124"/>
      <c r="R32" s="124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11</v>
      </c>
      <c r="I33" s="75">
        <v>8</v>
      </c>
      <c r="J33" s="75">
        <v>10</v>
      </c>
      <c r="K33" s="75">
        <v>10</v>
      </c>
      <c r="L33" s="75">
        <v>10</v>
      </c>
      <c r="M33" s="97">
        <f>4065+2226.4+2915.4</f>
        <v>9206.7999999999993</v>
      </c>
      <c r="N33" s="97">
        <f>4065.1+2226.4</f>
        <v>6291.5</v>
      </c>
      <c r="O33" s="93">
        <f t="shared" si="1"/>
        <v>2915.2999999999993</v>
      </c>
      <c r="P33" s="123"/>
      <c r="Q33" s="124"/>
      <c r="R33" s="124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75">
        <v>14</v>
      </c>
      <c r="J34" s="75">
        <v>22</v>
      </c>
      <c r="K34" s="75">
        <v>22</v>
      </c>
      <c r="L34" s="75">
        <v>22</v>
      </c>
      <c r="M34" s="97">
        <f>8742.16+2424.59+5870.23</f>
        <v>17036.98</v>
      </c>
      <c r="N34" s="97">
        <v>8742.16</v>
      </c>
      <c r="O34" s="93">
        <f t="shared" si="1"/>
        <v>8294.82</v>
      </c>
      <c r="P34" s="123">
        <v>2</v>
      </c>
      <c r="Q34" s="12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11</v>
      </c>
      <c r="I35" s="75">
        <v>6</v>
      </c>
      <c r="J35" s="75">
        <v>12</v>
      </c>
      <c r="K35" s="75">
        <v>12</v>
      </c>
      <c r="L35" s="75">
        <v>12</v>
      </c>
      <c r="M35" s="97">
        <f>8755.24+1744.06</f>
        <v>10499.3</v>
      </c>
      <c r="N35" s="97">
        <v>8755.24</v>
      </c>
      <c r="O35" s="93">
        <f t="shared" si="1"/>
        <v>1744.0599999999995</v>
      </c>
      <c r="P35" s="123">
        <v>10</v>
      </c>
      <c r="Q35" s="124">
        <v>10</v>
      </c>
      <c r="R35" s="124">
        <v>10</v>
      </c>
      <c r="S35" s="97">
        <f>9249.99+1156.49</f>
        <v>10406.48</v>
      </c>
      <c r="T35" s="97">
        <v>9249.99</v>
      </c>
      <c r="U35" s="97">
        <f t="shared" si="2"/>
        <v>1156.4899999999998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13</v>
      </c>
      <c r="I36" s="75">
        <v>6</v>
      </c>
      <c r="J36" s="75">
        <v>6</v>
      </c>
      <c r="K36" s="75">
        <v>6</v>
      </c>
      <c r="L36" s="75">
        <v>6</v>
      </c>
      <c r="M36" s="97">
        <f>2360+2665.25</f>
        <v>5025.25</v>
      </c>
      <c r="N36" s="97">
        <v>2360</v>
      </c>
      <c r="O36" s="93">
        <f t="shared" si="1"/>
        <v>2665.25</v>
      </c>
      <c r="P36" s="123">
        <v>5</v>
      </c>
      <c r="Q36" s="124">
        <v>5</v>
      </c>
      <c r="R36" s="124">
        <v>5</v>
      </c>
      <c r="S36" s="97">
        <f>1436.08+3433.93+5939.33</f>
        <v>10809.34</v>
      </c>
      <c r="T36" s="97">
        <f>1436.08+3433.93</f>
        <v>4870.01</v>
      </c>
      <c r="U36" s="97">
        <f t="shared" si="2"/>
        <v>5939.33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14</v>
      </c>
      <c r="I37" s="75">
        <v>6</v>
      </c>
      <c r="J37" s="75">
        <v>10</v>
      </c>
      <c r="K37" s="75">
        <v>10</v>
      </c>
      <c r="L37" s="75">
        <v>10</v>
      </c>
      <c r="M37" s="97">
        <f>4126.56+990.2+862.75</f>
        <v>5979.51</v>
      </c>
      <c r="N37" s="97">
        <f>4126.56+990.2</f>
        <v>5116.76</v>
      </c>
      <c r="O37" s="93">
        <f t="shared" si="1"/>
        <v>862.75</v>
      </c>
      <c r="P37" s="123">
        <v>2</v>
      </c>
      <c r="Q37" s="124">
        <v>1</v>
      </c>
      <c r="R37" s="124">
        <v>1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49</v>
      </c>
      <c r="I38" s="75">
        <v>21</v>
      </c>
      <c r="J38" s="75">
        <v>31</v>
      </c>
      <c r="K38" s="75">
        <v>31</v>
      </c>
      <c r="L38" s="75">
        <v>29</v>
      </c>
      <c r="M38" s="97">
        <f>18043.85+1739.74+12219.36</f>
        <v>32002.95</v>
      </c>
      <c r="N38" s="97">
        <f>18043.85+1739.74</f>
        <v>19783.59</v>
      </c>
      <c r="O38" s="93">
        <f t="shared" si="1"/>
        <v>12219.36</v>
      </c>
      <c r="P38" s="123">
        <v>19</v>
      </c>
      <c r="Q38" s="124">
        <v>19</v>
      </c>
      <c r="R38" s="124">
        <v>19</v>
      </c>
      <c r="S38" s="97">
        <f>22326.77+417.74</f>
        <v>22744.510000000002</v>
      </c>
      <c r="T38" s="97">
        <v>22326.77</v>
      </c>
      <c r="U38" s="97">
        <f t="shared" si="2"/>
        <v>417.7400000000016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22</v>
      </c>
      <c r="I39" s="75">
        <v>8</v>
      </c>
      <c r="J39" s="75">
        <v>11</v>
      </c>
      <c r="K39" s="75">
        <v>11</v>
      </c>
      <c r="L39" s="75">
        <v>11</v>
      </c>
      <c r="M39" s="97">
        <f>4309.67+3353.38</f>
        <v>7663.05</v>
      </c>
      <c r="N39" s="97">
        <f>4309.67+3353.38</f>
        <v>7663.05</v>
      </c>
      <c r="O39" s="93">
        <f t="shared" si="1"/>
        <v>0</v>
      </c>
      <c r="P39" s="123">
        <v>3</v>
      </c>
      <c r="Q39" s="124">
        <v>3</v>
      </c>
      <c r="R39" s="124">
        <v>3</v>
      </c>
      <c r="S39" s="97">
        <v>84.92</v>
      </c>
      <c r="T39" s="97">
        <v>84.92</v>
      </c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7</v>
      </c>
      <c r="I40" s="75">
        <v>5</v>
      </c>
      <c r="J40" s="75">
        <v>5</v>
      </c>
      <c r="K40" s="75">
        <v>5</v>
      </c>
      <c r="L40" s="75">
        <v>5</v>
      </c>
      <c r="M40" s="97">
        <v>5430.01</v>
      </c>
      <c r="N40" s="97">
        <v>5430.01</v>
      </c>
      <c r="O40" s="93">
        <f t="shared" si="1"/>
        <v>0</v>
      </c>
      <c r="P40" s="123">
        <v>4</v>
      </c>
      <c r="Q40" s="12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10</v>
      </c>
      <c r="I41" s="75">
        <v>8</v>
      </c>
      <c r="J41" s="75">
        <v>9</v>
      </c>
      <c r="K41" s="75">
        <v>9</v>
      </c>
      <c r="L41" s="75">
        <v>9</v>
      </c>
      <c r="M41" s="97">
        <f>4892.78+1033.5</f>
        <v>5926.28</v>
      </c>
      <c r="N41" s="97">
        <v>4892.78</v>
      </c>
      <c r="O41" s="93">
        <f t="shared" si="1"/>
        <v>1033.5</v>
      </c>
      <c r="P41" s="123">
        <v>3</v>
      </c>
      <c r="Q41" s="124">
        <v>3</v>
      </c>
      <c r="R41" s="124">
        <v>3</v>
      </c>
      <c r="S41" s="97">
        <f>1842.88</f>
        <v>1842.88</v>
      </c>
      <c r="T41" s="97">
        <v>1842.88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77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10</v>
      </c>
      <c r="I42" s="75">
        <v>4</v>
      </c>
      <c r="J42" s="75">
        <v>4</v>
      </c>
      <c r="K42" s="75">
        <v>4</v>
      </c>
      <c r="L42" s="75">
        <v>4</v>
      </c>
      <c r="M42" s="97">
        <v>5095.29</v>
      </c>
      <c r="N42" s="97">
        <v>5095.29</v>
      </c>
      <c r="O42" s="93">
        <f t="shared" si="1"/>
        <v>0</v>
      </c>
      <c r="P42" s="123">
        <v>5</v>
      </c>
      <c r="Q42" s="124">
        <v>5</v>
      </c>
      <c r="R42" s="124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14</v>
      </c>
      <c r="I43" s="75">
        <v>8</v>
      </c>
      <c r="J43" s="75">
        <v>10</v>
      </c>
      <c r="K43" s="75">
        <v>10</v>
      </c>
      <c r="L43" s="75">
        <v>10</v>
      </c>
      <c r="M43" s="97">
        <f>1949.94+11241.95+1670.56+979</f>
        <v>15841.45</v>
      </c>
      <c r="N43" s="97">
        <f>1949.94+11241.95</f>
        <v>13191.890000000001</v>
      </c>
      <c r="O43" s="93">
        <f t="shared" si="1"/>
        <v>2649.5599999999995</v>
      </c>
      <c r="P43" s="123">
        <v>7</v>
      </c>
      <c r="Q43" s="124">
        <v>6</v>
      </c>
      <c r="R43" s="124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7</v>
      </c>
      <c r="I44" s="75">
        <v>5</v>
      </c>
      <c r="J44" s="75">
        <v>9</v>
      </c>
      <c r="K44" s="75">
        <v>9</v>
      </c>
      <c r="L44" s="75">
        <v>9</v>
      </c>
      <c r="M44" s="97">
        <f>9600.95+145</f>
        <v>9745.9500000000007</v>
      </c>
      <c r="N44" s="97">
        <v>9600.9500000000007</v>
      </c>
      <c r="O44" s="93">
        <f t="shared" si="1"/>
        <v>145</v>
      </c>
      <c r="P44" s="123">
        <v>5</v>
      </c>
      <c r="Q44" s="124">
        <v>5</v>
      </c>
      <c r="R44" s="124">
        <v>5</v>
      </c>
      <c r="S44" s="97">
        <f>3997.92+850.65+4367.7</f>
        <v>9216.27</v>
      </c>
      <c r="T44" s="97">
        <f>3997.92+850.65</f>
        <v>4848.57</v>
      </c>
      <c r="U44" s="97">
        <f t="shared" si="2"/>
        <v>4367.7000000000007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75"/>
      <c r="J45" s="75"/>
      <c r="K45" s="75"/>
      <c r="L45" s="75"/>
      <c r="M45" s="97"/>
      <c r="N45" s="97"/>
      <c r="O45" s="93">
        <f t="shared" si="1"/>
        <v>0</v>
      </c>
      <c r="P45" s="123"/>
      <c r="Q45" s="124"/>
      <c r="R45" s="124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8</v>
      </c>
      <c r="I46" s="75">
        <v>4</v>
      </c>
      <c r="J46" s="75">
        <v>4</v>
      </c>
      <c r="K46" s="75">
        <v>4</v>
      </c>
      <c r="L46" s="75">
        <v>4</v>
      </c>
      <c r="M46" s="97">
        <f>1290.6</f>
        <v>1290.5999999999999</v>
      </c>
      <c r="N46" s="97"/>
      <c r="O46" s="93">
        <f t="shared" si="1"/>
        <v>1290.5999999999999</v>
      </c>
      <c r="P46" s="123">
        <v>2</v>
      </c>
      <c r="Q46" s="124">
        <v>2</v>
      </c>
      <c r="R46" s="124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27</v>
      </c>
      <c r="I47" s="75">
        <v>17</v>
      </c>
      <c r="J47" s="75">
        <v>23</v>
      </c>
      <c r="K47" s="75">
        <v>21</v>
      </c>
      <c r="L47" s="75">
        <v>21</v>
      </c>
      <c r="M47" s="97">
        <f>9335.56+3507.6+826.8</f>
        <v>13669.96</v>
      </c>
      <c r="N47" s="97">
        <f>9335.56+3507.6</f>
        <v>12843.16</v>
      </c>
      <c r="O47" s="93">
        <f t="shared" si="1"/>
        <v>826.79999999999927</v>
      </c>
      <c r="P47" s="123">
        <v>2</v>
      </c>
      <c r="Q47" s="124">
        <v>2</v>
      </c>
      <c r="R47" s="124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12</v>
      </c>
      <c r="I48" s="75">
        <v>5</v>
      </c>
      <c r="J48" s="75">
        <v>8</v>
      </c>
      <c r="K48" s="75">
        <v>8</v>
      </c>
      <c r="L48" s="75">
        <v>8</v>
      </c>
      <c r="M48" s="97">
        <f>8890.84+1828.05</f>
        <v>10718.89</v>
      </c>
      <c r="N48" s="97">
        <f>8890.84+1828.05</f>
        <v>10718.89</v>
      </c>
      <c r="O48" s="93">
        <f t="shared" si="1"/>
        <v>0</v>
      </c>
      <c r="P48" s="123">
        <v>3</v>
      </c>
      <c r="Q48" s="12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17</v>
      </c>
      <c r="I49" s="75">
        <v>9</v>
      </c>
      <c r="J49" s="75">
        <v>10</v>
      </c>
      <c r="K49" s="75">
        <v>10</v>
      </c>
      <c r="L49" s="75">
        <v>10</v>
      </c>
      <c r="M49" s="97">
        <f>1831.71+137.8+1816.78</f>
        <v>3786.29</v>
      </c>
      <c r="N49" s="97">
        <v>1831.71</v>
      </c>
      <c r="O49" s="93">
        <f t="shared" si="1"/>
        <v>1954.58</v>
      </c>
      <c r="P49" s="123">
        <v>8</v>
      </c>
      <c r="Q49" s="124">
        <v>8</v>
      </c>
      <c r="R49" s="124">
        <v>8</v>
      </c>
      <c r="S49" s="97">
        <f>8296.23+1378</f>
        <v>9674.23</v>
      </c>
      <c r="T49" s="97">
        <f>8296.23+1378</f>
        <v>9674.23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14</v>
      </c>
      <c r="I50" s="75">
        <v>12</v>
      </c>
      <c r="J50" s="75">
        <v>14</v>
      </c>
      <c r="K50" s="75">
        <v>14</v>
      </c>
      <c r="L50" s="75">
        <v>14</v>
      </c>
      <c r="M50" s="97">
        <f>8308.92+786.44+453+302</f>
        <v>9850.36</v>
      </c>
      <c r="N50" s="97">
        <f>8308.92+786.44</f>
        <v>9095.36</v>
      </c>
      <c r="O50" s="93">
        <f t="shared" si="1"/>
        <v>755</v>
      </c>
      <c r="P50" s="123">
        <v>6</v>
      </c>
      <c r="Q50" s="124">
        <v>6</v>
      </c>
      <c r="R50" s="124">
        <v>6</v>
      </c>
      <c r="S50" s="97">
        <f>2457.28+1725.6+5017.9</f>
        <v>9200.7799999999988</v>
      </c>
      <c r="T50" s="97">
        <f>2457.28+1725.6</f>
        <v>4182.88</v>
      </c>
      <c r="U50" s="97">
        <f t="shared" si="2"/>
        <v>5017.8999999999987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15</v>
      </c>
      <c r="I51" s="75">
        <v>10</v>
      </c>
      <c r="J51" s="75">
        <v>11</v>
      </c>
      <c r="K51" s="75">
        <v>11</v>
      </c>
      <c r="L51" s="75">
        <v>11</v>
      </c>
      <c r="M51" s="97">
        <f>5580.75+571.11+696.2+574.2</f>
        <v>7422.2599999999993</v>
      </c>
      <c r="N51" s="97">
        <f>5580.75+571.11</f>
        <v>6151.86</v>
      </c>
      <c r="O51" s="93">
        <f t="shared" si="1"/>
        <v>1270.3999999999996</v>
      </c>
      <c r="P51" s="123">
        <v>1</v>
      </c>
      <c r="Q51" s="124">
        <v>1</v>
      </c>
      <c r="R51" s="124">
        <v>1</v>
      </c>
      <c r="S51" s="97"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15</v>
      </c>
      <c r="I52" s="75">
        <v>8</v>
      </c>
      <c r="J52" s="75">
        <v>10</v>
      </c>
      <c r="K52" s="75">
        <v>10</v>
      </c>
      <c r="L52" s="75">
        <v>10</v>
      </c>
      <c r="M52" s="97">
        <f>3782.6+430.65+1221.61</f>
        <v>5434.86</v>
      </c>
      <c r="N52" s="97">
        <f>3782.6+430.65</f>
        <v>4213.25</v>
      </c>
      <c r="O52" s="93">
        <f t="shared" si="1"/>
        <v>1221.6099999999997</v>
      </c>
      <c r="P52" s="123">
        <v>5</v>
      </c>
      <c r="Q52" s="124">
        <v>5</v>
      </c>
      <c r="R52" s="124">
        <v>5</v>
      </c>
      <c r="S52" s="97">
        <f>1535.39+1035.3+828.82</f>
        <v>3399.51</v>
      </c>
      <c r="T52" s="97">
        <f>1535.39+1035.3+828.82</f>
        <v>3399.51</v>
      </c>
      <c r="U52" s="97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6</v>
      </c>
      <c r="I53" s="75">
        <v>2</v>
      </c>
      <c r="J53" s="75">
        <v>2</v>
      </c>
      <c r="K53" s="75">
        <v>2</v>
      </c>
      <c r="L53" s="75">
        <v>2</v>
      </c>
      <c r="M53" s="97">
        <v>1102.4000000000001</v>
      </c>
      <c r="N53" s="97">
        <v>1102.4000000000001</v>
      </c>
      <c r="O53" s="93">
        <f t="shared" si="1"/>
        <v>0</v>
      </c>
      <c r="P53" s="123">
        <v>2</v>
      </c>
      <c r="Q53" s="12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50</v>
      </c>
      <c r="I54" s="75">
        <v>39</v>
      </c>
      <c r="J54" s="75">
        <v>51</v>
      </c>
      <c r="K54" s="75">
        <v>51</v>
      </c>
      <c r="L54" s="75">
        <v>51</v>
      </c>
      <c r="M54" s="97">
        <f>12031.27+4728.85+7137.01</f>
        <v>23897.130000000005</v>
      </c>
      <c r="N54" s="97">
        <v>12031.27</v>
      </c>
      <c r="O54" s="93">
        <f t="shared" si="1"/>
        <v>11865.860000000004</v>
      </c>
      <c r="P54" s="123">
        <v>17</v>
      </c>
      <c r="Q54" s="12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6</v>
      </c>
      <c r="I55" s="75">
        <v>2</v>
      </c>
      <c r="J55" s="75">
        <v>2</v>
      </c>
      <c r="K55" s="75">
        <v>2</v>
      </c>
      <c r="L55" s="75">
        <v>2</v>
      </c>
      <c r="M55" s="97">
        <v>5677.4</v>
      </c>
      <c r="N55" s="97">
        <v>5677.4</v>
      </c>
      <c r="O55" s="93">
        <f t="shared" si="1"/>
        <v>0</v>
      </c>
      <c r="P55" s="123">
        <v>3</v>
      </c>
      <c r="Q55" s="12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40</v>
      </c>
      <c r="I56" s="75">
        <v>26</v>
      </c>
      <c r="J56" s="75">
        <v>29</v>
      </c>
      <c r="K56" s="75">
        <v>29</v>
      </c>
      <c r="L56" s="75">
        <v>29</v>
      </c>
      <c r="M56" s="97">
        <f>13145.7+14183.3+726.22</f>
        <v>28055.22</v>
      </c>
      <c r="N56" s="97">
        <v>13145.7</v>
      </c>
      <c r="O56" s="93">
        <f t="shared" si="1"/>
        <v>14909.52</v>
      </c>
      <c r="P56" s="123">
        <v>31</v>
      </c>
      <c r="Q56" s="124">
        <v>31</v>
      </c>
      <c r="R56" s="124">
        <v>31</v>
      </c>
      <c r="S56" s="97">
        <f>53733.15+4264.52</f>
        <v>57997.67</v>
      </c>
      <c r="T56" s="97">
        <v>53733.15</v>
      </c>
      <c r="U56" s="97">
        <f t="shared" si="2"/>
        <v>4264.5199999999968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75">
        <v>3</v>
      </c>
      <c r="L57" s="75">
        <v>3</v>
      </c>
      <c r="M57" s="97">
        <v>1200.96</v>
      </c>
      <c r="N57" s="97">
        <v>1200.96</v>
      </c>
      <c r="O57" s="93">
        <f t="shared" si="1"/>
        <v>0</v>
      </c>
      <c r="P57" s="123"/>
      <c r="Q57" s="124"/>
      <c r="R57" s="124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75"/>
      <c r="J58" s="75"/>
      <c r="K58" s="75"/>
      <c r="L58" s="75"/>
      <c r="M58" s="97"/>
      <c r="N58" s="97"/>
      <c r="O58" s="93">
        <f t="shared" si="1"/>
        <v>0</v>
      </c>
      <c r="P58" s="123"/>
      <c r="Q58" s="124"/>
      <c r="R58" s="124"/>
      <c r="S58" s="97"/>
      <c r="T58" s="97"/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75"/>
      <c r="J59" s="75"/>
      <c r="K59" s="75"/>
      <c r="L59" s="75"/>
      <c r="M59" s="97"/>
      <c r="N59" s="97"/>
      <c r="O59" s="93">
        <f t="shared" si="1"/>
        <v>0</v>
      </c>
      <c r="P59" s="123"/>
      <c r="Q59" s="124"/>
      <c r="R59" s="124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37</v>
      </c>
      <c r="I60" s="75">
        <v>25</v>
      </c>
      <c r="J60" s="75">
        <v>35</v>
      </c>
      <c r="K60" s="75">
        <v>35</v>
      </c>
      <c r="L60" s="75">
        <v>30</v>
      </c>
      <c r="M60" s="97">
        <f>19657.67+3859.57+3638.88</f>
        <v>27156.12</v>
      </c>
      <c r="N60" s="97">
        <f>19657.67+3859.57</f>
        <v>23517.239999999998</v>
      </c>
      <c r="O60" s="93">
        <f t="shared" si="1"/>
        <v>3638.880000000001</v>
      </c>
      <c r="P60" s="123">
        <v>6</v>
      </c>
      <c r="Q60" s="124">
        <v>6</v>
      </c>
      <c r="R60" s="124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18</v>
      </c>
      <c r="I61" s="75">
        <v>8</v>
      </c>
      <c r="J61" s="75">
        <v>10</v>
      </c>
      <c r="K61" s="75">
        <v>10</v>
      </c>
      <c r="L61" s="75">
        <v>10</v>
      </c>
      <c r="M61" s="97">
        <f>3986.21+989.8+3814.75</f>
        <v>8790.76</v>
      </c>
      <c r="N61" s="97">
        <f>3986.21+989.8</f>
        <v>4976.01</v>
      </c>
      <c r="O61" s="93">
        <f t="shared" si="1"/>
        <v>3814.75</v>
      </c>
      <c r="P61" s="123"/>
      <c r="Q61" s="124"/>
      <c r="R61" s="124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77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15</v>
      </c>
      <c r="I62" s="75">
        <v>9</v>
      </c>
      <c r="J62" s="75">
        <v>9</v>
      </c>
      <c r="K62" s="75">
        <v>9</v>
      </c>
      <c r="L62" s="75">
        <v>9</v>
      </c>
      <c r="M62" s="97">
        <f>1263.45+2111.32+5011.35</f>
        <v>8386.1200000000008</v>
      </c>
      <c r="N62" s="97">
        <f>1263.45+2111.32+5011.35</f>
        <v>8386.1200000000008</v>
      </c>
      <c r="O62" s="93">
        <f t="shared" si="1"/>
        <v>0</v>
      </c>
      <c r="P62" s="123">
        <v>7</v>
      </c>
      <c r="Q62" s="124">
        <v>7</v>
      </c>
      <c r="R62" s="124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75"/>
      <c r="J63" s="75"/>
      <c r="K63" s="75"/>
      <c r="L63" s="75"/>
      <c r="M63" s="97"/>
      <c r="N63" s="97"/>
      <c r="O63" s="93">
        <f t="shared" si="1"/>
        <v>0</v>
      </c>
      <c r="P63" s="123">
        <v>29</v>
      </c>
      <c r="Q63" s="124">
        <v>29</v>
      </c>
      <c r="R63" s="124">
        <v>29</v>
      </c>
      <c r="S63" s="97">
        <f>9392.68+482.3</f>
        <v>9874.98</v>
      </c>
      <c r="T63" s="97">
        <f>9392.68+482.3</f>
        <v>9874.98</v>
      </c>
      <c r="U63" s="97">
        <f t="shared" si="2"/>
        <v>0</v>
      </c>
      <c r="V63" s="161"/>
    </row>
    <row r="64" spans="1:40" ht="20.100000000000001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20</v>
      </c>
      <c r="I64" s="75">
        <v>12</v>
      </c>
      <c r="J64" s="75">
        <v>14</v>
      </c>
      <c r="K64" s="75">
        <v>14</v>
      </c>
      <c r="L64" s="75">
        <v>14</v>
      </c>
      <c r="M64" s="97">
        <f>6496.16+4335.01</f>
        <v>10831.17</v>
      </c>
      <c r="N64" s="97">
        <v>6496.16</v>
      </c>
      <c r="O64" s="93">
        <f t="shared" si="1"/>
        <v>4335.01</v>
      </c>
      <c r="P64" s="123">
        <v>10</v>
      </c>
      <c r="Q64" s="124">
        <v>10</v>
      </c>
      <c r="R64" s="124">
        <v>10</v>
      </c>
      <c r="S64" s="97">
        <v>6866.56</v>
      </c>
      <c r="T64" s="97">
        <v>6866.56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39</v>
      </c>
      <c r="I65" s="75">
        <v>29</v>
      </c>
      <c r="J65" s="75">
        <v>35</v>
      </c>
      <c r="K65" s="75">
        <v>31</v>
      </c>
      <c r="L65" s="75">
        <v>31</v>
      </c>
      <c r="M65" s="97">
        <f>21561.61+5719.7+1305+4149.27</f>
        <v>32735.58</v>
      </c>
      <c r="N65" s="97">
        <f>21561.61+5719.7</f>
        <v>27281.31</v>
      </c>
      <c r="O65" s="93">
        <f t="shared" si="1"/>
        <v>5454.27</v>
      </c>
      <c r="P65" s="123">
        <v>10</v>
      </c>
      <c r="Q65" s="124">
        <v>10</v>
      </c>
      <c r="R65" s="124">
        <v>10</v>
      </c>
      <c r="S65" s="97">
        <v>7456.7</v>
      </c>
      <c r="T65" s="97">
        <v>7456.7</v>
      </c>
      <c r="U65" s="97">
        <f t="shared" si="2"/>
        <v>0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75">
        <v>2</v>
      </c>
      <c r="J66" s="75">
        <v>3</v>
      </c>
      <c r="K66" s="75">
        <v>3</v>
      </c>
      <c r="L66" s="75">
        <v>3</v>
      </c>
      <c r="M66" s="97">
        <f>463.83+1653.6</f>
        <v>2117.4299999999998</v>
      </c>
      <c r="N66" s="97">
        <f>463.83+1653.6</f>
        <v>2117.4299999999998</v>
      </c>
      <c r="O66" s="93">
        <f t="shared" si="1"/>
        <v>0</v>
      </c>
      <c r="P66" s="123">
        <v>4</v>
      </c>
      <c r="Q66" s="12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38</v>
      </c>
      <c r="I67" s="75">
        <v>30</v>
      </c>
      <c r="J67" s="75">
        <v>39</v>
      </c>
      <c r="K67" s="75">
        <v>38</v>
      </c>
      <c r="L67" s="75">
        <v>38</v>
      </c>
      <c r="M67" s="97">
        <f>19710.93+7009.96+ 8900.54+165.98</f>
        <v>35787.410000000003</v>
      </c>
      <c r="N67" s="97">
        <v>19710.93</v>
      </c>
      <c r="O67" s="93">
        <f t="shared" si="1"/>
        <v>16076.480000000003</v>
      </c>
      <c r="P67" s="123">
        <v>11</v>
      </c>
      <c r="Q67" s="124">
        <v>11</v>
      </c>
      <c r="R67" s="124">
        <v>11</v>
      </c>
      <c r="S67" s="97">
        <f>8355.57+1548.48+8943.77</f>
        <v>18847.82</v>
      </c>
      <c r="T67" s="97">
        <v>8355.57</v>
      </c>
      <c r="U67" s="97">
        <f t="shared" si="2"/>
        <v>10492.25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28</v>
      </c>
      <c r="I68" s="75">
        <v>23</v>
      </c>
      <c r="J68" s="75">
        <v>40</v>
      </c>
      <c r="K68" s="75">
        <v>40</v>
      </c>
      <c r="L68" s="75">
        <v>40</v>
      </c>
      <c r="M68" s="97">
        <f>18750.75</f>
        <v>18750.75</v>
      </c>
      <c r="N68" s="97">
        <v>18750.75</v>
      </c>
      <c r="O68" s="93">
        <f t="shared" si="1"/>
        <v>0</v>
      </c>
      <c r="P68" s="123">
        <v>10</v>
      </c>
      <c r="Q68" s="124">
        <v>10</v>
      </c>
      <c r="R68" s="124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125</v>
      </c>
      <c r="E69" s="106" t="s">
        <v>126</v>
      </c>
      <c r="F69" s="170" t="s">
        <v>106</v>
      </c>
      <c r="G69" s="72" t="s">
        <v>188</v>
      </c>
      <c r="H69" s="77">
        <v>8</v>
      </c>
      <c r="I69" s="75">
        <v>4</v>
      </c>
      <c r="J69" s="75">
        <v>4</v>
      </c>
      <c r="K69" s="75">
        <v>4</v>
      </c>
      <c r="L69" s="75">
        <v>4</v>
      </c>
      <c r="M69" s="97">
        <f>2756+1240.2</f>
        <v>3996.2</v>
      </c>
      <c r="N69" s="97">
        <v>2756</v>
      </c>
      <c r="O69" s="93">
        <f t="shared" si="1"/>
        <v>1240.1999999999998</v>
      </c>
      <c r="P69" s="123"/>
      <c r="Q69" s="124"/>
      <c r="R69" s="124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8</v>
      </c>
      <c r="I70" s="75">
        <v>4</v>
      </c>
      <c r="J70" s="75">
        <v>4</v>
      </c>
      <c r="K70" s="75">
        <v>4</v>
      </c>
      <c r="L70" s="75">
        <v>4</v>
      </c>
      <c r="M70" s="97">
        <f>2039.44+3242.32</f>
        <v>5281.76</v>
      </c>
      <c r="N70" s="97">
        <v>2039.44</v>
      </c>
      <c r="O70" s="93">
        <f t="shared" si="1"/>
        <v>3242.32</v>
      </c>
      <c r="P70" s="123">
        <v>5</v>
      </c>
      <c r="Q70" s="124">
        <v>5</v>
      </c>
      <c r="R70" s="124">
        <v>5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18</v>
      </c>
      <c r="I71" s="75">
        <v>13</v>
      </c>
      <c r="J71" s="75">
        <v>14</v>
      </c>
      <c r="K71" s="75">
        <v>9</v>
      </c>
      <c r="L71" s="75">
        <v>9</v>
      </c>
      <c r="M71" s="97">
        <f>2383.53+3781.9</f>
        <v>6165.43</v>
      </c>
      <c r="N71" s="97">
        <v>2383.5300000000002</v>
      </c>
      <c r="O71" s="93">
        <f t="shared" si="1"/>
        <v>3781.9</v>
      </c>
      <c r="P71" s="123">
        <v>22</v>
      </c>
      <c r="Q71" s="124">
        <v>22</v>
      </c>
      <c r="R71" s="124">
        <v>22</v>
      </c>
      <c r="S71" s="97">
        <v>52337.46</v>
      </c>
      <c r="T71" s="97">
        <v>52337.46</v>
      </c>
      <c r="U71" s="97">
        <f t="shared" si="2"/>
        <v>0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11</v>
      </c>
      <c r="I72" s="75">
        <v>3</v>
      </c>
      <c r="J72" s="75">
        <v>4</v>
      </c>
      <c r="K72" s="75">
        <v>4</v>
      </c>
      <c r="L72" s="75">
        <v>4</v>
      </c>
      <c r="M72" s="97">
        <v>4703.53</v>
      </c>
      <c r="N72" s="97">
        <v>4703.53</v>
      </c>
      <c r="O72" s="93">
        <f t="shared" si="1"/>
        <v>0</v>
      </c>
      <c r="P72" s="123">
        <v>7</v>
      </c>
      <c r="Q72" s="12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15</v>
      </c>
      <c r="I73" s="75">
        <v>6</v>
      </c>
      <c r="J73" s="75">
        <v>6</v>
      </c>
      <c r="K73" s="75">
        <v>6</v>
      </c>
      <c r="L73" s="75">
        <v>6</v>
      </c>
      <c r="M73" s="97">
        <f>2095.52+746.9</f>
        <v>2842.42</v>
      </c>
      <c r="N73" s="97">
        <f>2095.52+746.9</f>
        <v>2842.42</v>
      </c>
      <c r="O73" s="93">
        <f t="shared" si="1"/>
        <v>0</v>
      </c>
      <c r="P73" s="123">
        <v>5</v>
      </c>
      <c r="Q73" s="124">
        <v>5</v>
      </c>
      <c r="R73" s="124">
        <v>5</v>
      </c>
      <c r="S73" s="97">
        <f>1821.06+4580.19</f>
        <v>6401.25</v>
      </c>
      <c r="T73" s="97">
        <f>1821.06+4580.19</f>
        <v>6401.25</v>
      </c>
      <c r="U73" s="97">
        <f t="shared" si="2"/>
        <v>0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75"/>
      <c r="J74" s="75"/>
      <c r="K74" s="75"/>
      <c r="L74" s="75"/>
      <c r="M74" s="97"/>
      <c r="N74" s="97"/>
      <c r="O74" s="93">
        <f t="shared" si="1"/>
        <v>0</v>
      </c>
      <c r="P74" s="123">
        <v>1</v>
      </c>
      <c r="Q74" s="12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7</v>
      </c>
      <c r="I75" s="75">
        <v>3</v>
      </c>
      <c r="J75" s="75">
        <v>3</v>
      </c>
      <c r="K75" s="75">
        <v>3</v>
      </c>
      <c r="L75" s="75">
        <v>3</v>
      </c>
      <c r="M75" s="97">
        <f>275.6+741.36+14287.26</f>
        <v>15304.220000000001</v>
      </c>
      <c r="N75" s="97">
        <f>275.6+741.36</f>
        <v>1016.96</v>
      </c>
      <c r="O75" s="93">
        <f t="shared" ref="O75:O104" si="4" xml:space="preserve"> (M75-N75)</f>
        <v>14287.260000000002</v>
      </c>
      <c r="P75" s="123">
        <v>3</v>
      </c>
      <c r="Q75" s="124">
        <v>3</v>
      </c>
      <c r="R75" s="124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22</v>
      </c>
      <c r="I76" s="75">
        <v>16</v>
      </c>
      <c r="J76" s="75">
        <v>21</v>
      </c>
      <c r="K76" s="75">
        <v>21</v>
      </c>
      <c r="L76" s="75">
        <v>19</v>
      </c>
      <c r="M76" s="97">
        <f>11803.63+1320.23+3132.15</f>
        <v>16256.009999999998</v>
      </c>
      <c r="N76" s="97">
        <f>11803.63+1320.23</f>
        <v>13123.859999999999</v>
      </c>
      <c r="O76" s="93">
        <f t="shared" si="4"/>
        <v>3132.1499999999996</v>
      </c>
      <c r="P76" s="123">
        <v>5</v>
      </c>
      <c r="Q76" s="124">
        <v>5</v>
      </c>
      <c r="R76" s="124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19</v>
      </c>
      <c r="I77" s="75">
        <v>9</v>
      </c>
      <c r="J77" s="75">
        <v>9</v>
      </c>
      <c r="K77" s="75">
        <v>9</v>
      </c>
      <c r="L77" s="75">
        <v>9</v>
      </c>
      <c r="M77" s="97">
        <f>4234.67+4498.63+1428.26</f>
        <v>10161.56</v>
      </c>
      <c r="N77" s="97">
        <v>4234.67</v>
      </c>
      <c r="O77" s="93">
        <f t="shared" si="4"/>
        <v>5926.8899999999994</v>
      </c>
      <c r="P77" s="123"/>
      <c r="Q77" s="124"/>
      <c r="R77" s="124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80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75"/>
      <c r="J78" s="75"/>
      <c r="K78" s="75"/>
      <c r="L78" s="75"/>
      <c r="M78" s="97"/>
      <c r="N78" s="97"/>
      <c r="O78" s="93">
        <f t="shared" si="4"/>
        <v>0</v>
      </c>
      <c r="P78" s="123">
        <v>8</v>
      </c>
      <c r="Q78" s="12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16</v>
      </c>
      <c r="I79" s="75">
        <v>12</v>
      </c>
      <c r="J79" s="75">
        <v>16</v>
      </c>
      <c r="K79" s="75">
        <v>16</v>
      </c>
      <c r="L79" s="75">
        <v>16</v>
      </c>
      <c r="M79" s="97">
        <f>8913.81+7027.61+1244.33+15395.91</f>
        <v>32581.66</v>
      </c>
      <c r="N79" s="97">
        <f>8913.81+7027.61</f>
        <v>15941.419999999998</v>
      </c>
      <c r="O79" s="93">
        <f t="shared" si="4"/>
        <v>16640.240000000002</v>
      </c>
      <c r="P79" s="123">
        <v>4</v>
      </c>
      <c r="Q79" s="124">
        <v>4</v>
      </c>
      <c r="R79" s="124">
        <v>4</v>
      </c>
      <c r="S79" s="97">
        <f>275.6+4163.58</f>
        <v>4439.18</v>
      </c>
      <c r="T79" s="97">
        <v>275.60000000000002</v>
      </c>
      <c r="U79" s="97">
        <f t="shared" si="5"/>
        <v>4163.58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17</v>
      </c>
      <c r="I80" s="75">
        <v>11</v>
      </c>
      <c r="J80" s="75">
        <v>14</v>
      </c>
      <c r="K80" s="75">
        <v>14</v>
      </c>
      <c r="L80" s="75">
        <v>14</v>
      </c>
      <c r="M80" s="97">
        <f>14959.64+7384.39</f>
        <v>22344.03</v>
      </c>
      <c r="N80" s="97">
        <f>14959.64+7384.39</f>
        <v>22344.03</v>
      </c>
      <c r="O80" s="93">
        <f t="shared" si="4"/>
        <v>0</v>
      </c>
      <c r="P80" s="123">
        <v>8</v>
      </c>
      <c r="Q80" s="124">
        <v>8</v>
      </c>
      <c r="R80" s="124">
        <v>8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2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3</v>
      </c>
      <c r="I81" s="75"/>
      <c r="J81" s="75"/>
      <c r="K81" s="75"/>
      <c r="L81" s="75"/>
      <c r="M81" s="97"/>
      <c r="N81" s="97"/>
      <c r="O81" s="93">
        <f t="shared" si="4"/>
        <v>0</v>
      </c>
      <c r="P81" s="123"/>
      <c r="Q81" s="124"/>
      <c r="R81" s="124"/>
      <c r="S81" s="97"/>
      <c r="T81" s="97"/>
      <c r="U81" s="97">
        <f t="shared" si="5"/>
        <v>0</v>
      </c>
      <c r="V81" s="161"/>
    </row>
    <row r="82" spans="1:2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17</v>
      </c>
      <c r="I82" s="75">
        <v>11</v>
      </c>
      <c r="J82" s="75">
        <v>12</v>
      </c>
      <c r="K82" s="75">
        <v>12</v>
      </c>
      <c r="L82" s="75">
        <v>12</v>
      </c>
      <c r="M82" s="97">
        <f>2626.75+8084.46+600.05</f>
        <v>11311.259999999998</v>
      </c>
      <c r="N82" s="97">
        <f>2626.75+8084.46</f>
        <v>10711.21</v>
      </c>
      <c r="O82" s="93">
        <f t="shared" si="4"/>
        <v>600.04999999999927</v>
      </c>
      <c r="P82" s="123">
        <v>9</v>
      </c>
      <c r="Q82" s="124">
        <v>9</v>
      </c>
      <c r="R82" s="124">
        <v>9</v>
      </c>
      <c r="S82" s="97">
        <f>15935.59+881.06+1714.6+1015.59</f>
        <v>19546.84</v>
      </c>
      <c r="T82" s="97">
        <f>15935.59+881.06+1714.6</f>
        <v>18531.25</v>
      </c>
      <c r="U82" s="97">
        <f t="shared" si="5"/>
        <v>1015.5900000000001</v>
      </c>
      <c r="V82" s="161"/>
    </row>
    <row r="83" spans="1:2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15</v>
      </c>
      <c r="I83" s="75">
        <v>11</v>
      </c>
      <c r="J83" s="75">
        <v>19</v>
      </c>
      <c r="K83" s="75">
        <v>19</v>
      </c>
      <c r="L83" s="75">
        <v>19</v>
      </c>
      <c r="M83" s="97">
        <f>11232.31+3440.1+14435.12-1360.99</f>
        <v>27746.539999999997</v>
      </c>
      <c r="N83" s="97">
        <f>11232.31+3440.1</f>
        <v>14672.41</v>
      </c>
      <c r="O83" s="93">
        <f t="shared" si="4"/>
        <v>13074.129999999997</v>
      </c>
      <c r="P83" s="123">
        <v>9</v>
      </c>
      <c r="Q83" s="124">
        <v>7</v>
      </c>
      <c r="R83" s="124">
        <v>7</v>
      </c>
      <c r="S83" s="97">
        <f>6465.89+3406.65+1360.99</f>
        <v>11233.53</v>
      </c>
      <c r="T83" s="97">
        <f>6465.89+3406.65</f>
        <v>9872.5400000000009</v>
      </c>
      <c r="U83" s="97">
        <f t="shared" si="5"/>
        <v>1360.9899999999998</v>
      </c>
      <c r="V83" s="161"/>
    </row>
    <row r="84" spans="1:2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16</v>
      </c>
      <c r="I84" s="75">
        <v>6</v>
      </c>
      <c r="J84" s="75">
        <v>9</v>
      </c>
      <c r="K84" s="75">
        <v>9</v>
      </c>
      <c r="L84" s="75">
        <v>9</v>
      </c>
      <c r="M84" s="97">
        <f>5429.56+2272.28+2029.9</f>
        <v>9731.74</v>
      </c>
      <c r="N84" s="97">
        <f>5429.56+2272.28</f>
        <v>7701.84</v>
      </c>
      <c r="O84" s="93">
        <f t="shared" si="4"/>
        <v>2029.8999999999996</v>
      </c>
      <c r="P84" s="123">
        <v>1</v>
      </c>
      <c r="Q84" s="12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2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26</v>
      </c>
      <c r="I85" s="75">
        <v>21</v>
      </c>
      <c r="J85" s="75">
        <v>39</v>
      </c>
      <c r="K85" s="75">
        <v>38</v>
      </c>
      <c r="L85" s="75">
        <v>32</v>
      </c>
      <c r="M85" s="97">
        <f>15506.09+4089.12+1924.78+1267.55</f>
        <v>22787.539999999997</v>
      </c>
      <c r="N85" s="97">
        <f>15506.09+4089.12</f>
        <v>19595.21</v>
      </c>
      <c r="O85" s="93">
        <f t="shared" si="4"/>
        <v>3192.3299999999981</v>
      </c>
      <c r="P85" s="123">
        <v>6</v>
      </c>
      <c r="Q85" s="12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2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10</v>
      </c>
      <c r="I86" s="75">
        <v>4</v>
      </c>
      <c r="J86" s="75">
        <v>4</v>
      </c>
      <c r="K86" s="75">
        <v>4</v>
      </c>
      <c r="L86" s="75">
        <v>4</v>
      </c>
      <c r="M86" s="97">
        <v>1956.76</v>
      </c>
      <c r="N86" s="97">
        <v>1956.76</v>
      </c>
      <c r="O86" s="93">
        <f t="shared" si="4"/>
        <v>0</v>
      </c>
      <c r="P86" s="123">
        <v>2</v>
      </c>
      <c r="Q86" s="12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22" ht="20.100000000000001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7</v>
      </c>
      <c r="I87" s="75">
        <v>5</v>
      </c>
      <c r="J87" s="75">
        <v>6</v>
      </c>
      <c r="K87" s="75">
        <v>6</v>
      </c>
      <c r="L87" s="75">
        <v>6</v>
      </c>
      <c r="M87" s="97">
        <f>795.8+4099.92+1305</f>
        <v>6200.72</v>
      </c>
      <c r="N87" s="97">
        <f>795.8+4099.92</f>
        <v>4895.72</v>
      </c>
      <c r="O87" s="93">
        <f t="shared" si="4"/>
        <v>1305</v>
      </c>
      <c r="P87" s="123">
        <v>5</v>
      </c>
      <c r="Q87" s="124">
        <v>4</v>
      </c>
      <c r="R87" s="124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  <c r="V87" s="161"/>
    </row>
    <row r="88" spans="1:2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75"/>
      <c r="J88" s="75"/>
      <c r="K88" s="75"/>
      <c r="L88" s="75"/>
      <c r="M88" s="97"/>
      <c r="N88" s="97"/>
      <c r="O88" s="93">
        <f t="shared" si="4"/>
        <v>0</v>
      </c>
      <c r="P88" s="123">
        <v>6</v>
      </c>
      <c r="Q88" s="12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2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9</v>
      </c>
      <c r="I89" s="75">
        <v>4</v>
      </c>
      <c r="J89" s="75">
        <v>5</v>
      </c>
      <c r="K89" s="75">
        <v>5</v>
      </c>
      <c r="L89" s="75">
        <v>5</v>
      </c>
      <c r="M89" s="97">
        <f>2874.33+1509.2</f>
        <v>4383.53</v>
      </c>
      <c r="N89" s="97">
        <v>2874.33</v>
      </c>
      <c r="O89" s="93">
        <f t="shared" si="4"/>
        <v>1509.1999999999998</v>
      </c>
      <c r="P89" s="123">
        <v>5</v>
      </c>
      <c r="Q89" s="124">
        <v>5</v>
      </c>
      <c r="R89" s="124">
        <v>5</v>
      </c>
      <c r="S89" s="97">
        <f>8161.92+1118.75+3779.58</f>
        <v>13060.25</v>
      </c>
      <c r="T89" s="97">
        <f>8161.92+1118.75</f>
        <v>9280.67</v>
      </c>
      <c r="U89" s="97">
        <f t="shared" si="5"/>
        <v>3779.58</v>
      </c>
      <c r="V89" s="161"/>
    </row>
    <row r="90" spans="1:2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35</v>
      </c>
      <c r="I90" s="75">
        <v>31</v>
      </c>
      <c r="J90" s="75">
        <v>55</v>
      </c>
      <c r="K90" s="75">
        <v>35</v>
      </c>
      <c r="L90" s="75">
        <v>35</v>
      </c>
      <c r="M90" s="97">
        <f>14303.46+6714.67+1828.05</f>
        <v>22846.179999999997</v>
      </c>
      <c r="N90" s="97">
        <f>14303.46+6714.67</f>
        <v>21018.129999999997</v>
      </c>
      <c r="O90" s="93">
        <f t="shared" si="4"/>
        <v>1828.0499999999993</v>
      </c>
      <c r="P90" s="123">
        <v>8</v>
      </c>
      <c r="Q90" s="124">
        <v>7</v>
      </c>
      <c r="R90" s="124">
        <v>7</v>
      </c>
      <c r="S90" s="97">
        <v>3130.8</v>
      </c>
      <c r="T90" s="97">
        <v>3130.8</v>
      </c>
      <c r="U90" s="97">
        <f t="shared" si="5"/>
        <v>0</v>
      </c>
      <c r="V90" s="161"/>
    </row>
    <row r="91" spans="1:2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16</v>
      </c>
      <c r="I91" s="75">
        <v>5</v>
      </c>
      <c r="J91" s="75">
        <v>10</v>
      </c>
      <c r="K91" s="75">
        <v>10</v>
      </c>
      <c r="L91" s="75">
        <v>10</v>
      </c>
      <c r="M91" s="97">
        <v>5384.83</v>
      </c>
      <c r="N91" s="97">
        <v>5384.83</v>
      </c>
      <c r="O91" s="93">
        <f t="shared" si="4"/>
        <v>0</v>
      </c>
      <c r="P91" s="123">
        <v>6</v>
      </c>
      <c r="Q91" s="124">
        <v>6</v>
      </c>
      <c r="R91" s="124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  <c r="V91" s="161"/>
    </row>
    <row r="92" spans="1:2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16</v>
      </c>
      <c r="I92" s="75">
        <v>11</v>
      </c>
      <c r="J92" s="75">
        <v>14</v>
      </c>
      <c r="K92" s="75">
        <v>14</v>
      </c>
      <c r="L92" s="75">
        <v>14</v>
      </c>
      <c r="M92" s="97">
        <f>2301.54+4352.56+3555.69+1798.94</f>
        <v>12008.730000000001</v>
      </c>
      <c r="N92" s="97">
        <f>2301.54+4352.56+3555.69</f>
        <v>10209.790000000001</v>
      </c>
      <c r="O92" s="93">
        <f t="shared" si="4"/>
        <v>1798.9400000000005</v>
      </c>
      <c r="P92" s="123">
        <v>1</v>
      </c>
      <c r="Q92" s="12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2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60</v>
      </c>
      <c r="I93" s="75">
        <v>23</v>
      </c>
      <c r="J93" s="75">
        <v>31</v>
      </c>
      <c r="K93" s="75">
        <v>31</v>
      </c>
      <c r="L93" s="75">
        <v>28</v>
      </c>
      <c r="M93" s="97">
        <f>14656.12+3543.47</f>
        <v>18199.59</v>
      </c>
      <c r="N93" s="97">
        <v>14656.12</v>
      </c>
      <c r="O93" s="93">
        <f t="shared" si="4"/>
        <v>3543.4699999999993</v>
      </c>
      <c r="P93" s="123">
        <v>9</v>
      </c>
      <c r="Q93" s="124">
        <v>9</v>
      </c>
      <c r="R93" s="124">
        <v>8</v>
      </c>
      <c r="S93" s="97">
        <v>11083.64</v>
      </c>
      <c r="T93" s="97">
        <v>11083.64</v>
      </c>
      <c r="U93" s="97">
        <f t="shared" si="5"/>
        <v>0</v>
      </c>
      <c r="V93" s="161"/>
    </row>
    <row r="94" spans="1:22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29</v>
      </c>
      <c r="I94" s="75">
        <v>12</v>
      </c>
      <c r="J94" s="75">
        <v>13</v>
      </c>
      <c r="K94" s="75">
        <v>12</v>
      </c>
      <c r="L94" s="75">
        <v>12</v>
      </c>
      <c r="M94" s="97">
        <f>6576.32+217.5+2898.52</f>
        <v>9692.34</v>
      </c>
      <c r="N94" s="97">
        <f>6576.32+217.5</f>
        <v>6793.82</v>
      </c>
      <c r="O94" s="93">
        <f t="shared" si="4"/>
        <v>2898.5200000000004</v>
      </c>
      <c r="P94" s="123">
        <v>23</v>
      </c>
      <c r="Q94" s="124">
        <v>23</v>
      </c>
      <c r="R94" s="124">
        <v>21</v>
      </c>
      <c r="S94" s="97">
        <f>18253.04+4245.2+858.65</f>
        <v>23356.890000000003</v>
      </c>
      <c r="T94" s="97">
        <f>18253.04+4245.2</f>
        <v>22498.240000000002</v>
      </c>
      <c r="U94" s="97">
        <f t="shared" si="5"/>
        <v>858.65000000000146</v>
      </c>
      <c r="V94" s="161"/>
    </row>
    <row r="95" spans="1:2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23</v>
      </c>
      <c r="I95" s="75">
        <v>12</v>
      </c>
      <c r="J95" s="75">
        <v>13</v>
      </c>
      <c r="K95" s="75">
        <v>13</v>
      </c>
      <c r="L95" s="75">
        <v>13</v>
      </c>
      <c r="M95" s="97">
        <f>2362.32+22110.36+455.21+2039.58</f>
        <v>26967.47</v>
      </c>
      <c r="N95" s="97">
        <f>2362.32+22110.36+455.21</f>
        <v>24927.89</v>
      </c>
      <c r="O95" s="93">
        <f t="shared" si="4"/>
        <v>2039.5800000000017</v>
      </c>
      <c r="P95" s="123">
        <v>15</v>
      </c>
      <c r="Q95" s="124">
        <v>15</v>
      </c>
      <c r="R95" s="124">
        <v>15</v>
      </c>
      <c r="S95" s="97">
        <f>24552.24+1001.28+122.46</f>
        <v>25675.98</v>
      </c>
      <c r="T95" s="97">
        <f>24552.24+1001.28+122.46</f>
        <v>25675.98</v>
      </c>
      <c r="U95" s="97">
        <f t="shared" si="5"/>
        <v>0</v>
      </c>
      <c r="V95" s="161"/>
    </row>
    <row r="96" spans="1:2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9</v>
      </c>
      <c r="I96" s="75">
        <v>6</v>
      </c>
      <c r="J96" s="75">
        <v>7</v>
      </c>
      <c r="K96" s="75">
        <v>7</v>
      </c>
      <c r="L96" s="75">
        <v>7</v>
      </c>
      <c r="M96" s="97">
        <f>826.8+2786.41</f>
        <v>3613.21</v>
      </c>
      <c r="N96" s="97">
        <v>826.8</v>
      </c>
      <c r="O96" s="93">
        <f t="shared" si="4"/>
        <v>2786.41</v>
      </c>
      <c r="P96" s="123"/>
      <c r="Q96" s="124"/>
      <c r="R96" s="124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11</v>
      </c>
      <c r="I97" s="75">
        <v>6</v>
      </c>
      <c r="J97" s="75">
        <v>7</v>
      </c>
      <c r="K97" s="75">
        <v>7</v>
      </c>
      <c r="L97" s="75">
        <v>7</v>
      </c>
      <c r="M97" s="97">
        <f>3171.93+1457.25</f>
        <v>4629.18</v>
      </c>
      <c r="N97" s="97">
        <v>3171.93</v>
      </c>
      <c r="O97" s="93">
        <f t="shared" si="4"/>
        <v>1457.2500000000005</v>
      </c>
      <c r="P97" s="123">
        <v>4</v>
      </c>
      <c r="Q97" s="12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13</v>
      </c>
      <c r="I98" s="75">
        <v>4</v>
      </c>
      <c r="J98" s="75">
        <v>6</v>
      </c>
      <c r="K98" s="75">
        <v>6</v>
      </c>
      <c r="L98" s="75">
        <v>6</v>
      </c>
      <c r="M98" s="97">
        <f>757.9+551.2+895.7+290</f>
        <v>2494.8000000000002</v>
      </c>
      <c r="N98" s="97">
        <f>757.9+551.2</f>
        <v>1309.0999999999999</v>
      </c>
      <c r="O98" s="93">
        <f t="shared" si="4"/>
        <v>1185.7000000000003</v>
      </c>
      <c r="P98" s="123">
        <v>8</v>
      </c>
      <c r="Q98" s="124">
        <v>8</v>
      </c>
      <c r="R98" s="124">
        <v>8</v>
      </c>
      <c r="S98" s="97">
        <v>8034.56</v>
      </c>
      <c r="T98" s="97">
        <v>8034.56</v>
      </c>
      <c r="U98" s="97">
        <f t="shared" si="5"/>
        <v>0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22</v>
      </c>
      <c r="I99" s="75">
        <v>8</v>
      </c>
      <c r="J99" s="75">
        <v>11</v>
      </c>
      <c r="K99" s="75">
        <v>11</v>
      </c>
      <c r="L99" s="75">
        <v>11</v>
      </c>
      <c r="M99" s="97">
        <f>4782.23+1353.89+2195.41+1197.7</f>
        <v>9529.23</v>
      </c>
      <c r="N99" s="97">
        <f>4782.23+1353.89</f>
        <v>6136.12</v>
      </c>
      <c r="O99" s="93">
        <f t="shared" si="4"/>
        <v>3393.1099999999997</v>
      </c>
      <c r="P99" s="123">
        <v>11</v>
      </c>
      <c r="Q99" s="124">
        <v>11</v>
      </c>
      <c r="R99" s="124">
        <v>11</v>
      </c>
      <c r="S99" s="97">
        <f>12321.66+1021.27+487.2</f>
        <v>13830.130000000001</v>
      </c>
      <c r="T99" s="97">
        <v>12321.66</v>
      </c>
      <c r="U99" s="97">
        <f t="shared" si="5"/>
        <v>1508.4700000000012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17</v>
      </c>
      <c r="I100" s="75">
        <v>12</v>
      </c>
      <c r="J100" s="75">
        <v>17</v>
      </c>
      <c r="K100" s="75">
        <v>17</v>
      </c>
      <c r="L100" s="75">
        <v>17</v>
      </c>
      <c r="M100" s="97">
        <f>10862.96+2375.03+5632.11</f>
        <v>18870.099999999999</v>
      </c>
      <c r="N100" s="97">
        <f>10862.96+2375.03</f>
        <v>13237.99</v>
      </c>
      <c r="O100" s="93">
        <f t="shared" si="4"/>
        <v>5632.1099999999988</v>
      </c>
      <c r="P100" s="123">
        <v>10</v>
      </c>
      <c r="Q100" s="124">
        <v>10</v>
      </c>
      <c r="R100" s="124">
        <v>10</v>
      </c>
      <c r="S100" s="97">
        <v>4780.1000000000004</v>
      </c>
      <c r="T100" s="97">
        <v>4780.1000000000004</v>
      </c>
      <c r="U100" s="97">
        <f t="shared" si="5"/>
        <v>0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50</v>
      </c>
      <c r="I101" s="75">
        <v>27</v>
      </c>
      <c r="J101" s="75">
        <v>30</v>
      </c>
      <c r="K101" s="75">
        <v>30</v>
      </c>
      <c r="L101" s="75">
        <v>28</v>
      </c>
      <c r="M101" s="97">
        <f>16276.16+4466.66+1078.5+4011.53</f>
        <v>25832.85</v>
      </c>
      <c r="N101" s="97">
        <f>16276.16+4466.66+1078.5</f>
        <v>21821.32</v>
      </c>
      <c r="O101" s="93">
        <f t="shared" si="4"/>
        <v>4011.5299999999988</v>
      </c>
      <c r="P101" s="123">
        <v>27</v>
      </c>
      <c r="Q101" s="124">
        <v>27</v>
      </c>
      <c r="R101" s="124">
        <v>24</v>
      </c>
      <c r="S101" s="97">
        <f>21329.45-2252.12+532.3+345.99</f>
        <v>19955.620000000003</v>
      </c>
      <c r="T101" s="97">
        <f>21329.45-2252.12+532.3</f>
        <v>19609.63</v>
      </c>
      <c r="U101" s="97">
        <f t="shared" si="5"/>
        <v>345.9900000000016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8</v>
      </c>
      <c r="I102" s="114">
        <v>5</v>
      </c>
      <c r="J102" s="114">
        <v>8</v>
      </c>
      <c r="K102" s="114">
        <v>8</v>
      </c>
      <c r="L102" s="114">
        <v>5</v>
      </c>
      <c r="M102" s="147">
        <v>3259.83</v>
      </c>
      <c r="N102" s="147">
        <v>3259.83</v>
      </c>
      <c r="O102" s="93">
        <f t="shared" si="4"/>
        <v>0</v>
      </c>
      <c r="P102" s="149">
        <v>3</v>
      </c>
      <c r="Q102" s="150">
        <v>3</v>
      </c>
      <c r="R102" s="150">
        <v>3</v>
      </c>
      <c r="S102" s="147">
        <v>1193.3</v>
      </c>
      <c r="T102" s="147">
        <v>1193.3</v>
      </c>
      <c r="U102" s="147">
        <f t="shared" si="5"/>
        <v>0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10</v>
      </c>
      <c r="I103" s="75">
        <v>3</v>
      </c>
      <c r="J103" s="75">
        <v>3</v>
      </c>
      <c r="K103" s="75">
        <v>3</v>
      </c>
      <c r="L103" s="75">
        <v>3</v>
      </c>
      <c r="M103" s="97">
        <f>699.33+580</f>
        <v>1279.33</v>
      </c>
      <c r="N103" s="97"/>
      <c r="O103" s="93">
        <f t="shared" si="4"/>
        <v>1279.33</v>
      </c>
      <c r="P103" s="124"/>
      <c r="Q103" s="124"/>
      <c r="R103" s="124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75">
        <v>2</v>
      </c>
      <c r="L104" s="75">
        <v>2</v>
      </c>
      <c r="M104" s="97">
        <v>2252.12</v>
      </c>
      <c r="N104" s="97">
        <v>2252.12</v>
      </c>
      <c r="O104" s="93">
        <f t="shared" si="4"/>
        <v>0</v>
      </c>
      <c r="P104" s="124"/>
      <c r="Q104" s="124"/>
      <c r="R104" s="124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1586</v>
      </c>
      <c r="I105" s="119">
        <f t="shared" si="7"/>
        <v>907</v>
      </c>
      <c r="J105" s="119">
        <f t="shared" si="7"/>
        <v>1214</v>
      </c>
      <c r="K105" s="119">
        <f t="shared" si="7"/>
        <v>1173</v>
      </c>
      <c r="L105" s="119">
        <f t="shared" si="7"/>
        <v>1139</v>
      </c>
      <c r="M105" s="151">
        <f t="shared" si="7"/>
        <v>964298.10000000021</v>
      </c>
      <c r="N105" s="151">
        <f t="shared" si="7"/>
        <v>707370.79999999993</v>
      </c>
      <c r="O105" s="151">
        <f t="shared" si="7"/>
        <v>256927.29999999996</v>
      </c>
      <c r="P105" s="152">
        <f t="shared" si="7"/>
        <v>674</v>
      </c>
      <c r="Q105" s="152">
        <f>SUM(Q10:Q104)</f>
        <v>663</v>
      </c>
      <c r="R105" s="152">
        <f>SUM(R11:R104)</f>
        <v>649</v>
      </c>
      <c r="S105" s="151">
        <f>SUM(S10:S104)</f>
        <v>848654.09000000008</v>
      </c>
      <c r="T105" s="151">
        <f>SUM(T10:T104)</f>
        <v>793282.83000000031</v>
      </c>
      <c r="U105" s="151">
        <f>SUM(U10:U104)</f>
        <v>55371.259999999995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62">
        <f>M105+S105</f>
        <v>1812952.1900000004</v>
      </c>
      <c r="AG105" s="162">
        <f>N105+T105</f>
        <v>1500653.6300000004</v>
      </c>
      <c r="AH105" s="162">
        <f>O105+U105</f>
        <v>312298.55999999994</v>
      </c>
    </row>
    <row r="106" spans="1:35" x14ac:dyDescent="0.25"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3"/>
      <c r="AG106" s="163"/>
      <c r="AH106" s="163"/>
    </row>
    <row r="107" spans="1:35" x14ac:dyDescent="0.25">
      <c r="V107" s="145"/>
      <c r="W107" s="145"/>
      <c r="AF107" s="162"/>
      <c r="AG107" s="162"/>
      <c r="AH107" s="162"/>
      <c r="AI107" s="145"/>
    </row>
    <row r="108" spans="1:35" x14ac:dyDescent="0.25">
      <c r="AF108" s="162">
        <f>1812952.19-AF105</f>
        <v>0</v>
      </c>
      <c r="AG108" s="163"/>
      <c r="AH108" s="163"/>
    </row>
    <row r="109" spans="1:35" x14ac:dyDescent="0.25">
      <c r="AF109" s="163"/>
      <c r="AG109" s="163"/>
      <c r="AH109" s="163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377" priority="9" stopIfTrue="1" operator="equal">
      <formula>0</formula>
    </cfRule>
  </conditionalFormatting>
  <conditionalFormatting sqref="AL45">
    <cfRule type="cellIs" dxfId="376" priority="8" stopIfTrue="1" operator="equal">
      <formula>0</formula>
    </cfRule>
  </conditionalFormatting>
  <conditionalFormatting sqref="T45">
    <cfRule type="cellIs" dxfId="375" priority="7" stopIfTrue="1" operator="equal">
      <formula>0</formula>
    </cfRule>
  </conditionalFormatting>
  <conditionalFormatting sqref="T45">
    <cfRule type="cellIs" dxfId="374" priority="6" stopIfTrue="1" operator="equal">
      <formula>0</formula>
    </cfRule>
  </conditionalFormatting>
  <conditionalFormatting sqref="T45">
    <cfRule type="cellIs" dxfId="373" priority="5" stopIfTrue="1" operator="equal">
      <formula>0</formula>
    </cfRule>
  </conditionalFormatting>
  <conditionalFormatting sqref="T45">
    <cfRule type="cellIs" dxfId="372" priority="4" stopIfTrue="1" operator="equal">
      <formula>0</formula>
    </cfRule>
  </conditionalFormatting>
  <conditionalFormatting sqref="T45">
    <cfRule type="cellIs" dxfId="371" priority="3" stopIfTrue="1" operator="equal">
      <formula>0</formula>
    </cfRule>
  </conditionalFormatting>
  <conditionalFormatting sqref="T45">
    <cfRule type="cellIs" dxfId="370" priority="2" stopIfTrue="1" operator="equal">
      <formula>0</formula>
    </cfRule>
  </conditionalFormatting>
  <conditionalFormatting sqref="T45">
    <cfRule type="cellIs" dxfId="369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9"/>
  <sheetViews>
    <sheetView topLeftCell="B1" zoomScale="80" zoomScaleNormal="80" workbookViewId="0">
      <selection activeCell="O8" sqref="O8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4.42578125" style="184" customWidth="1"/>
    <col min="4" max="4" width="9.140625" style="184" customWidth="1"/>
    <col min="5" max="5" width="14.5703125" style="184" customWidth="1"/>
    <col min="6" max="6" width="25.140625" style="184" customWidth="1"/>
    <col min="7" max="7" width="20.42578125" style="184" customWidth="1"/>
    <col min="8" max="12" width="9.140625" style="184" customWidth="1"/>
    <col min="13" max="13" width="12" style="185" customWidth="1"/>
    <col min="14" max="14" width="12.42578125" style="185" customWidth="1"/>
    <col min="15" max="15" width="12.28515625" style="185" customWidth="1"/>
    <col min="16" max="18" width="9.140625" style="185" customWidth="1"/>
    <col min="19" max="19" width="16.85546875" style="185" customWidth="1"/>
    <col min="20" max="20" width="10.7109375" style="185" customWidth="1"/>
    <col min="21" max="21" width="10.7109375" style="186" customWidth="1"/>
    <col min="22" max="22" width="15" style="134" customWidth="1"/>
    <col min="23" max="23" width="9.5703125" style="134" hidden="1" customWidth="1"/>
    <col min="24" max="24" width="0" style="134" hidden="1" customWidth="1"/>
    <col min="25" max="25" width="9.5703125" style="134" hidden="1" customWidth="1"/>
    <col min="26" max="26" width="0" style="134" hidden="1" customWidth="1"/>
    <col min="27" max="27" width="9.5703125" style="134" hidden="1" customWidth="1"/>
    <col min="28" max="30" width="0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0.28515625" style="134" bestFit="1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289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290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187" t="s">
        <v>12</v>
      </c>
      <c r="L8" s="63" t="s">
        <v>13</v>
      </c>
      <c r="M8" s="94" t="s">
        <v>14</v>
      </c>
      <c r="N8" s="94" t="s">
        <v>15</v>
      </c>
      <c r="O8" s="95" t="s">
        <v>16</v>
      </c>
      <c r="P8" s="96" t="s">
        <v>11</v>
      </c>
      <c r="Q8" s="192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188">
        <f t="shared" si="0"/>
        <v>10</v>
      </c>
      <c r="L9" s="68">
        <f t="shared" si="0"/>
        <v>11</v>
      </c>
      <c r="M9" s="122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93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33</v>
      </c>
      <c r="I10" s="75">
        <v>20</v>
      </c>
      <c r="J10" s="75">
        <v>23</v>
      </c>
      <c r="K10" s="189">
        <v>23</v>
      </c>
      <c r="L10" s="75">
        <v>17</v>
      </c>
      <c r="M10" s="97">
        <f>8818.63+2629.32+1661.28</f>
        <v>13109.23</v>
      </c>
      <c r="N10" s="97">
        <f>8818.63+2629.32+1661.28</f>
        <v>13109.23</v>
      </c>
      <c r="O10" s="93">
        <f xml:space="preserve"> (M10-N10)</f>
        <v>0</v>
      </c>
      <c r="P10" s="123">
        <v>8</v>
      </c>
      <c r="Q10" s="194">
        <v>8</v>
      </c>
      <c r="R10" s="124">
        <v>7</v>
      </c>
      <c r="S10" s="97">
        <f>4246.75+895.7</f>
        <v>5142.45</v>
      </c>
      <c r="T10" s="97">
        <f>4246.75+895.7</f>
        <v>5142.45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11</v>
      </c>
      <c r="I11" s="75">
        <v>9</v>
      </c>
      <c r="J11" s="75">
        <v>9</v>
      </c>
      <c r="K11" s="189">
        <v>9</v>
      </c>
      <c r="L11" s="75">
        <v>9</v>
      </c>
      <c r="M11" s="97">
        <f>1778.86+580+1740</f>
        <v>4098.8599999999997</v>
      </c>
      <c r="N11" s="97">
        <f>1778.86+580+1740</f>
        <v>4098.8599999999997</v>
      </c>
      <c r="O11" s="93">
        <f t="shared" ref="O11:O74" si="1" xml:space="preserve"> (M11-N11)</f>
        <v>0</v>
      </c>
      <c r="P11" s="123">
        <v>2</v>
      </c>
      <c r="Q11" s="19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75"/>
      <c r="J12" s="75"/>
      <c r="K12" s="189"/>
      <c r="L12" s="75"/>
      <c r="M12" s="97"/>
      <c r="N12" s="97"/>
      <c r="O12" s="93">
        <f t="shared" si="1"/>
        <v>0</v>
      </c>
      <c r="P12" s="123">
        <v>3</v>
      </c>
      <c r="Q12" s="194">
        <v>3</v>
      </c>
      <c r="R12" s="124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19</v>
      </c>
      <c r="I13" s="75">
        <v>8</v>
      </c>
      <c r="J13" s="75">
        <v>11</v>
      </c>
      <c r="K13" s="189">
        <v>11</v>
      </c>
      <c r="L13" s="75">
        <v>11</v>
      </c>
      <c r="M13" s="97">
        <f>272.84+2699.54+4096.17</f>
        <v>7068.55</v>
      </c>
      <c r="N13" s="97">
        <f>272.84+2699.54+4096.17</f>
        <v>7068.55</v>
      </c>
      <c r="O13" s="93">
        <f t="shared" si="1"/>
        <v>0</v>
      </c>
      <c r="P13" s="123">
        <v>5</v>
      </c>
      <c r="Q13" s="194">
        <v>5</v>
      </c>
      <c r="R13" s="124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27</v>
      </c>
      <c r="I14" s="75">
        <v>18</v>
      </c>
      <c r="J14" s="75">
        <v>20</v>
      </c>
      <c r="K14" s="189">
        <v>19</v>
      </c>
      <c r="L14" s="75">
        <v>16</v>
      </c>
      <c r="M14" s="97">
        <f>4932.74+3257.04</f>
        <v>8189.78</v>
      </c>
      <c r="N14" s="97">
        <f>4932.74+3257.04</f>
        <v>8189.78</v>
      </c>
      <c r="O14" s="93">
        <f t="shared" si="1"/>
        <v>0</v>
      </c>
      <c r="P14" s="123">
        <v>6</v>
      </c>
      <c r="Q14" s="194">
        <v>6</v>
      </c>
      <c r="R14" s="124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22</v>
      </c>
      <c r="I15" s="75">
        <v>17</v>
      </c>
      <c r="J15" s="75">
        <v>23</v>
      </c>
      <c r="K15" s="189">
        <v>23</v>
      </c>
      <c r="L15" s="75">
        <v>23</v>
      </c>
      <c r="M15" s="97">
        <f>16942.87+1278.76</f>
        <v>18221.629999999997</v>
      </c>
      <c r="N15" s="97">
        <f>16942.87+1278.76</f>
        <v>18221.629999999997</v>
      </c>
      <c r="O15" s="93">
        <f t="shared" si="1"/>
        <v>0</v>
      </c>
      <c r="P15" s="123">
        <v>13</v>
      </c>
      <c r="Q15" s="194">
        <v>13</v>
      </c>
      <c r="R15" s="124">
        <v>13</v>
      </c>
      <c r="S15" s="97">
        <v>13813.9</v>
      </c>
      <c r="T15" s="97">
        <v>13813.9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75"/>
      <c r="J16" s="75"/>
      <c r="K16" s="189"/>
      <c r="L16" s="75"/>
      <c r="M16" s="97"/>
      <c r="N16" s="97"/>
      <c r="O16" s="93">
        <f t="shared" si="1"/>
        <v>0</v>
      </c>
      <c r="P16" s="123"/>
      <c r="Q16" s="194"/>
      <c r="R16" s="124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0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26</v>
      </c>
      <c r="I17" s="75">
        <v>11</v>
      </c>
      <c r="J17" s="75">
        <v>15</v>
      </c>
      <c r="K17" s="189">
        <v>14</v>
      </c>
      <c r="L17" s="75">
        <v>14</v>
      </c>
      <c r="M17" s="97">
        <f>7235.14+4416.12+1559.66</f>
        <v>13210.92</v>
      </c>
      <c r="N17" s="97">
        <f>7235.14+4416.12+1559.66</f>
        <v>13210.92</v>
      </c>
      <c r="O17" s="93">
        <f t="shared" si="1"/>
        <v>0</v>
      </c>
      <c r="P17" s="123">
        <v>1</v>
      </c>
      <c r="Q17" s="194">
        <v>1</v>
      </c>
      <c r="R17" s="124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0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23</v>
      </c>
      <c r="I18" s="75">
        <v>6</v>
      </c>
      <c r="J18" s="75">
        <v>6</v>
      </c>
      <c r="K18" s="189"/>
      <c r="L18" s="75"/>
      <c r="M18" s="97">
        <v>2118.92</v>
      </c>
      <c r="N18" s="97">
        <v>2118.92</v>
      </c>
      <c r="O18" s="93">
        <f t="shared" si="1"/>
        <v>0</v>
      </c>
      <c r="P18" s="123">
        <v>6</v>
      </c>
      <c r="Q18" s="194">
        <v>6</v>
      </c>
      <c r="R18" s="124">
        <v>5</v>
      </c>
      <c r="S18" s="97">
        <v>14748.55</v>
      </c>
      <c r="T18" s="97">
        <v>14748.55</v>
      </c>
      <c r="U18" s="97">
        <f t="shared" si="2"/>
        <v>0</v>
      </c>
      <c r="V18" s="161"/>
      <c r="W18" s="136"/>
      <c r="X18" s="137"/>
      <c r="Y18" s="14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</row>
    <row r="19" spans="1:40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21</v>
      </c>
      <c r="I19" s="75">
        <v>13</v>
      </c>
      <c r="J19" s="75">
        <v>24</v>
      </c>
      <c r="K19" s="189">
        <v>23</v>
      </c>
      <c r="L19" s="75">
        <v>19</v>
      </c>
      <c r="M19" s="97">
        <f>5345.36+3385.2+4242.79</f>
        <v>12973.349999999999</v>
      </c>
      <c r="N19" s="97">
        <f>5345.36+3385.2+4242.79</f>
        <v>12973.349999999999</v>
      </c>
      <c r="O19" s="93">
        <f t="shared" si="1"/>
        <v>0</v>
      </c>
      <c r="P19" s="123">
        <v>15</v>
      </c>
      <c r="Q19" s="194">
        <v>15</v>
      </c>
      <c r="R19" s="124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0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27</v>
      </c>
      <c r="I20" s="75">
        <v>13</v>
      </c>
      <c r="J20" s="75">
        <v>17</v>
      </c>
      <c r="K20" s="189">
        <v>16</v>
      </c>
      <c r="L20" s="75">
        <v>12</v>
      </c>
      <c r="M20" s="97">
        <f>5728.14+3727.02+315.94</f>
        <v>9771.1</v>
      </c>
      <c r="N20" s="97">
        <f>5728.14+3727.02+315.94</f>
        <v>9771.1</v>
      </c>
      <c r="O20" s="93">
        <f t="shared" si="1"/>
        <v>0</v>
      </c>
      <c r="P20" s="123">
        <v>25</v>
      </c>
      <c r="Q20" s="194">
        <v>24</v>
      </c>
      <c r="R20" s="124">
        <v>24</v>
      </c>
      <c r="S20" s="97">
        <f>36404.57+1488.24</f>
        <v>37892.81</v>
      </c>
      <c r="T20" s="97">
        <f>36404.57+1488.24</f>
        <v>37892.81</v>
      </c>
      <c r="U20" s="97">
        <f t="shared" si="2"/>
        <v>0</v>
      </c>
      <c r="V20" s="161"/>
      <c r="W20" s="136"/>
      <c r="X20" s="137"/>
      <c r="Y20" s="135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</row>
    <row r="21" spans="1:40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15</v>
      </c>
      <c r="I21" s="75">
        <v>7</v>
      </c>
      <c r="J21" s="75">
        <v>10</v>
      </c>
      <c r="K21" s="189">
        <v>10</v>
      </c>
      <c r="L21" s="75">
        <v>9</v>
      </c>
      <c r="M21" s="97">
        <f>3586.84+1791.4+1337.88</f>
        <v>6716.12</v>
      </c>
      <c r="N21" s="97">
        <f>3586.84+1791.4+1337.88</f>
        <v>6716.12</v>
      </c>
      <c r="O21" s="93">
        <f t="shared" si="1"/>
        <v>0</v>
      </c>
      <c r="P21" s="123">
        <v>6</v>
      </c>
      <c r="Q21" s="194">
        <v>6</v>
      </c>
      <c r="R21" s="124">
        <v>5</v>
      </c>
      <c r="S21" s="97">
        <f>7288.02+447.62</f>
        <v>7735.64</v>
      </c>
      <c r="T21" s="97">
        <f>7288.02+447.62</f>
        <v>7735.64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0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69</v>
      </c>
      <c r="I22" s="75">
        <v>32</v>
      </c>
      <c r="J22" s="75">
        <v>43</v>
      </c>
      <c r="K22" s="189">
        <v>34</v>
      </c>
      <c r="L22" s="75">
        <v>31</v>
      </c>
      <c r="M22" s="97">
        <f>19787.02+2513.73</f>
        <v>22300.75</v>
      </c>
      <c r="N22" s="97">
        <f>19787.02+2513.73</f>
        <v>22300.75</v>
      </c>
      <c r="O22" s="93">
        <f t="shared" si="1"/>
        <v>0</v>
      </c>
      <c r="P22" s="123">
        <v>20</v>
      </c>
      <c r="Q22" s="194">
        <v>20</v>
      </c>
      <c r="R22" s="124">
        <v>19</v>
      </c>
      <c r="S22" s="97">
        <v>24103.23</v>
      </c>
      <c r="T22" s="97">
        <v>24103.23</v>
      </c>
      <c r="U22" s="97">
        <f t="shared" si="2"/>
        <v>0</v>
      </c>
      <c r="V22" s="161"/>
      <c r="W22" s="136"/>
      <c r="X22" s="137"/>
      <c r="Y22" s="14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</row>
    <row r="23" spans="1:40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13</v>
      </c>
      <c r="I23" s="75">
        <v>8</v>
      </c>
      <c r="J23" s="75">
        <v>11</v>
      </c>
      <c r="K23" s="189">
        <v>9</v>
      </c>
      <c r="L23" s="75">
        <v>9</v>
      </c>
      <c r="M23" s="97">
        <f>5739.04+1828.05+1440.72</f>
        <v>9007.81</v>
      </c>
      <c r="N23" s="97">
        <f>5739.04+1828.05+1440.72</f>
        <v>9007.81</v>
      </c>
      <c r="O23" s="93">
        <f t="shared" si="1"/>
        <v>0</v>
      </c>
      <c r="P23" s="123">
        <v>11</v>
      </c>
      <c r="Q23" s="194">
        <v>11</v>
      </c>
      <c r="R23" s="124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0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14</v>
      </c>
      <c r="I24" s="75">
        <v>11</v>
      </c>
      <c r="J24" s="75">
        <v>15</v>
      </c>
      <c r="K24" s="189">
        <v>15</v>
      </c>
      <c r="L24" s="75">
        <v>15</v>
      </c>
      <c r="M24" s="97">
        <f>1515.11+3525.12</f>
        <v>5040.2299999999996</v>
      </c>
      <c r="N24" s="97">
        <f>1515.11+3525.12</f>
        <v>5040.2299999999996</v>
      </c>
      <c r="O24" s="93">
        <f t="shared" si="1"/>
        <v>0</v>
      </c>
      <c r="P24" s="123">
        <v>8</v>
      </c>
      <c r="Q24" s="194">
        <v>7</v>
      </c>
      <c r="R24" s="124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0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24</v>
      </c>
      <c r="I25" s="75">
        <v>9</v>
      </c>
      <c r="J25" s="75">
        <v>23</v>
      </c>
      <c r="K25" s="189">
        <v>23</v>
      </c>
      <c r="L25" s="75">
        <v>23</v>
      </c>
      <c r="M25" s="97">
        <f>9005.69+15068.32</f>
        <v>24074.010000000002</v>
      </c>
      <c r="N25" s="97">
        <f>9005.69+15068.32</f>
        <v>24074.010000000002</v>
      </c>
      <c r="O25" s="93">
        <f t="shared" si="1"/>
        <v>0</v>
      </c>
      <c r="P25" s="123">
        <v>21</v>
      </c>
      <c r="Q25" s="194">
        <v>20</v>
      </c>
      <c r="R25" s="124">
        <v>20</v>
      </c>
      <c r="S25" s="97">
        <v>24213.05</v>
      </c>
      <c r="T25" s="97">
        <v>24213.05</v>
      </c>
      <c r="U25" s="97">
        <f t="shared" si="2"/>
        <v>0</v>
      </c>
      <c r="V25" s="161"/>
      <c r="W25" s="136"/>
      <c r="X25" s="137"/>
      <c r="Y25" s="135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</row>
    <row r="26" spans="1:40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19</v>
      </c>
      <c r="I26" s="75">
        <v>8</v>
      </c>
      <c r="J26" s="75">
        <v>13</v>
      </c>
      <c r="K26" s="189">
        <v>13</v>
      </c>
      <c r="L26" s="75">
        <v>13</v>
      </c>
      <c r="M26" s="97">
        <f>3777.1+6399.51</f>
        <v>10176.61</v>
      </c>
      <c r="N26" s="97">
        <f>3777.1+6399.51</f>
        <v>10176.61</v>
      </c>
      <c r="O26" s="93">
        <f t="shared" si="1"/>
        <v>0</v>
      </c>
      <c r="P26" s="123">
        <v>10</v>
      </c>
      <c r="Q26" s="194">
        <v>10</v>
      </c>
      <c r="R26" s="124">
        <v>10</v>
      </c>
      <c r="S26" s="97">
        <v>3386.7</v>
      </c>
      <c r="T26" s="97">
        <v>3386.7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0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23</v>
      </c>
      <c r="I27" s="75">
        <v>13</v>
      </c>
      <c r="J27" s="75">
        <v>24</v>
      </c>
      <c r="K27" s="189">
        <v>24</v>
      </c>
      <c r="L27" s="75">
        <v>24</v>
      </c>
      <c r="M27" s="97">
        <f>6801.73+4254.18+3948.81</f>
        <v>15004.72</v>
      </c>
      <c r="N27" s="97">
        <f>6801.73+4254.18+3948.81</f>
        <v>15004.72</v>
      </c>
      <c r="O27" s="93">
        <f t="shared" si="1"/>
        <v>0</v>
      </c>
      <c r="P27" s="123">
        <v>14</v>
      </c>
      <c r="Q27" s="194">
        <v>14</v>
      </c>
      <c r="R27" s="124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0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75"/>
      <c r="J28" s="75"/>
      <c r="K28" s="189"/>
      <c r="L28" s="75"/>
      <c r="M28" s="97"/>
      <c r="N28" s="97"/>
      <c r="O28" s="93">
        <f t="shared" si="1"/>
        <v>0</v>
      </c>
      <c r="P28" s="123"/>
      <c r="Q28" s="194"/>
      <c r="R28" s="124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0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20</v>
      </c>
      <c r="I29" s="75">
        <v>18</v>
      </c>
      <c r="J29" s="75">
        <v>25</v>
      </c>
      <c r="K29" s="189">
        <v>25</v>
      </c>
      <c r="L29" s="75">
        <v>25</v>
      </c>
      <c r="M29" s="97">
        <f>7765.28+1107.91+3282.4+1320.23</f>
        <v>13475.82</v>
      </c>
      <c r="N29" s="97">
        <f>7765.28+1107.91+3282.4+1320.23</f>
        <v>13475.82</v>
      </c>
      <c r="O29" s="93">
        <f t="shared" si="1"/>
        <v>0</v>
      </c>
      <c r="P29" s="123">
        <v>14</v>
      </c>
      <c r="Q29" s="194">
        <v>14</v>
      </c>
      <c r="R29" s="124">
        <v>11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0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26</v>
      </c>
      <c r="I30" s="75">
        <v>25</v>
      </c>
      <c r="J30" s="75">
        <v>32</v>
      </c>
      <c r="K30" s="189">
        <v>23</v>
      </c>
      <c r="L30" s="75">
        <v>17</v>
      </c>
      <c r="M30" s="97">
        <f>5246.17+4965.96+1939.12</f>
        <v>12151.25</v>
      </c>
      <c r="N30" s="97">
        <f>5246.17+4965.96+1939.12</f>
        <v>12151.25</v>
      </c>
      <c r="O30" s="93">
        <f t="shared" si="1"/>
        <v>0</v>
      </c>
      <c r="P30" s="123">
        <v>22</v>
      </c>
      <c r="Q30" s="194">
        <v>22</v>
      </c>
      <c r="R30" s="124">
        <v>22</v>
      </c>
      <c r="S30" s="97">
        <f>39414.6+4786.67+1562.33+638.43</f>
        <v>46402.03</v>
      </c>
      <c r="T30" s="97">
        <f>39414.6+4786.67+1562.33+638.43</f>
        <v>46402.03</v>
      </c>
      <c r="U30" s="97">
        <f t="shared" si="2"/>
        <v>0</v>
      </c>
      <c r="V30" s="161"/>
      <c r="W30" s="136"/>
      <c r="X30" s="137"/>
      <c r="Y30" s="135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</row>
    <row r="31" spans="1:40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75">
        <v>1</v>
      </c>
      <c r="J31" s="75">
        <v>2</v>
      </c>
      <c r="K31" s="189">
        <v>2</v>
      </c>
      <c r="L31" s="75">
        <v>2</v>
      </c>
      <c r="M31" s="97">
        <v>859.25</v>
      </c>
      <c r="N31" s="97">
        <v>859.25</v>
      </c>
      <c r="O31" s="93">
        <f t="shared" si="1"/>
        <v>0</v>
      </c>
      <c r="P31" s="123">
        <v>2</v>
      </c>
      <c r="Q31" s="19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0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75"/>
      <c r="J32" s="75"/>
      <c r="K32" s="189"/>
      <c r="L32" s="75"/>
      <c r="M32" s="97"/>
      <c r="N32" s="97"/>
      <c r="O32" s="93">
        <f t="shared" si="1"/>
        <v>0</v>
      </c>
      <c r="P32" s="123"/>
      <c r="Q32" s="194"/>
      <c r="R32" s="124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11</v>
      </c>
      <c r="I33" s="75">
        <v>9</v>
      </c>
      <c r="J33" s="75">
        <v>10</v>
      </c>
      <c r="K33" s="189">
        <v>10</v>
      </c>
      <c r="L33" s="75">
        <v>10</v>
      </c>
      <c r="M33" s="97">
        <f>4065+2226.4+2915.4</f>
        <v>9206.7999999999993</v>
      </c>
      <c r="N33" s="97">
        <f>4065+2226.4+2915.4</f>
        <v>9206.7999999999993</v>
      </c>
      <c r="O33" s="93">
        <f t="shared" si="1"/>
        <v>0</v>
      </c>
      <c r="P33" s="123"/>
      <c r="Q33" s="194"/>
      <c r="R33" s="124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75">
        <v>14</v>
      </c>
      <c r="J34" s="75">
        <v>22</v>
      </c>
      <c r="K34" s="189">
        <v>22</v>
      </c>
      <c r="L34" s="75">
        <v>22</v>
      </c>
      <c r="M34" s="97">
        <f>8742.16+2424.59+5870.23</f>
        <v>17036.98</v>
      </c>
      <c r="N34" s="97">
        <f>8742.16+2424.59+5870.23</f>
        <v>17036.98</v>
      </c>
      <c r="O34" s="93">
        <f t="shared" si="1"/>
        <v>0</v>
      </c>
      <c r="P34" s="123">
        <v>2</v>
      </c>
      <c r="Q34" s="19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11</v>
      </c>
      <c r="I35" s="75">
        <v>6</v>
      </c>
      <c r="J35" s="75">
        <v>12</v>
      </c>
      <c r="K35" s="189">
        <v>12</v>
      </c>
      <c r="L35" s="75">
        <v>12</v>
      </c>
      <c r="M35" s="97">
        <f>8755.24+1744.06</f>
        <v>10499.3</v>
      </c>
      <c r="N35" s="97">
        <f>8755.24+1744.06</f>
        <v>10499.3</v>
      </c>
      <c r="O35" s="93">
        <f t="shared" si="1"/>
        <v>0</v>
      </c>
      <c r="P35" s="123">
        <v>10</v>
      </c>
      <c r="Q35" s="194">
        <v>10</v>
      </c>
      <c r="R35" s="124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14</v>
      </c>
      <c r="I36" s="75">
        <v>6</v>
      </c>
      <c r="J36" s="75">
        <v>6</v>
      </c>
      <c r="K36" s="189">
        <v>6</v>
      </c>
      <c r="L36" s="75">
        <v>6</v>
      </c>
      <c r="M36" s="97">
        <f>2360+2665.25</f>
        <v>5025.25</v>
      </c>
      <c r="N36" s="97">
        <f>2360+2665.25</f>
        <v>5025.25</v>
      </c>
      <c r="O36" s="93">
        <f t="shared" si="1"/>
        <v>0</v>
      </c>
      <c r="P36" s="123">
        <v>5</v>
      </c>
      <c r="Q36" s="194">
        <v>5</v>
      </c>
      <c r="R36" s="124">
        <v>5</v>
      </c>
      <c r="S36" s="97">
        <f>1436.08+3433.93+5939.33</f>
        <v>10809.34</v>
      </c>
      <c r="T36" s="97">
        <f>1436.08+3433.93+5939.33</f>
        <v>10809.34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14</v>
      </c>
      <c r="I37" s="75">
        <v>10</v>
      </c>
      <c r="J37" s="75">
        <v>11</v>
      </c>
      <c r="K37" s="189">
        <v>11</v>
      </c>
      <c r="L37" s="75">
        <v>10</v>
      </c>
      <c r="M37" s="97">
        <f>4126.56+990.2+862.75</f>
        <v>5979.51</v>
      </c>
      <c r="N37" s="97">
        <f>4126.56+990.2+862.75</f>
        <v>5979.51</v>
      </c>
      <c r="O37" s="93">
        <f t="shared" si="1"/>
        <v>0</v>
      </c>
      <c r="P37" s="123">
        <v>2</v>
      </c>
      <c r="Q37" s="194">
        <v>1</v>
      </c>
      <c r="R37" s="124">
        <v>1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54</v>
      </c>
      <c r="I38" s="75">
        <v>21</v>
      </c>
      <c r="J38" s="75">
        <v>32</v>
      </c>
      <c r="K38" s="189">
        <v>32</v>
      </c>
      <c r="L38" s="75">
        <v>29</v>
      </c>
      <c r="M38" s="97">
        <f>18043.85+1739.74+12219.36</f>
        <v>32002.95</v>
      </c>
      <c r="N38" s="97">
        <f>18043.85+1739.74+12219.36</f>
        <v>32002.95</v>
      </c>
      <c r="O38" s="93">
        <f t="shared" si="1"/>
        <v>0</v>
      </c>
      <c r="P38" s="123">
        <v>19</v>
      </c>
      <c r="Q38" s="194">
        <v>19</v>
      </c>
      <c r="R38" s="124">
        <v>19</v>
      </c>
      <c r="S38" s="97">
        <f>22326.77+417.74</f>
        <v>22744.510000000002</v>
      </c>
      <c r="T38" s="97">
        <f>22326.77+417.74</f>
        <v>22744.510000000002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22</v>
      </c>
      <c r="I39" s="75">
        <v>10</v>
      </c>
      <c r="J39" s="75">
        <v>13</v>
      </c>
      <c r="K39" s="189">
        <v>13</v>
      </c>
      <c r="L39" s="75">
        <v>11</v>
      </c>
      <c r="M39" s="97">
        <f>4309.67+3353.38</f>
        <v>7663.05</v>
      </c>
      <c r="N39" s="97">
        <f>4309.67+3353.38</f>
        <v>7663.05</v>
      </c>
      <c r="O39" s="93">
        <f t="shared" si="1"/>
        <v>0</v>
      </c>
      <c r="P39" s="123">
        <v>3</v>
      </c>
      <c r="Q39" s="194">
        <v>3</v>
      </c>
      <c r="R39" s="124">
        <v>3</v>
      </c>
      <c r="S39" s="97">
        <v>84.92</v>
      </c>
      <c r="T39" s="97">
        <v>84.92</v>
      </c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7</v>
      </c>
      <c r="I40" s="75">
        <v>5</v>
      </c>
      <c r="J40" s="75">
        <v>5</v>
      </c>
      <c r="K40" s="189">
        <v>5</v>
      </c>
      <c r="L40" s="75">
        <v>5</v>
      </c>
      <c r="M40" s="97">
        <v>5430.01</v>
      </c>
      <c r="N40" s="97">
        <v>5430.01</v>
      </c>
      <c r="O40" s="93">
        <f t="shared" si="1"/>
        <v>0</v>
      </c>
      <c r="P40" s="123">
        <v>4</v>
      </c>
      <c r="Q40" s="19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10</v>
      </c>
      <c r="I41" s="75">
        <v>8</v>
      </c>
      <c r="J41" s="75">
        <v>9</v>
      </c>
      <c r="K41" s="189">
        <v>9</v>
      </c>
      <c r="L41" s="75">
        <v>9</v>
      </c>
      <c r="M41" s="97">
        <f>4892.78+1033.5</f>
        <v>5926.28</v>
      </c>
      <c r="N41" s="97">
        <f>4892.78+1033.5</f>
        <v>5926.28</v>
      </c>
      <c r="O41" s="93">
        <f t="shared" si="1"/>
        <v>0</v>
      </c>
      <c r="P41" s="123">
        <v>3</v>
      </c>
      <c r="Q41" s="194">
        <v>3</v>
      </c>
      <c r="R41" s="124">
        <v>3</v>
      </c>
      <c r="S41" s="97">
        <f>1842.88</f>
        <v>1842.88</v>
      </c>
      <c r="T41" s="97">
        <f>1842.88</f>
        <v>1842.88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77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10</v>
      </c>
      <c r="I42" s="75">
        <v>6</v>
      </c>
      <c r="J42" s="75">
        <v>7</v>
      </c>
      <c r="K42" s="189">
        <v>7</v>
      </c>
      <c r="L42" s="75">
        <v>4</v>
      </c>
      <c r="M42" s="97">
        <v>5095.29</v>
      </c>
      <c r="N42" s="97">
        <v>5095.29</v>
      </c>
      <c r="O42" s="93">
        <f t="shared" si="1"/>
        <v>0</v>
      </c>
      <c r="P42" s="123">
        <v>5</v>
      </c>
      <c r="Q42" s="194">
        <v>5</v>
      </c>
      <c r="R42" s="124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14</v>
      </c>
      <c r="I43" s="75">
        <v>8</v>
      </c>
      <c r="J43" s="75">
        <v>10</v>
      </c>
      <c r="K43" s="189">
        <v>10</v>
      </c>
      <c r="L43" s="75">
        <v>10</v>
      </c>
      <c r="M43" s="97">
        <f>1949.94+11241.95+1670.56+979</f>
        <v>15841.45</v>
      </c>
      <c r="N43" s="97">
        <f>1949.94+11241.95+1670.56+979</f>
        <v>15841.45</v>
      </c>
      <c r="O43" s="93">
        <f t="shared" si="1"/>
        <v>0</v>
      </c>
      <c r="P43" s="123">
        <v>7</v>
      </c>
      <c r="Q43" s="194">
        <v>6</v>
      </c>
      <c r="R43" s="124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7</v>
      </c>
      <c r="I44" s="75">
        <v>5</v>
      </c>
      <c r="J44" s="75">
        <v>9</v>
      </c>
      <c r="K44" s="189">
        <v>9</v>
      </c>
      <c r="L44" s="75">
        <v>9</v>
      </c>
      <c r="M44" s="97">
        <f>9600.95+145</f>
        <v>9745.9500000000007</v>
      </c>
      <c r="N44" s="97">
        <f>9600.95+145</f>
        <v>9745.9500000000007</v>
      </c>
      <c r="O44" s="93">
        <f t="shared" si="1"/>
        <v>0</v>
      </c>
      <c r="P44" s="123">
        <v>6</v>
      </c>
      <c r="Q44" s="194">
        <v>6</v>
      </c>
      <c r="R44" s="124">
        <v>5</v>
      </c>
      <c r="S44" s="97">
        <f>3997.92+850.65+4367.7</f>
        <v>9216.27</v>
      </c>
      <c r="T44" s="97">
        <f>3997.92+850.65+4367.7</f>
        <v>9216.27</v>
      </c>
      <c r="U44" s="97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75"/>
      <c r="J45" s="75"/>
      <c r="K45" s="189"/>
      <c r="L45" s="75"/>
      <c r="M45" s="97"/>
      <c r="N45" s="97"/>
      <c r="O45" s="93">
        <f t="shared" si="1"/>
        <v>0</v>
      </c>
      <c r="P45" s="123"/>
      <c r="Q45" s="194"/>
      <c r="R45" s="124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10</v>
      </c>
      <c r="I46" s="75">
        <v>8</v>
      </c>
      <c r="J46" s="75">
        <v>9</v>
      </c>
      <c r="K46" s="189">
        <v>9</v>
      </c>
      <c r="L46" s="75">
        <v>4</v>
      </c>
      <c r="M46" s="97">
        <f>1290.6</f>
        <v>1290.5999999999999</v>
      </c>
      <c r="N46" s="97">
        <f>1290.6</f>
        <v>1290.5999999999999</v>
      </c>
      <c r="O46" s="93">
        <f t="shared" si="1"/>
        <v>0</v>
      </c>
      <c r="P46" s="123">
        <v>2</v>
      </c>
      <c r="Q46" s="194">
        <v>2</v>
      </c>
      <c r="R46" s="124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27</v>
      </c>
      <c r="I47" s="75">
        <v>17</v>
      </c>
      <c r="J47" s="75">
        <v>23</v>
      </c>
      <c r="K47" s="189">
        <v>21</v>
      </c>
      <c r="L47" s="75">
        <v>21</v>
      </c>
      <c r="M47" s="97">
        <f>9335.56+3507.6+826.8</f>
        <v>13669.96</v>
      </c>
      <c r="N47" s="97">
        <f>9335.56+3507.6+826.8</f>
        <v>13669.96</v>
      </c>
      <c r="O47" s="93">
        <f t="shared" si="1"/>
        <v>0</v>
      </c>
      <c r="P47" s="123">
        <v>2</v>
      </c>
      <c r="Q47" s="194">
        <v>2</v>
      </c>
      <c r="R47" s="124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12</v>
      </c>
      <c r="I48" s="75">
        <v>5</v>
      </c>
      <c r="J48" s="75">
        <v>8</v>
      </c>
      <c r="K48" s="189">
        <v>8</v>
      </c>
      <c r="L48" s="75">
        <v>8</v>
      </c>
      <c r="M48" s="97">
        <f>8890.84+1828.05</f>
        <v>10718.89</v>
      </c>
      <c r="N48" s="97">
        <f>8890.84+1828.05</f>
        <v>10718.89</v>
      </c>
      <c r="O48" s="93">
        <f t="shared" si="1"/>
        <v>0</v>
      </c>
      <c r="P48" s="123">
        <v>3</v>
      </c>
      <c r="Q48" s="19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17</v>
      </c>
      <c r="I49" s="75">
        <v>9</v>
      </c>
      <c r="J49" s="75">
        <v>10</v>
      </c>
      <c r="K49" s="189">
        <v>10</v>
      </c>
      <c r="L49" s="75">
        <v>10</v>
      </c>
      <c r="M49" s="97">
        <f>1831.71+137.8+1816.78</f>
        <v>3786.29</v>
      </c>
      <c r="N49" s="97">
        <f>1831.71+137.8+1816.78</f>
        <v>3786.29</v>
      </c>
      <c r="O49" s="93">
        <f t="shared" si="1"/>
        <v>0</v>
      </c>
      <c r="P49" s="123">
        <v>9</v>
      </c>
      <c r="Q49" s="194">
        <v>9</v>
      </c>
      <c r="R49" s="124">
        <v>8</v>
      </c>
      <c r="S49" s="97">
        <f>8296.23+1378</f>
        <v>9674.23</v>
      </c>
      <c r="T49" s="97">
        <f>8296.23+1378</f>
        <v>9674.23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14</v>
      </c>
      <c r="I50" s="75">
        <v>12</v>
      </c>
      <c r="J50" s="75">
        <v>14</v>
      </c>
      <c r="K50" s="189">
        <v>14</v>
      </c>
      <c r="L50" s="75">
        <v>14</v>
      </c>
      <c r="M50" s="97">
        <f>8308.92+786.44+453+302</f>
        <v>9850.36</v>
      </c>
      <c r="N50" s="97">
        <f>8308.92+786.44+453+302</f>
        <v>9850.36</v>
      </c>
      <c r="O50" s="93">
        <f t="shared" si="1"/>
        <v>0</v>
      </c>
      <c r="P50" s="123">
        <v>6</v>
      </c>
      <c r="Q50" s="194">
        <v>6</v>
      </c>
      <c r="R50" s="124">
        <v>6</v>
      </c>
      <c r="S50" s="97">
        <f>2457.28+1725.6+5017.9</f>
        <v>9200.7799999999988</v>
      </c>
      <c r="T50" s="97">
        <f>2457.28+1725.6+5017.9</f>
        <v>9200.7799999999988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16</v>
      </c>
      <c r="I51" s="75">
        <v>10</v>
      </c>
      <c r="J51" s="75">
        <v>11</v>
      </c>
      <c r="K51" s="189">
        <v>11</v>
      </c>
      <c r="L51" s="75">
        <v>11</v>
      </c>
      <c r="M51" s="97">
        <f>5580.75+571.11+696.2+574.2</f>
        <v>7422.2599999999993</v>
      </c>
      <c r="N51" s="97">
        <f>5580.75+571.11+696.2+574.2</f>
        <v>7422.2599999999993</v>
      </c>
      <c r="O51" s="93">
        <f t="shared" si="1"/>
        <v>0</v>
      </c>
      <c r="P51" s="123">
        <v>1</v>
      </c>
      <c r="Q51" s="194">
        <v>1</v>
      </c>
      <c r="R51" s="124">
        <v>1</v>
      </c>
      <c r="S51" s="97"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15</v>
      </c>
      <c r="I52" s="75">
        <v>8</v>
      </c>
      <c r="J52" s="75">
        <v>10</v>
      </c>
      <c r="K52" s="189">
        <v>10</v>
      </c>
      <c r="L52" s="75">
        <v>10</v>
      </c>
      <c r="M52" s="97">
        <f>3782.6+430.65+1221.61</f>
        <v>5434.86</v>
      </c>
      <c r="N52" s="97">
        <f>3782.6+430.65+1221.61</f>
        <v>5434.86</v>
      </c>
      <c r="O52" s="93">
        <f t="shared" si="1"/>
        <v>0</v>
      </c>
      <c r="P52" s="123">
        <v>5</v>
      </c>
      <c r="Q52" s="194">
        <v>5</v>
      </c>
      <c r="R52" s="124">
        <v>5</v>
      </c>
      <c r="S52" s="97">
        <f>1535.39+1035.3+828.82</f>
        <v>3399.51</v>
      </c>
      <c r="T52" s="97">
        <f>1535.39+1035.3+828.82</f>
        <v>3399.51</v>
      </c>
      <c r="U52" s="97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7</v>
      </c>
      <c r="I53" s="75">
        <v>3</v>
      </c>
      <c r="J53" s="75">
        <v>3</v>
      </c>
      <c r="K53" s="189">
        <v>3</v>
      </c>
      <c r="L53" s="75">
        <v>2</v>
      </c>
      <c r="M53" s="97">
        <v>1102.4000000000001</v>
      </c>
      <c r="N53" s="97">
        <v>1102.4000000000001</v>
      </c>
      <c r="O53" s="93">
        <f t="shared" si="1"/>
        <v>0</v>
      </c>
      <c r="P53" s="123">
        <v>2</v>
      </c>
      <c r="Q53" s="19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58</v>
      </c>
      <c r="I54" s="75">
        <v>43</v>
      </c>
      <c r="J54" s="75">
        <v>55</v>
      </c>
      <c r="K54" s="189">
        <v>51</v>
      </c>
      <c r="L54" s="75">
        <v>51</v>
      </c>
      <c r="M54" s="97">
        <f>12031.27+4728.85+7137.01</f>
        <v>23897.130000000005</v>
      </c>
      <c r="N54" s="97">
        <f>12031.27+4728.85+7137.01</f>
        <v>23897.130000000005</v>
      </c>
      <c r="O54" s="93">
        <f t="shared" si="1"/>
        <v>0</v>
      </c>
      <c r="P54" s="123">
        <v>17</v>
      </c>
      <c r="Q54" s="19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6</v>
      </c>
      <c r="I55" s="75">
        <v>2</v>
      </c>
      <c r="J55" s="75">
        <v>2</v>
      </c>
      <c r="K55" s="189">
        <v>2</v>
      </c>
      <c r="L55" s="75">
        <v>2</v>
      </c>
      <c r="M55" s="97">
        <v>5677.4</v>
      </c>
      <c r="N55" s="97">
        <v>5677.4</v>
      </c>
      <c r="O55" s="93">
        <f t="shared" si="1"/>
        <v>0</v>
      </c>
      <c r="P55" s="123">
        <v>3</v>
      </c>
      <c r="Q55" s="19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43</v>
      </c>
      <c r="I56" s="75">
        <v>27</v>
      </c>
      <c r="J56" s="75">
        <v>34</v>
      </c>
      <c r="K56" s="189">
        <v>31</v>
      </c>
      <c r="L56" s="75">
        <v>29</v>
      </c>
      <c r="M56" s="97">
        <f>13145.7+14183.3+726.22</f>
        <v>28055.22</v>
      </c>
      <c r="N56" s="97">
        <f>13145.7+14183.3+726.22</f>
        <v>28055.22</v>
      </c>
      <c r="O56" s="93">
        <f t="shared" si="1"/>
        <v>0</v>
      </c>
      <c r="P56" s="123">
        <v>31</v>
      </c>
      <c r="Q56" s="194">
        <v>31</v>
      </c>
      <c r="R56" s="124">
        <v>31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189">
        <v>3</v>
      </c>
      <c r="L57" s="75">
        <v>3</v>
      </c>
      <c r="M57" s="97">
        <v>1200.96</v>
      </c>
      <c r="N57" s="97">
        <v>1200.96</v>
      </c>
      <c r="O57" s="93">
        <f t="shared" si="1"/>
        <v>0</v>
      </c>
      <c r="P57" s="123"/>
      <c r="Q57" s="194"/>
      <c r="R57" s="124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75"/>
      <c r="J58" s="75"/>
      <c r="K58" s="189"/>
      <c r="L58" s="75"/>
      <c r="M58" s="97"/>
      <c r="N58" s="97"/>
      <c r="O58" s="93">
        <f t="shared" si="1"/>
        <v>0</v>
      </c>
      <c r="P58" s="123"/>
      <c r="Q58" s="194"/>
      <c r="R58" s="124"/>
      <c r="S58" s="97"/>
      <c r="T58" s="97"/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75"/>
      <c r="J59" s="75"/>
      <c r="K59" s="189"/>
      <c r="L59" s="75"/>
      <c r="M59" s="97"/>
      <c r="N59" s="97"/>
      <c r="O59" s="93">
        <f t="shared" si="1"/>
        <v>0</v>
      </c>
      <c r="P59" s="123"/>
      <c r="Q59" s="194"/>
      <c r="R59" s="124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37</v>
      </c>
      <c r="I60" s="75">
        <v>25</v>
      </c>
      <c r="J60" s="75">
        <v>36</v>
      </c>
      <c r="K60" s="189">
        <v>36</v>
      </c>
      <c r="L60" s="75">
        <v>30</v>
      </c>
      <c r="M60" s="97">
        <f>19657.67+3859.57+3638.88</f>
        <v>27156.12</v>
      </c>
      <c r="N60" s="97">
        <f>19657.67+3859.57+3638.88</f>
        <v>27156.12</v>
      </c>
      <c r="O60" s="93">
        <f t="shared" si="1"/>
        <v>0</v>
      </c>
      <c r="P60" s="123">
        <v>6</v>
      </c>
      <c r="Q60" s="194">
        <v>6</v>
      </c>
      <c r="R60" s="124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18</v>
      </c>
      <c r="I61" s="75">
        <v>9</v>
      </c>
      <c r="J61" s="75">
        <v>11</v>
      </c>
      <c r="K61" s="189">
        <v>10</v>
      </c>
      <c r="L61" s="75">
        <v>10</v>
      </c>
      <c r="M61" s="97">
        <f>3986.21+989.8+3814.75</f>
        <v>8790.76</v>
      </c>
      <c r="N61" s="97">
        <f>3986.21+989.8+3814.75</f>
        <v>8790.76</v>
      </c>
      <c r="O61" s="93">
        <f t="shared" si="1"/>
        <v>0</v>
      </c>
      <c r="P61" s="123"/>
      <c r="Q61" s="194"/>
      <c r="R61" s="124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77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15</v>
      </c>
      <c r="I62" s="75">
        <v>9</v>
      </c>
      <c r="J62" s="75">
        <v>9</v>
      </c>
      <c r="K62" s="189">
        <v>9</v>
      </c>
      <c r="L62" s="75">
        <v>9</v>
      </c>
      <c r="M62" s="97">
        <f>1263.45+2111.32+5011.35</f>
        <v>8386.1200000000008</v>
      </c>
      <c r="N62" s="97">
        <f>1263.45+2111.32+5011.35</f>
        <v>8386.1200000000008</v>
      </c>
      <c r="O62" s="93">
        <f t="shared" si="1"/>
        <v>0</v>
      </c>
      <c r="P62" s="123">
        <v>7</v>
      </c>
      <c r="Q62" s="194">
        <v>7</v>
      </c>
      <c r="R62" s="124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75"/>
      <c r="J63" s="75"/>
      <c r="K63" s="189"/>
      <c r="L63" s="75"/>
      <c r="M63" s="97"/>
      <c r="N63" s="97"/>
      <c r="O63" s="93">
        <f t="shared" si="1"/>
        <v>0</v>
      </c>
      <c r="P63" s="123">
        <v>29</v>
      </c>
      <c r="Q63" s="194">
        <v>29</v>
      </c>
      <c r="R63" s="124">
        <v>29</v>
      </c>
      <c r="S63" s="97">
        <f>9392.68+482.3</f>
        <v>9874.98</v>
      </c>
      <c r="T63" s="97">
        <f>9392.68+482.3</f>
        <v>9874.98</v>
      </c>
      <c r="U63" s="97">
        <f t="shared" si="2"/>
        <v>0</v>
      </c>
      <c r="V63" s="161"/>
    </row>
    <row r="64" spans="1:40" ht="20.100000000000001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20</v>
      </c>
      <c r="I64" s="75">
        <v>13</v>
      </c>
      <c r="J64" s="75">
        <v>15</v>
      </c>
      <c r="K64" s="189">
        <v>15</v>
      </c>
      <c r="L64" s="75">
        <v>14</v>
      </c>
      <c r="M64" s="97">
        <f>6496.16+4335.01</f>
        <v>10831.17</v>
      </c>
      <c r="N64" s="97">
        <f>6496.16+4335.01</f>
        <v>10831.17</v>
      </c>
      <c r="O64" s="93">
        <f t="shared" si="1"/>
        <v>0</v>
      </c>
      <c r="P64" s="123">
        <v>10</v>
      </c>
      <c r="Q64" s="194">
        <v>10</v>
      </c>
      <c r="R64" s="124">
        <v>10</v>
      </c>
      <c r="S64" s="97">
        <v>6866.56</v>
      </c>
      <c r="T64" s="97">
        <v>6866.56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39</v>
      </c>
      <c r="I65" s="75">
        <v>34</v>
      </c>
      <c r="J65" s="75">
        <v>41</v>
      </c>
      <c r="K65" s="189">
        <v>33</v>
      </c>
      <c r="L65" s="75">
        <v>31</v>
      </c>
      <c r="M65" s="97">
        <f>21561.61+5719.7+1305+4149.27</f>
        <v>32735.58</v>
      </c>
      <c r="N65" s="97">
        <f>21561.61+5719.7+1305+4149.27</f>
        <v>32735.58</v>
      </c>
      <c r="O65" s="93">
        <f t="shared" si="1"/>
        <v>0</v>
      </c>
      <c r="P65" s="123">
        <v>11</v>
      </c>
      <c r="Q65" s="194">
        <v>10</v>
      </c>
      <c r="R65" s="124">
        <v>10</v>
      </c>
      <c r="S65" s="97">
        <v>7456.7</v>
      </c>
      <c r="T65" s="97">
        <v>7456.7</v>
      </c>
      <c r="U65" s="97">
        <f t="shared" si="2"/>
        <v>0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75">
        <v>2</v>
      </c>
      <c r="J66" s="75">
        <v>3</v>
      </c>
      <c r="K66" s="189">
        <v>3</v>
      </c>
      <c r="L66" s="75">
        <v>3</v>
      </c>
      <c r="M66" s="97">
        <f>463.83+1653.6</f>
        <v>2117.4299999999998</v>
      </c>
      <c r="N66" s="97">
        <f>463.83+1653.6</f>
        <v>2117.4299999999998</v>
      </c>
      <c r="O66" s="93">
        <f t="shared" si="1"/>
        <v>0</v>
      </c>
      <c r="P66" s="123">
        <v>4</v>
      </c>
      <c r="Q66" s="19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41</v>
      </c>
      <c r="I67" s="75">
        <v>30</v>
      </c>
      <c r="J67" s="75">
        <v>39</v>
      </c>
      <c r="K67" s="189">
        <v>38</v>
      </c>
      <c r="L67" s="75">
        <v>38</v>
      </c>
      <c r="M67" s="97">
        <f>19710.93+7009.96+ 8900.54+165.98</f>
        <v>35787.410000000003</v>
      </c>
      <c r="N67" s="97">
        <f>19710.93+7009.96+ 8900.54+165.98</f>
        <v>35787.410000000003</v>
      </c>
      <c r="O67" s="93">
        <f t="shared" si="1"/>
        <v>0</v>
      </c>
      <c r="P67" s="123">
        <v>11</v>
      </c>
      <c r="Q67" s="194">
        <v>11</v>
      </c>
      <c r="R67" s="124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28</v>
      </c>
      <c r="I68" s="75">
        <v>23</v>
      </c>
      <c r="J68" s="75">
        <v>40</v>
      </c>
      <c r="K68" s="189">
        <v>40</v>
      </c>
      <c r="L68" s="75">
        <v>40</v>
      </c>
      <c r="M68" s="97">
        <f>18750.75</f>
        <v>18750.75</v>
      </c>
      <c r="N68" s="97">
        <f>18750.75</f>
        <v>18750.75</v>
      </c>
      <c r="O68" s="93">
        <f t="shared" si="1"/>
        <v>0</v>
      </c>
      <c r="P68" s="123">
        <v>10</v>
      </c>
      <c r="Q68" s="194">
        <v>10</v>
      </c>
      <c r="R68" s="124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125</v>
      </c>
      <c r="E69" s="106" t="s">
        <v>126</v>
      </c>
      <c r="F69" s="170" t="s">
        <v>106</v>
      </c>
      <c r="G69" s="72" t="s">
        <v>188</v>
      </c>
      <c r="H69" s="77">
        <v>8</v>
      </c>
      <c r="I69" s="75">
        <v>5</v>
      </c>
      <c r="J69" s="75">
        <v>5</v>
      </c>
      <c r="K69" s="189">
        <v>5</v>
      </c>
      <c r="L69" s="75">
        <v>4</v>
      </c>
      <c r="M69" s="97">
        <f>2756+1240.2</f>
        <v>3996.2</v>
      </c>
      <c r="N69" s="97">
        <f>2756+1240.2</f>
        <v>3996.2</v>
      </c>
      <c r="O69" s="93">
        <f t="shared" si="1"/>
        <v>0</v>
      </c>
      <c r="P69" s="123"/>
      <c r="Q69" s="194"/>
      <c r="R69" s="124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9</v>
      </c>
      <c r="I70" s="75">
        <v>4</v>
      </c>
      <c r="J70" s="75">
        <v>4</v>
      </c>
      <c r="K70" s="189">
        <v>4</v>
      </c>
      <c r="L70" s="75">
        <v>4</v>
      </c>
      <c r="M70" s="97">
        <f>2039.44+3242.32</f>
        <v>5281.76</v>
      </c>
      <c r="N70" s="97">
        <f>2039.44+3242.32</f>
        <v>5281.76</v>
      </c>
      <c r="O70" s="93">
        <f t="shared" si="1"/>
        <v>0</v>
      </c>
      <c r="P70" s="123">
        <v>6</v>
      </c>
      <c r="Q70" s="194">
        <v>6</v>
      </c>
      <c r="R70" s="124">
        <v>5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18</v>
      </c>
      <c r="I71" s="75">
        <v>13</v>
      </c>
      <c r="J71" s="75">
        <v>14</v>
      </c>
      <c r="K71" s="189">
        <v>12</v>
      </c>
      <c r="L71" s="75">
        <v>9</v>
      </c>
      <c r="M71" s="97">
        <f>2383.53+3781.9</f>
        <v>6165.43</v>
      </c>
      <c r="N71" s="97">
        <f>2383.53+3781.9</f>
        <v>6165.43</v>
      </c>
      <c r="O71" s="93">
        <f t="shared" si="1"/>
        <v>0</v>
      </c>
      <c r="P71" s="123">
        <v>22</v>
      </c>
      <c r="Q71" s="194">
        <v>22</v>
      </c>
      <c r="R71" s="124">
        <v>22</v>
      </c>
      <c r="S71" s="97">
        <v>52337.46</v>
      </c>
      <c r="T71" s="97">
        <v>52337.46</v>
      </c>
      <c r="U71" s="97">
        <f t="shared" si="2"/>
        <v>0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11</v>
      </c>
      <c r="I72" s="75">
        <v>5</v>
      </c>
      <c r="J72" s="75">
        <v>6</v>
      </c>
      <c r="K72" s="189">
        <v>4</v>
      </c>
      <c r="L72" s="75">
        <v>4</v>
      </c>
      <c r="M72" s="97">
        <v>4703.53</v>
      </c>
      <c r="N72" s="97">
        <v>4703.53</v>
      </c>
      <c r="O72" s="93">
        <f t="shared" si="1"/>
        <v>0</v>
      </c>
      <c r="P72" s="123">
        <v>7</v>
      </c>
      <c r="Q72" s="19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22</v>
      </c>
      <c r="I73" s="75">
        <v>6</v>
      </c>
      <c r="J73" s="75">
        <v>6</v>
      </c>
      <c r="K73" s="189">
        <v>6</v>
      </c>
      <c r="L73" s="75">
        <v>6</v>
      </c>
      <c r="M73" s="97">
        <f>2095.52+746.9</f>
        <v>2842.42</v>
      </c>
      <c r="N73" s="97">
        <f>2095.52+746.9</f>
        <v>2842.42</v>
      </c>
      <c r="O73" s="93">
        <f t="shared" si="1"/>
        <v>0</v>
      </c>
      <c r="P73" s="123">
        <v>5</v>
      </c>
      <c r="Q73" s="194">
        <v>5</v>
      </c>
      <c r="R73" s="124">
        <v>5</v>
      </c>
      <c r="S73" s="97">
        <f>1821.06+4580.19</f>
        <v>6401.25</v>
      </c>
      <c r="T73" s="97">
        <f>1821.06+4580.19</f>
        <v>6401.25</v>
      </c>
      <c r="U73" s="97">
        <f t="shared" si="2"/>
        <v>0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75"/>
      <c r="J74" s="75"/>
      <c r="K74" s="189"/>
      <c r="L74" s="75"/>
      <c r="M74" s="97"/>
      <c r="N74" s="97"/>
      <c r="O74" s="93">
        <f t="shared" si="1"/>
        <v>0</v>
      </c>
      <c r="P74" s="123">
        <v>1</v>
      </c>
      <c r="Q74" s="19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7</v>
      </c>
      <c r="I75" s="75">
        <v>5</v>
      </c>
      <c r="J75" s="75">
        <v>6</v>
      </c>
      <c r="K75" s="189">
        <v>6</v>
      </c>
      <c r="L75" s="75">
        <v>6</v>
      </c>
      <c r="M75" s="97">
        <f>275.6+741.36+14287.26</f>
        <v>15304.220000000001</v>
      </c>
      <c r="N75" s="97">
        <f>275.6+741.36+14287.26</f>
        <v>15304.220000000001</v>
      </c>
      <c r="O75" s="93">
        <f t="shared" ref="O75:O104" si="4" xml:space="preserve"> (M75-N75)</f>
        <v>0</v>
      </c>
      <c r="P75" s="123">
        <v>3</v>
      </c>
      <c r="Q75" s="194">
        <v>3</v>
      </c>
      <c r="R75" s="124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22</v>
      </c>
      <c r="I76" s="75">
        <v>18</v>
      </c>
      <c r="J76" s="75">
        <v>25</v>
      </c>
      <c r="K76" s="189">
        <v>25</v>
      </c>
      <c r="L76" s="75">
        <v>19</v>
      </c>
      <c r="M76" s="97">
        <f>11803.63+1320.23+3132.15</f>
        <v>16256.009999999998</v>
      </c>
      <c r="N76" s="97">
        <f>11803.63+1320.23+3132.15</f>
        <v>16256.009999999998</v>
      </c>
      <c r="O76" s="93">
        <f t="shared" si="4"/>
        <v>0</v>
      </c>
      <c r="P76" s="123">
        <v>5</v>
      </c>
      <c r="Q76" s="194">
        <v>5</v>
      </c>
      <c r="R76" s="124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19</v>
      </c>
      <c r="I77" s="75">
        <v>9</v>
      </c>
      <c r="J77" s="75">
        <v>9</v>
      </c>
      <c r="K77" s="189">
        <v>9</v>
      </c>
      <c r="L77" s="75">
        <v>9</v>
      </c>
      <c r="M77" s="97">
        <f>4234.67+4498.63+1428.26</f>
        <v>10161.56</v>
      </c>
      <c r="N77" s="97">
        <f>4234.67+4498.63+1428.26</f>
        <v>10161.56</v>
      </c>
      <c r="O77" s="93">
        <f t="shared" si="4"/>
        <v>0</v>
      </c>
      <c r="P77" s="123"/>
      <c r="Q77" s="194"/>
      <c r="R77" s="124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80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75"/>
      <c r="J78" s="75"/>
      <c r="K78" s="189"/>
      <c r="L78" s="75"/>
      <c r="M78" s="97"/>
      <c r="N78" s="97"/>
      <c r="O78" s="93">
        <f t="shared" si="4"/>
        <v>0</v>
      </c>
      <c r="P78" s="123">
        <v>8</v>
      </c>
      <c r="Q78" s="19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17</v>
      </c>
      <c r="I79" s="75">
        <v>12</v>
      </c>
      <c r="J79" s="75">
        <v>16</v>
      </c>
      <c r="K79" s="189">
        <v>16</v>
      </c>
      <c r="L79" s="75">
        <v>16</v>
      </c>
      <c r="M79" s="97">
        <f>8913.81+7027.61+1244.33+15395.91</f>
        <v>32581.66</v>
      </c>
      <c r="N79" s="97">
        <f>8913.81+7027.61+1244.33+15395.91</f>
        <v>32581.66</v>
      </c>
      <c r="O79" s="93">
        <f t="shared" si="4"/>
        <v>0</v>
      </c>
      <c r="P79" s="123">
        <v>4</v>
      </c>
      <c r="Q79" s="194">
        <v>4</v>
      </c>
      <c r="R79" s="124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17</v>
      </c>
      <c r="I80" s="75">
        <v>14</v>
      </c>
      <c r="J80" s="75">
        <v>20</v>
      </c>
      <c r="K80" s="189">
        <v>20</v>
      </c>
      <c r="L80" s="75">
        <v>14</v>
      </c>
      <c r="M80" s="97">
        <f>14959.64+7384.39</f>
        <v>22344.03</v>
      </c>
      <c r="N80" s="97">
        <f>14959.64+7384.39</f>
        <v>22344.03</v>
      </c>
      <c r="O80" s="93">
        <f t="shared" si="4"/>
        <v>0</v>
      </c>
      <c r="P80" s="123">
        <v>9</v>
      </c>
      <c r="Q80" s="194">
        <v>9</v>
      </c>
      <c r="R80" s="124">
        <v>8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2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3</v>
      </c>
      <c r="I81" s="75"/>
      <c r="J81" s="75"/>
      <c r="K81" s="189"/>
      <c r="L81" s="75"/>
      <c r="M81" s="97"/>
      <c r="N81" s="97"/>
      <c r="O81" s="93">
        <f t="shared" si="4"/>
        <v>0</v>
      </c>
      <c r="P81" s="123"/>
      <c r="Q81" s="194"/>
      <c r="R81" s="124"/>
      <c r="S81" s="97"/>
      <c r="T81" s="97"/>
      <c r="U81" s="97">
        <f t="shared" si="5"/>
        <v>0</v>
      </c>
      <c r="V81" s="161"/>
    </row>
    <row r="82" spans="1:2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17</v>
      </c>
      <c r="I82" s="75">
        <v>14</v>
      </c>
      <c r="J82" s="75">
        <v>15</v>
      </c>
      <c r="K82" s="189">
        <v>14</v>
      </c>
      <c r="L82" s="75">
        <v>12</v>
      </c>
      <c r="M82" s="97">
        <f>2626.75+8084.46+600.05</f>
        <v>11311.259999999998</v>
      </c>
      <c r="N82" s="97">
        <f>2626.75+8084.46+600.05</f>
        <v>11311.259999999998</v>
      </c>
      <c r="O82" s="93">
        <f t="shared" si="4"/>
        <v>0</v>
      </c>
      <c r="P82" s="123">
        <v>9</v>
      </c>
      <c r="Q82" s="194">
        <v>9</v>
      </c>
      <c r="R82" s="124">
        <v>9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2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15</v>
      </c>
      <c r="I83" s="75">
        <v>11</v>
      </c>
      <c r="J83" s="75">
        <v>19</v>
      </c>
      <c r="K83" s="189">
        <v>19</v>
      </c>
      <c r="L83" s="75">
        <v>19</v>
      </c>
      <c r="M83" s="97">
        <f>11232.31+3440.1+14435.12-1360.99</f>
        <v>27746.539999999997</v>
      </c>
      <c r="N83" s="97">
        <f>11232.31+3440.1+14435.12-1360.99</f>
        <v>27746.539999999997</v>
      </c>
      <c r="O83" s="93">
        <f t="shared" si="4"/>
        <v>0</v>
      </c>
      <c r="P83" s="123">
        <v>9</v>
      </c>
      <c r="Q83" s="194">
        <v>7</v>
      </c>
      <c r="R83" s="124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2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17</v>
      </c>
      <c r="I84" s="75">
        <v>6</v>
      </c>
      <c r="J84" s="75">
        <v>9</v>
      </c>
      <c r="K84" s="189">
        <v>9</v>
      </c>
      <c r="L84" s="75">
        <v>9</v>
      </c>
      <c r="M84" s="97">
        <f>5429.56+2272.28+2029.9</f>
        <v>9731.74</v>
      </c>
      <c r="N84" s="97">
        <f>5429.56+2272.28+2029.9</f>
        <v>9731.74</v>
      </c>
      <c r="O84" s="93">
        <f t="shared" si="4"/>
        <v>0</v>
      </c>
      <c r="P84" s="123">
        <v>1</v>
      </c>
      <c r="Q84" s="19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2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26</v>
      </c>
      <c r="I85" s="75">
        <v>26</v>
      </c>
      <c r="J85" s="75">
        <v>48</v>
      </c>
      <c r="K85" s="189">
        <v>43</v>
      </c>
      <c r="L85" s="75">
        <v>32</v>
      </c>
      <c r="M85" s="97">
        <f>15506.09+4089.12+1924.78+1267.55</f>
        <v>22787.539999999997</v>
      </c>
      <c r="N85" s="97">
        <f>15506.09+4089.12+1924.78+1267.55</f>
        <v>22787.539999999997</v>
      </c>
      <c r="O85" s="93">
        <f t="shared" si="4"/>
        <v>0</v>
      </c>
      <c r="P85" s="123">
        <v>6</v>
      </c>
      <c r="Q85" s="19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2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11</v>
      </c>
      <c r="I86" s="75">
        <v>4</v>
      </c>
      <c r="J86" s="75">
        <v>4</v>
      </c>
      <c r="K86" s="189">
        <v>4</v>
      </c>
      <c r="L86" s="75">
        <v>4</v>
      </c>
      <c r="M86" s="97">
        <v>1956.76</v>
      </c>
      <c r="N86" s="97">
        <v>1956.76</v>
      </c>
      <c r="O86" s="93">
        <f t="shared" si="4"/>
        <v>0</v>
      </c>
      <c r="P86" s="123">
        <v>2</v>
      </c>
      <c r="Q86" s="19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22" ht="20.100000000000001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7</v>
      </c>
      <c r="I87" s="75">
        <v>5</v>
      </c>
      <c r="J87" s="75">
        <v>6</v>
      </c>
      <c r="K87" s="189">
        <v>6</v>
      </c>
      <c r="L87" s="75">
        <v>6</v>
      </c>
      <c r="M87" s="97">
        <f>795.8+4099.92+1305</f>
        <v>6200.72</v>
      </c>
      <c r="N87" s="97">
        <f>795.8+4099.92+1305</f>
        <v>6200.72</v>
      </c>
      <c r="O87" s="93">
        <f t="shared" si="4"/>
        <v>0</v>
      </c>
      <c r="P87" s="123">
        <v>5</v>
      </c>
      <c r="Q87" s="194">
        <v>4</v>
      </c>
      <c r="R87" s="124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  <c r="V87" s="161"/>
    </row>
    <row r="88" spans="1:2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75"/>
      <c r="J88" s="75"/>
      <c r="K88" s="189"/>
      <c r="L88" s="75"/>
      <c r="M88" s="97"/>
      <c r="N88" s="97"/>
      <c r="O88" s="93">
        <f t="shared" si="4"/>
        <v>0</v>
      </c>
      <c r="P88" s="123">
        <v>6</v>
      </c>
      <c r="Q88" s="19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2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9</v>
      </c>
      <c r="I89" s="75">
        <v>7</v>
      </c>
      <c r="J89" s="75">
        <v>8</v>
      </c>
      <c r="K89" s="189">
        <v>8</v>
      </c>
      <c r="L89" s="75">
        <v>5</v>
      </c>
      <c r="M89" s="97">
        <f>2874.33+1509.2</f>
        <v>4383.53</v>
      </c>
      <c r="N89" s="97">
        <f>2874.33+1509.2</f>
        <v>4383.53</v>
      </c>
      <c r="O89" s="93">
        <f t="shared" si="4"/>
        <v>0</v>
      </c>
      <c r="P89" s="123">
        <v>5</v>
      </c>
      <c r="Q89" s="194">
        <v>5</v>
      </c>
      <c r="R89" s="124">
        <v>5</v>
      </c>
      <c r="S89" s="97">
        <f>8161.92+1118.75+3779.58</f>
        <v>13060.25</v>
      </c>
      <c r="T89" s="97">
        <f>8161.92+1118.75+3779.58</f>
        <v>13060.25</v>
      </c>
      <c r="U89" s="97">
        <f t="shared" si="5"/>
        <v>0</v>
      </c>
      <c r="V89" s="161"/>
    </row>
    <row r="90" spans="1:2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37</v>
      </c>
      <c r="I90" s="75">
        <v>31</v>
      </c>
      <c r="J90" s="75">
        <v>55</v>
      </c>
      <c r="K90" s="189">
        <v>55</v>
      </c>
      <c r="L90" s="75">
        <v>35</v>
      </c>
      <c r="M90" s="97">
        <f>14303.46+6714.67+1828.05</f>
        <v>22846.179999999997</v>
      </c>
      <c r="N90" s="97">
        <f>14303.46+6714.67+1828.05</f>
        <v>22846.179999999997</v>
      </c>
      <c r="O90" s="93">
        <f t="shared" si="4"/>
        <v>0</v>
      </c>
      <c r="P90" s="123">
        <v>8</v>
      </c>
      <c r="Q90" s="194">
        <v>7</v>
      </c>
      <c r="R90" s="124">
        <v>7</v>
      </c>
      <c r="S90" s="97">
        <v>3130.8</v>
      </c>
      <c r="T90" s="97">
        <v>3130.8</v>
      </c>
      <c r="U90" s="97">
        <f t="shared" si="5"/>
        <v>0</v>
      </c>
      <c r="V90" s="161"/>
    </row>
    <row r="91" spans="1:2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17</v>
      </c>
      <c r="I91" s="75">
        <v>5</v>
      </c>
      <c r="J91" s="75">
        <v>10</v>
      </c>
      <c r="K91" s="189">
        <v>10</v>
      </c>
      <c r="L91" s="75">
        <v>10</v>
      </c>
      <c r="M91" s="97">
        <v>5384.83</v>
      </c>
      <c r="N91" s="97">
        <v>5384.83</v>
      </c>
      <c r="O91" s="93">
        <f t="shared" si="4"/>
        <v>0</v>
      </c>
      <c r="P91" s="123">
        <v>6</v>
      </c>
      <c r="Q91" s="194">
        <v>6</v>
      </c>
      <c r="R91" s="124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  <c r="V91" s="161"/>
    </row>
    <row r="92" spans="1:2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16</v>
      </c>
      <c r="I92" s="75">
        <v>12</v>
      </c>
      <c r="J92" s="75">
        <v>16</v>
      </c>
      <c r="K92" s="189">
        <v>16</v>
      </c>
      <c r="L92" s="75">
        <v>14</v>
      </c>
      <c r="M92" s="97">
        <f>2301.54+4352.56+3555.69+1798.94</f>
        <v>12008.730000000001</v>
      </c>
      <c r="N92" s="97">
        <f>2301.54+4352.56+3555.69+1798.94</f>
        <v>12008.730000000001</v>
      </c>
      <c r="O92" s="93">
        <f t="shared" si="4"/>
        <v>0</v>
      </c>
      <c r="P92" s="123">
        <v>1</v>
      </c>
      <c r="Q92" s="19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2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61</v>
      </c>
      <c r="I93" s="75">
        <v>33</v>
      </c>
      <c r="J93" s="75">
        <v>41</v>
      </c>
      <c r="K93" s="189">
        <v>31</v>
      </c>
      <c r="L93" s="75">
        <v>28</v>
      </c>
      <c r="M93" s="97">
        <f>14656.12+3543.47</f>
        <v>18199.59</v>
      </c>
      <c r="N93" s="97">
        <f>14656.12+3543.47</f>
        <v>18199.59</v>
      </c>
      <c r="O93" s="93">
        <f t="shared" si="4"/>
        <v>0</v>
      </c>
      <c r="P93" s="123">
        <v>9</v>
      </c>
      <c r="Q93" s="194">
        <v>9</v>
      </c>
      <c r="R93" s="124">
        <v>8</v>
      </c>
      <c r="S93" s="97">
        <v>11083.64</v>
      </c>
      <c r="T93" s="97">
        <v>11083.64</v>
      </c>
      <c r="U93" s="97">
        <f t="shared" si="5"/>
        <v>0</v>
      </c>
      <c r="V93" s="161"/>
    </row>
    <row r="94" spans="1:22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32</v>
      </c>
      <c r="I94" s="75">
        <v>16</v>
      </c>
      <c r="J94" s="75">
        <v>16</v>
      </c>
      <c r="K94" s="189">
        <v>12</v>
      </c>
      <c r="L94" s="75">
        <v>12</v>
      </c>
      <c r="M94" s="97">
        <f>6576.32+217.5+2898.52</f>
        <v>9692.34</v>
      </c>
      <c r="N94" s="97">
        <f>6576.32+217.5+2898.52</f>
        <v>9692.34</v>
      </c>
      <c r="O94" s="93">
        <f t="shared" si="4"/>
        <v>0</v>
      </c>
      <c r="P94" s="123">
        <v>23</v>
      </c>
      <c r="Q94" s="194">
        <v>23</v>
      </c>
      <c r="R94" s="124">
        <v>21</v>
      </c>
      <c r="S94" s="97">
        <f>18253.04+4245.2+858.65</f>
        <v>23356.890000000003</v>
      </c>
      <c r="T94" s="97">
        <f>18253.04+4245.2+858.65</f>
        <v>23356.890000000003</v>
      </c>
      <c r="U94" s="97">
        <f t="shared" si="5"/>
        <v>0</v>
      </c>
      <c r="V94" s="161"/>
    </row>
    <row r="95" spans="1:2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23</v>
      </c>
      <c r="I95" s="75">
        <v>12</v>
      </c>
      <c r="J95" s="75">
        <v>13</v>
      </c>
      <c r="K95" s="189">
        <v>13</v>
      </c>
      <c r="L95" s="75">
        <v>13</v>
      </c>
      <c r="M95" s="97">
        <f>2362.32+22110.36+455.21+2039.58</f>
        <v>26967.47</v>
      </c>
      <c r="N95" s="97">
        <f>2362.32+22110.36+455.21+2039.58</f>
        <v>26967.47</v>
      </c>
      <c r="O95" s="93">
        <f t="shared" si="4"/>
        <v>0</v>
      </c>
      <c r="P95" s="123">
        <v>15</v>
      </c>
      <c r="Q95" s="194">
        <v>15</v>
      </c>
      <c r="R95" s="124">
        <v>15</v>
      </c>
      <c r="S95" s="97">
        <f>24552.24+1001.28+122.46</f>
        <v>25675.98</v>
      </c>
      <c r="T95" s="97">
        <f>24552.24+1001.28+122.46</f>
        <v>25675.98</v>
      </c>
      <c r="U95" s="97">
        <f t="shared" si="5"/>
        <v>0</v>
      </c>
      <c r="V95" s="161"/>
    </row>
    <row r="96" spans="1:2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9</v>
      </c>
      <c r="I96" s="75">
        <v>6</v>
      </c>
      <c r="J96" s="75">
        <v>7</v>
      </c>
      <c r="K96" s="189">
        <v>7</v>
      </c>
      <c r="L96" s="75">
        <v>7</v>
      </c>
      <c r="M96" s="97">
        <f>826.8+2786.41</f>
        <v>3613.21</v>
      </c>
      <c r="N96" s="97">
        <f>826.8+2786.41</f>
        <v>3613.21</v>
      </c>
      <c r="O96" s="93">
        <f t="shared" si="4"/>
        <v>0</v>
      </c>
      <c r="P96" s="123"/>
      <c r="Q96" s="194"/>
      <c r="R96" s="124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11</v>
      </c>
      <c r="I97" s="75">
        <v>7</v>
      </c>
      <c r="J97" s="75">
        <v>8</v>
      </c>
      <c r="K97" s="189">
        <v>8</v>
      </c>
      <c r="L97" s="75">
        <v>7</v>
      </c>
      <c r="M97" s="97">
        <f>3171.93+1457.25</f>
        <v>4629.18</v>
      </c>
      <c r="N97" s="97">
        <f>3171.93+1457.25</f>
        <v>4629.18</v>
      </c>
      <c r="O97" s="93">
        <f t="shared" si="4"/>
        <v>0</v>
      </c>
      <c r="P97" s="123">
        <v>4</v>
      </c>
      <c r="Q97" s="19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15</v>
      </c>
      <c r="I98" s="75">
        <v>6</v>
      </c>
      <c r="J98" s="75">
        <v>6</v>
      </c>
      <c r="K98" s="189">
        <v>6</v>
      </c>
      <c r="L98" s="75">
        <v>6</v>
      </c>
      <c r="M98" s="97">
        <f>757.9+551.2+895.7+290</f>
        <v>2494.8000000000002</v>
      </c>
      <c r="N98" s="97">
        <f>757.9+551.2+895.7+290</f>
        <v>2494.8000000000002</v>
      </c>
      <c r="O98" s="93">
        <f t="shared" si="4"/>
        <v>0</v>
      </c>
      <c r="P98" s="123">
        <v>10</v>
      </c>
      <c r="Q98" s="194">
        <v>10</v>
      </c>
      <c r="R98" s="124">
        <v>8</v>
      </c>
      <c r="S98" s="97">
        <v>8034.56</v>
      </c>
      <c r="T98" s="97">
        <v>8034.56</v>
      </c>
      <c r="U98" s="97">
        <f t="shared" si="5"/>
        <v>0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22</v>
      </c>
      <c r="I99" s="75">
        <v>10</v>
      </c>
      <c r="J99" s="75">
        <v>12</v>
      </c>
      <c r="K99" s="189">
        <v>11</v>
      </c>
      <c r="L99" s="75">
        <v>11</v>
      </c>
      <c r="M99" s="97">
        <f>4782.23+1353.89+2195.41+1197.7</f>
        <v>9529.23</v>
      </c>
      <c r="N99" s="97">
        <f>4782.23+1353.89+2195.41+1197.7</f>
        <v>9529.23</v>
      </c>
      <c r="O99" s="93">
        <f t="shared" si="4"/>
        <v>0</v>
      </c>
      <c r="P99" s="123">
        <v>11</v>
      </c>
      <c r="Q99" s="194">
        <v>11</v>
      </c>
      <c r="R99" s="124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17</v>
      </c>
      <c r="I100" s="75">
        <v>12</v>
      </c>
      <c r="J100" s="75">
        <v>17</v>
      </c>
      <c r="K100" s="189">
        <v>17</v>
      </c>
      <c r="L100" s="75">
        <v>17</v>
      </c>
      <c r="M100" s="97">
        <f>10862.96+2375.03+5632.11</f>
        <v>18870.099999999999</v>
      </c>
      <c r="N100" s="97">
        <f>10862.96+2375.03+5632.11</f>
        <v>18870.099999999999</v>
      </c>
      <c r="O100" s="93">
        <f t="shared" si="4"/>
        <v>0</v>
      </c>
      <c r="P100" s="123">
        <v>10</v>
      </c>
      <c r="Q100" s="194">
        <v>10</v>
      </c>
      <c r="R100" s="124">
        <v>10</v>
      </c>
      <c r="S100" s="97">
        <v>4780.1000000000004</v>
      </c>
      <c r="T100" s="97">
        <v>4780.1000000000004</v>
      </c>
      <c r="U100" s="97">
        <f t="shared" si="5"/>
        <v>0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54</v>
      </c>
      <c r="I101" s="75">
        <v>27</v>
      </c>
      <c r="J101" s="75">
        <v>30</v>
      </c>
      <c r="K101" s="189">
        <v>30</v>
      </c>
      <c r="L101" s="75">
        <v>28</v>
      </c>
      <c r="M101" s="97">
        <f>16276.16+4466.66+1078.5+4011.53</f>
        <v>25832.85</v>
      </c>
      <c r="N101" s="97">
        <f>16276.16+4466.66+1078.5+4011.53</f>
        <v>25832.85</v>
      </c>
      <c r="O101" s="93">
        <f t="shared" si="4"/>
        <v>0</v>
      </c>
      <c r="P101" s="123">
        <v>27</v>
      </c>
      <c r="Q101" s="194">
        <v>27</v>
      </c>
      <c r="R101" s="124">
        <v>24</v>
      </c>
      <c r="S101" s="97">
        <f>21329.45-2252.12+532.3+345.99</f>
        <v>19955.620000000003</v>
      </c>
      <c r="T101" s="97">
        <f>21329.45-2252.12+532.3+345.99</f>
        <v>19955.620000000003</v>
      </c>
      <c r="U101" s="97">
        <f t="shared" si="5"/>
        <v>0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8</v>
      </c>
      <c r="I102" s="114">
        <v>5</v>
      </c>
      <c r="J102" s="114">
        <v>8</v>
      </c>
      <c r="K102" s="190">
        <v>8</v>
      </c>
      <c r="L102" s="114">
        <v>5</v>
      </c>
      <c r="M102" s="147">
        <v>3259.83</v>
      </c>
      <c r="N102" s="147">
        <v>3259.83</v>
      </c>
      <c r="O102" s="93">
        <f t="shared" si="4"/>
        <v>0</v>
      </c>
      <c r="P102" s="149">
        <v>3</v>
      </c>
      <c r="Q102" s="195">
        <v>3</v>
      </c>
      <c r="R102" s="150">
        <v>3</v>
      </c>
      <c r="S102" s="147">
        <v>1193.3</v>
      </c>
      <c r="T102" s="147">
        <v>1193.3</v>
      </c>
      <c r="U102" s="147">
        <f t="shared" si="5"/>
        <v>0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11</v>
      </c>
      <c r="I103" s="75">
        <v>3</v>
      </c>
      <c r="J103" s="75">
        <v>3</v>
      </c>
      <c r="K103" s="189">
        <v>3</v>
      </c>
      <c r="L103" s="75">
        <v>3</v>
      </c>
      <c r="M103" s="97">
        <f>699.33+580</f>
        <v>1279.33</v>
      </c>
      <c r="N103" s="97">
        <f>699.33+580</f>
        <v>1279.33</v>
      </c>
      <c r="O103" s="93">
        <f t="shared" si="4"/>
        <v>0</v>
      </c>
      <c r="P103" s="124"/>
      <c r="Q103" s="194"/>
      <c r="R103" s="124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189">
        <v>2</v>
      </c>
      <c r="L104" s="75">
        <v>2</v>
      </c>
      <c r="M104" s="97">
        <v>2252.12</v>
      </c>
      <c r="N104" s="97">
        <v>2252.12</v>
      </c>
      <c r="O104" s="93">
        <f t="shared" si="4"/>
        <v>0</v>
      </c>
      <c r="P104" s="124"/>
      <c r="Q104" s="194"/>
      <c r="R104" s="124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1661</v>
      </c>
      <c r="I105" s="119">
        <f t="shared" si="7"/>
        <v>999</v>
      </c>
      <c r="J105" s="119">
        <f t="shared" si="7"/>
        <v>1333</v>
      </c>
      <c r="K105" s="191">
        <f t="shared" si="7"/>
        <v>1258</v>
      </c>
      <c r="L105" s="119">
        <f t="shared" si="7"/>
        <v>1142</v>
      </c>
      <c r="M105" s="151">
        <f t="shared" si="7"/>
        <v>964298.10000000021</v>
      </c>
      <c r="N105" s="151">
        <f t="shared" si="7"/>
        <v>964298.10000000021</v>
      </c>
      <c r="O105" s="151">
        <f t="shared" si="7"/>
        <v>0</v>
      </c>
      <c r="P105" s="152">
        <f t="shared" si="7"/>
        <v>687</v>
      </c>
      <c r="Q105" s="196">
        <f>SUM(Q10:Q104)</f>
        <v>675</v>
      </c>
      <c r="R105" s="152">
        <f>SUM(R11:R104)</f>
        <v>649</v>
      </c>
      <c r="S105" s="151">
        <f>SUM(S10:S104)</f>
        <v>848654.09000000008</v>
      </c>
      <c r="T105" s="151">
        <f>SUM(T10:T104)</f>
        <v>848654.09000000008</v>
      </c>
      <c r="U105" s="151">
        <f>SUM(U10:U104)</f>
        <v>0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62">
        <f>M105+S105</f>
        <v>1812952.1900000004</v>
      </c>
      <c r="AG105" s="162">
        <f>N105+T105</f>
        <v>1812952.1900000004</v>
      </c>
      <c r="AH105" s="162">
        <f>O105+U105</f>
        <v>0</v>
      </c>
    </row>
    <row r="106" spans="1:35" x14ac:dyDescent="0.25"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3"/>
      <c r="AG106" s="163"/>
      <c r="AH106" s="163"/>
    </row>
    <row r="107" spans="1:35" x14ac:dyDescent="0.25">
      <c r="V107" s="145"/>
      <c r="W107" s="145"/>
      <c r="AF107" s="162"/>
      <c r="AG107" s="162"/>
      <c r="AH107" s="162"/>
      <c r="AI107" s="145"/>
    </row>
    <row r="108" spans="1:35" x14ac:dyDescent="0.25">
      <c r="AF108" s="162">
        <f>1812952.19-AF105</f>
        <v>0</v>
      </c>
      <c r="AG108" s="163"/>
      <c r="AH108" s="163"/>
    </row>
    <row r="109" spans="1:35" x14ac:dyDescent="0.25">
      <c r="AF109" s="163"/>
      <c r="AG109" s="163"/>
      <c r="AH109" s="163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368" priority="10" stopIfTrue="1" operator="equal">
      <formula>0</formula>
    </cfRule>
  </conditionalFormatting>
  <conditionalFormatting sqref="AL45">
    <cfRule type="cellIs" dxfId="367" priority="9" stopIfTrue="1" operator="equal">
      <formula>0</formula>
    </cfRule>
  </conditionalFormatting>
  <conditionalFormatting sqref="T45">
    <cfRule type="cellIs" dxfId="366" priority="8" stopIfTrue="1" operator="equal">
      <formula>0</formula>
    </cfRule>
  </conditionalFormatting>
  <conditionalFormatting sqref="T45">
    <cfRule type="cellIs" dxfId="365" priority="7" stopIfTrue="1" operator="equal">
      <formula>0</formula>
    </cfRule>
  </conditionalFormatting>
  <conditionalFormatting sqref="T45">
    <cfRule type="cellIs" dxfId="364" priority="6" stopIfTrue="1" operator="equal">
      <formula>0</formula>
    </cfRule>
  </conditionalFormatting>
  <conditionalFormatting sqref="T45">
    <cfRule type="cellIs" dxfId="363" priority="5" stopIfTrue="1" operator="equal">
      <formula>0</formula>
    </cfRule>
  </conditionalFormatting>
  <conditionalFormatting sqref="T45">
    <cfRule type="cellIs" dxfId="362" priority="4" stopIfTrue="1" operator="equal">
      <formula>0</formula>
    </cfRule>
  </conditionalFormatting>
  <conditionalFormatting sqref="T45">
    <cfRule type="cellIs" dxfId="361" priority="3" stopIfTrue="1" operator="equal">
      <formula>0</formula>
    </cfRule>
  </conditionalFormatting>
  <conditionalFormatting sqref="T45">
    <cfRule type="cellIs" dxfId="360" priority="2" stopIfTrue="1" operator="equal">
      <formula>0</formula>
    </cfRule>
  </conditionalFormatting>
  <conditionalFormatting sqref="T45">
    <cfRule type="cellIs" dxfId="359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"/>
  <sheetViews>
    <sheetView topLeftCell="C1" workbookViewId="0">
      <selection activeCell="O7" sqref="O7:T7"/>
    </sheetView>
  </sheetViews>
  <sheetFormatPr defaultRowHeight="15" x14ac:dyDescent="0.25"/>
  <cols>
    <col min="2" max="2" width="38.5703125" customWidth="1"/>
    <col min="3" max="3" width="12.140625" customWidth="1"/>
    <col min="4" max="4" width="15" customWidth="1"/>
    <col min="5" max="5" width="25.140625" customWidth="1"/>
    <col min="6" max="6" width="12.85546875" customWidth="1"/>
    <col min="7" max="7" width="13.85546875" customWidth="1"/>
    <col min="8" max="8" width="13.28515625" customWidth="1"/>
    <col min="9" max="9" width="12.28515625" customWidth="1"/>
    <col min="10" max="10" width="11.5703125" customWidth="1"/>
    <col min="11" max="11" width="12.7109375" customWidth="1"/>
    <col min="12" max="12" width="14.7109375" customWidth="1"/>
    <col min="13" max="13" width="14.85546875" customWidth="1"/>
    <col min="15" max="15" width="15" customWidth="1"/>
    <col min="16" max="16" width="12.42578125" customWidth="1"/>
    <col min="18" max="18" width="14" customWidth="1"/>
    <col min="19" max="19" width="15.7109375" customWidth="1"/>
    <col min="20" max="20" width="15.85546875" customWidth="1"/>
  </cols>
  <sheetData>
    <row r="1" spans="1:20" ht="15.75" thickBot="1" x14ac:dyDescent="0.3">
      <c r="A1" s="310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2"/>
      <c r="R1" s="304" t="s">
        <v>17</v>
      </c>
      <c r="S1" s="304"/>
      <c r="T1" s="304"/>
    </row>
    <row r="2" spans="1:20" x14ac:dyDescent="0.25">
      <c r="A2" s="295" t="s">
        <v>130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7"/>
    </row>
    <row r="3" spans="1:20" x14ac:dyDescent="0.25">
      <c r="A3" s="298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300"/>
    </row>
    <row r="4" spans="1:20" x14ac:dyDescent="0.25">
      <c r="A4" s="298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300"/>
    </row>
    <row r="5" spans="1:20" ht="10.5" customHeight="1" thickBot="1" x14ac:dyDescent="0.3">
      <c r="A5" s="298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300"/>
    </row>
    <row r="6" spans="1:20" ht="15.75" hidden="1" thickBot="1" x14ac:dyDescent="0.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3"/>
    </row>
    <row r="7" spans="1:20" ht="19.5" thickBot="1" x14ac:dyDescent="0.3">
      <c r="A7" s="305" t="s">
        <v>0</v>
      </c>
      <c r="B7" s="307" t="s">
        <v>1</v>
      </c>
      <c r="C7" s="308"/>
      <c r="D7" s="308"/>
      <c r="E7" s="308"/>
      <c r="F7" s="309"/>
      <c r="G7" s="307" t="s">
        <v>2</v>
      </c>
      <c r="H7" s="308"/>
      <c r="I7" s="308"/>
      <c r="J7" s="308"/>
      <c r="K7" s="308"/>
      <c r="L7" s="308"/>
      <c r="M7" s="308"/>
      <c r="N7" s="309"/>
      <c r="O7" s="307" t="s">
        <v>250</v>
      </c>
      <c r="P7" s="308"/>
      <c r="Q7" s="308"/>
      <c r="R7" s="308"/>
      <c r="S7" s="308"/>
      <c r="T7" s="309"/>
    </row>
    <row r="8" spans="1:20" ht="165.75" x14ac:dyDescent="0.25">
      <c r="A8" s="306"/>
      <c r="B8" s="8" t="s">
        <v>4</v>
      </c>
      <c r="C8" s="8" t="s">
        <v>5</v>
      </c>
      <c r="D8" s="8" t="s">
        <v>6</v>
      </c>
      <c r="E8" s="8" t="s">
        <v>7</v>
      </c>
      <c r="F8" s="9" t="s">
        <v>8</v>
      </c>
      <c r="G8" s="7" t="s">
        <v>9</v>
      </c>
      <c r="H8" s="8" t="s">
        <v>10</v>
      </c>
      <c r="I8" s="8" t="s">
        <v>11</v>
      </c>
      <c r="J8" s="8" t="s">
        <v>12</v>
      </c>
      <c r="K8" s="8" t="s">
        <v>13</v>
      </c>
      <c r="L8" s="8" t="s">
        <v>14</v>
      </c>
      <c r="M8" s="8" t="s">
        <v>15</v>
      </c>
      <c r="N8" s="9" t="s">
        <v>16</v>
      </c>
      <c r="O8" s="7" t="s">
        <v>11</v>
      </c>
      <c r="P8" s="8" t="s">
        <v>12</v>
      </c>
      <c r="Q8" s="8" t="s">
        <v>13</v>
      </c>
      <c r="R8" s="8" t="s">
        <v>14</v>
      </c>
      <c r="S8" s="8" t="s">
        <v>15</v>
      </c>
      <c r="T8" s="9" t="s">
        <v>16</v>
      </c>
    </row>
    <row r="9" spans="1:20" x14ac:dyDescent="0.25">
      <c r="A9" s="4">
        <v>1</v>
      </c>
      <c r="B9" s="1">
        <v>2</v>
      </c>
      <c r="C9" s="1">
        <v>3</v>
      </c>
      <c r="D9" s="1">
        <v>4</v>
      </c>
      <c r="E9" s="1">
        <v>5</v>
      </c>
      <c r="F9" s="5">
        <v>6</v>
      </c>
      <c r="G9" s="4">
        <f>F9+1</f>
        <v>7</v>
      </c>
      <c r="H9" s="1">
        <f t="shared" ref="H9:T9" si="0">G9+1</f>
        <v>8</v>
      </c>
      <c r="I9" s="1">
        <f t="shared" si="0"/>
        <v>9</v>
      </c>
      <c r="J9" s="1">
        <f t="shared" si="0"/>
        <v>10</v>
      </c>
      <c r="K9" s="1">
        <f t="shared" si="0"/>
        <v>11</v>
      </c>
      <c r="L9" s="1">
        <f t="shared" si="0"/>
        <v>12</v>
      </c>
      <c r="M9" s="1">
        <f t="shared" si="0"/>
        <v>13</v>
      </c>
      <c r="N9" s="5">
        <f t="shared" si="0"/>
        <v>14</v>
      </c>
      <c r="O9" s="4">
        <f t="shared" si="0"/>
        <v>15</v>
      </c>
      <c r="P9" s="1">
        <f t="shared" si="0"/>
        <v>16</v>
      </c>
      <c r="Q9" s="1">
        <f t="shared" si="0"/>
        <v>17</v>
      </c>
      <c r="R9" s="1">
        <f t="shared" si="0"/>
        <v>18</v>
      </c>
      <c r="S9" s="1">
        <f t="shared" si="0"/>
        <v>19</v>
      </c>
      <c r="T9" s="5">
        <f t="shared" si="0"/>
        <v>20</v>
      </c>
    </row>
    <row r="10" spans="1:20" ht="15.75" x14ac:dyDescent="0.25">
      <c r="A10" s="3">
        <v>1</v>
      </c>
      <c r="B10" s="10" t="s">
        <v>18</v>
      </c>
      <c r="C10" s="15" t="s">
        <v>124</v>
      </c>
      <c r="D10" s="2"/>
      <c r="E10" s="16" t="s">
        <v>105</v>
      </c>
      <c r="F10" s="6"/>
      <c r="G10" s="26">
        <v>3</v>
      </c>
      <c r="H10" s="24"/>
      <c r="I10" s="24"/>
      <c r="J10" s="24"/>
      <c r="K10" s="24"/>
      <c r="L10" s="24"/>
      <c r="M10" s="24"/>
      <c r="N10" s="25">
        <f xml:space="preserve"> (L10-M10)</f>
        <v>0</v>
      </c>
      <c r="O10" s="26"/>
      <c r="P10" s="24"/>
      <c r="Q10" s="24"/>
      <c r="R10" s="24"/>
      <c r="S10" s="24"/>
      <c r="T10" s="25">
        <f xml:space="preserve"> (R10-S10)</f>
        <v>0</v>
      </c>
    </row>
    <row r="11" spans="1:20" ht="15.75" x14ac:dyDescent="0.25">
      <c r="A11" s="3">
        <f>A10+1</f>
        <v>2</v>
      </c>
      <c r="B11" s="10" t="s">
        <v>19</v>
      </c>
      <c r="C11" s="15" t="s">
        <v>124</v>
      </c>
      <c r="D11" s="2"/>
      <c r="E11" s="17" t="s">
        <v>106</v>
      </c>
      <c r="F11" s="6"/>
      <c r="G11" s="26"/>
      <c r="H11" s="24"/>
      <c r="I11" s="24"/>
      <c r="J11" s="24"/>
      <c r="K11" s="24"/>
      <c r="L11" s="24"/>
      <c r="M11" s="24"/>
      <c r="N11" s="25">
        <f t="shared" ref="N11:N75" si="1" xml:space="preserve"> (L11-M11)</f>
        <v>0</v>
      </c>
      <c r="O11" s="26">
        <v>1</v>
      </c>
      <c r="P11" s="24"/>
      <c r="Q11" s="24"/>
      <c r="R11" s="24"/>
      <c r="S11" s="24"/>
      <c r="T11" s="25">
        <f t="shared" ref="T11:T75" si="2" xml:space="preserve"> (R11-S11)</f>
        <v>0</v>
      </c>
    </row>
    <row r="12" spans="1:20" ht="15.75" x14ac:dyDescent="0.25">
      <c r="A12" s="3">
        <f t="shared" ref="A12:A76" si="3">A11+1</f>
        <v>3</v>
      </c>
      <c r="B12" s="11" t="s">
        <v>20</v>
      </c>
      <c r="C12" s="15" t="s">
        <v>124</v>
      </c>
      <c r="D12" s="2"/>
      <c r="E12" s="17" t="s">
        <v>107</v>
      </c>
      <c r="F12" s="6"/>
      <c r="G12" s="26"/>
      <c r="H12" s="24"/>
      <c r="I12" s="24"/>
      <c r="J12" s="24"/>
      <c r="K12" s="24"/>
      <c r="L12" s="24"/>
      <c r="M12" s="24"/>
      <c r="N12" s="25">
        <f t="shared" si="1"/>
        <v>0</v>
      </c>
      <c r="O12" s="26"/>
      <c r="P12" s="24"/>
      <c r="Q12" s="24"/>
      <c r="R12" s="24"/>
      <c r="S12" s="24"/>
      <c r="T12" s="25">
        <f t="shared" si="2"/>
        <v>0</v>
      </c>
    </row>
    <row r="13" spans="1:20" ht="15.75" x14ac:dyDescent="0.25">
      <c r="A13" s="3">
        <f t="shared" si="3"/>
        <v>4</v>
      </c>
      <c r="B13" s="11" t="s">
        <v>21</v>
      </c>
      <c r="C13" s="15" t="s">
        <v>124</v>
      </c>
      <c r="D13" s="2"/>
      <c r="E13" s="17" t="s">
        <v>108</v>
      </c>
      <c r="F13" s="6"/>
      <c r="G13" s="26">
        <v>1</v>
      </c>
      <c r="H13" s="24"/>
      <c r="I13" s="24"/>
      <c r="J13" s="24"/>
      <c r="K13" s="24"/>
      <c r="L13" s="24"/>
      <c r="M13" s="24"/>
      <c r="N13" s="25">
        <f t="shared" si="1"/>
        <v>0</v>
      </c>
      <c r="O13" s="26"/>
      <c r="P13" s="24"/>
      <c r="Q13" s="24"/>
      <c r="R13" s="24"/>
      <c r="S13" s="24"/>
      <c r="T13" s="25">
        <f t="shared" si="2"/>
        <v>0</v>
      </c>
    </row>
    <row r="14" spans="1:20" ht="15.75" x14ac:dyDescent="0.25">
      <c r="A14" s="3">
        <f t="shared" si="3"/>
        <v>5</v>
      </c>
      <c r="B14" s="10" t="s">
        <v>22</v>
      </c>
      <c r="C14" s="15" t="s">
        <v>124</v>
      </c>
      <c r="D14" s="2"/>
      <c r="E14" s="17" t="s">
        <v>106</v>
      </c>
      <c r="F14" s="6"/>
      <c r="G14" s="26">
        <v>1</v>
      </c>
      <c r="H14" s="24"/>
      <c r="I14" s="24"/>
      <c r="J14" s="24"/>
      <c r="K14" s="24"/>
      <c r="L14" s="24"/>
      <c r="M14" s="24"/>
      <c r="N14" s="25">
        <f t="shared" si="1"/>
        <v>0</v>
      </c>
      <c r="O14" s="26"/>
      <c r="P14" s="24"/>
      <c r="Q14" s="24"/>
      <c r="R14" s="24"/>
      <c r="S14" s="24"/>
      <c r="T14" s="25">
        <f t="shared" si="2"/>
        <v>0</v>
      </c>
    </row>
    <row r="15" spans="1:20" ht="15.75" x14ac:dyDescent="0.25">
      <c r="A15" s="3">
        <f t="shared" si="3"/>
        <v>6</v>
      </c>
      <c r="B15" s="10" t="s">
        <v>23</v>
      </c>
      <c r="C15" s="15" t="s">
        <v>124</v>
      </c>
      <c r="D15" s="2"/>
      <c r="E15" s="17" t="s">
        <v>106</v>
      </c>
      <c r="F15" s="6"/>
      <c r="G15" s="26">
        <v>3</v>
      </c>
      <c r="H15" s="24"/>
      <c r="I15" s="24"/>
      <c r="J15" s="24"/>
      <c r="K15" s="24"/>
      <c r="L15" s="24"/>
      <c r="M15" s="24"/>
      <c r="N15" s="25">
        <f t="shared" si="1"/>
        <v>0</v>
      </c>
      <c r="O15" s="26">
        <v>4</v>
      </c>
      <c r="P15" s="24"/>
      <c r="Q15" s="24"/>
      <c r="R15" s="24"/>
      <c r="S15" s="24"/>
      <c r="T15" s="25">
        <f t="shared" si="2"/>
        <v>0</v>
      </c>
    </row>
    <row r="16" spans="1:20" ht="15.75" x14ac:dyDescent="0.25">
      <c r="A16" s="3">
        <f t="shared" si="3"/>
        <v>7</v>
      </c>
      <c r="B16" s="10" t="s">
        <v>24</v>
      </c>
      <c r="C16" s="15" t="s">
        <v>124</v>
      </c>
      <c r="D16" s="2"/>
      <c r="E16" s="17" t="s">
        <v>109</v>
      </c>
      <c r="F16" s="6"/>
      <c r="G16" s="26">
        <v>1</v>
      </c>
      <c r="H16" s="24"/>
      <c r="I16" s="24"/>
      <c r="J16" s="24"/>
      <c r="K16" s="24"/>
      <c r="L16" s="24"/>
      <c r="M16" s="24"/>
      <c r="N16" s="25">
        <f t="shared" si="1"/>
        <v>0</v>
      </c>
      <c r="O16" s="26"/>
      <c r="P16" s="24"/>
      <c r="Q16" s="24"/>
      <c r="R16" s="24"/>
      <c r="S16" s="24"/>
      <c r="T16" s="25">
        <f t="shared" si="2"/>
        <v>0</v>
      </c>
    </row>
    <row r="17" spans="1:20" ht="15.75" x14ac:dyDescent="0.25">
      <c r="A17" s="3">
        <f t="shared" si="3"/>
        <v>8</v>
      </c>
      <c r="B17" s="10" t="s">
        <v>25</v>
      </c>
      <c r="C17" s="15" t="s">
        <v>124</v>
      </c>
      <c r="D17" s="2"/>
      <c r="E17" s="18" t="s">
        <v>110</v>
      </c>
      <c r="F17" s="6"/>
      <c r="G17" s="26"/>
      <c r="H17" s="24"/>
      <c r="I17" s="24"/>
      <c r="J17" s="24"/>
      <c r="K17" s="24"/>
      <c r="L17" s="24"/>
      <c r="M17" s="24"/>
      <c r="N17" s="25">
        <f t="shared" si="1"/>
        <v>0</v>
      </c>
      <c r="O17" s="26">
        <v>1</v>
      </c>
      <c r="P17" s="24"/>
      <c r="Q17" s="24"/>
      <c r="R17" s="24"/>
      <c r="S17" s="24"/>
      <c r="T17" s="25">
        <f t="shared" si="2"/>
        <v>0</v>
      </c>
    </row>
    <row r="18" spans="1:20" ht="15.75" x14ac:dyDescent="0.25">
      <c r="A18" s="3">
        <f t="shared" si="3"/>
        <v>9</v>
      </c>
      <c r="B18" s="12" t="s">
        <v>26</v>
      </c>
      <c r="C18" s="15" t="s">
        <v>124</v>
      </c>
      <c r="D18" s="2"/>
      <c r="E18" s="19" t="s">
        <v>107</v>
      </c>
      <c r="F18" s="6"/>
      <c r="G18" s="26">
        <v>3</v>
      </c>
      <c r="H18" s="24">
        <v>1</v>
      </c>
      <c r="I18" s="24">
        <v>1</v>
      </c>
      <c r="J18" s="24"/>
      <c r="K18" s="24"/>
      <c r="L18" s="24"/>
      <c r="M18" s="24"/>
      <c r="N18" s="25">
        <f t="shared" si="1"/>
        <v>0</v>
      </c>
      <c r="O18" s="26"/>
      <c r="P18" s="24"/>
      <c r="Q18" s="24"/>
      <c r="R18" s="24"/>
      <c r="S18" s="24"/>
      <c r="T18" s="25">
        <f t="shared" si="2"/>
        <v>0</v>
      </c>
    </row>
    <row r="19" spans="1:20" ht="15.75" x14ac:dyDescent="0.25">
      <c r="A19" s="3">
        <f t="shared" si="3"/>
        <v>10</v>
      </c>
      <c r="B19" s="11" t="s">
        <v>27</v>
      </c>
      <c r="C19" s="15" t="s">
        <v>124</v>
      </c>
      <c r="D19" s="2"/>
      <c r="E19" s="17" t="s">
        <v>111</v>
      </c>
      <c r="F19" s="6"/>
      <c r="G19" s="26">
        <v>3</v>
      </c>
      <c r="H19" s="24"/>
      <c r="I19" s="24"/>
      <c r="J19" s="24"/>
      <c r="K19" s="24"/>
      <c r="L19" s="24"/>
      <c r="M19" s="24"/>
      <c r="N19" s="25">
        <f t="shared" si="1"/>
        <v>0</v>
      </c>
      <c r="O19" s="26">
        <v>10</v>
      </c>
      <c r="P19" s="24"/>
      <c r="Q19" s="24"/>
      <c r="R19" s="24"/>
      <c r="S19" s="24"/>
      <c r="T19" s="25">
        <f t="shared" si="2"/>
        <v>0</v>
      </c>
    </row>
    <row r="20" spans="1:20" ht="15.75" x14ac:dyDescent="0.25">
      <c r="A20" s="3">
        <f t="shared" si="3"/>
        <v>11</v>
      </c>
      <c r="B20" s="10" t="s">
        <v>28</v>
      </c>
      <c r="C20" s="15" t="s">
        <v>124</v>
      </c>
      <c r="D20" s="2"/>
      <c r="E20" s="17" t="s">
        <v>106</v>
      </c>
      <c r="F20" s="6"/>
      <c r="G20" s="26">
        <v>1</v>
      </c>
      <c r="H20" s="24"/>
      <c r="I20" s="24"/>
      <c r="J20" s="24"/>
      <c r="K20" s="24"/>
      <c r="L20" s="24"/>
      <c r="M20" s="24"/>
      <c r="N20" s="25">
        <f t="shared" si="1"/>
        <v>0</v>
      </c>
      <c r="O20" s="26"/>
      <c r="P20" s="24"/>
      <c r="Q20" s="24"/>
      <c r="R20" s="24"/>
      <c r="S20" s="24"/>
      <c r="T20" s="25">
        <f t="shared" si="2"/>
        <v>0</v>
      </c>
    </row>
    <row r="21" spans="1:20" ht="15.75" x14ac:dyDescent="0.25">
      <c r="A21" s="3">
        <f t="shared" si="3"/>
        <v>12</v>
      </c>
      <c r="B21" s="10" t="s">
        <v>29</v>
      </c>
      <c r="C21" s="15" t="s">
        <v>124</v>
      </c>
      <c r="D21" s="2"/>
      <c r="E21" s="20" t="s">
        <v>112</v>
      </c>
      <c r="F21" s="6"/>
      <c r="G21" s="26">
        <v>4</v>
      </c>
      <c r="H21" s="24">
        <v>1</v>
      </c>
      <c r="I21" s="24">
        <v>1</v>
      </c>
      <c r="J21" s="24"/>
      <c r="K21" s="24"/>
      <c r="L21" s="24"/>
      <c r="M21" s="24"/>
      <c r="N21" s="25">
        <f t="shared" si="1"/>
        <v>0</v>
      </c>
      <c r="O21" s="26">
        <v>13</v>
      </c>
      <c r="P21" s="24"/>
      <c r="Q21" s="24"/>
      <c r="R21" s="24"/>
      <c r="S21" s="24"/>
      <c r="T21" s="25">
        <f t="shared" si="2"/>
        <v>0</v>
      </c>
    </row>
    <row r="22" spans="1:20" ht="15.75" x14ac:dyDescent="0.25">
      <c r="A22" s="3">
        <f t="shared" si="3"/>
        <v>13</v>
      </c>
      <c r="B22" s="12" t="s">
        <v>30</v>
      </c>
      <c r="C22" s="15" t="s">
        <v>124</v>
      </c>
      <c r="D22" s="2"/>
      <c r="E22" s="19" t="s">
        <v>111</v>
      </c>
      <c r="F22" s="6"/>
      <c r="G22" s="26">
        <v>2</v>
      </c>
      <c r="H22" s="24"/>
      <c r="I22" s="24"/>
      <c r="J22" s="24"/>
      <c r="K22" s="24"/>
      <c r="L22" s="24"/>
      <c r="M22" s="24"/>
      <c r="N22" s="25">
        <f t="shared" si="1"/>
        <v>0</v>
      </c>
      <c r="O22" s="26">
        <v>5</v>
      </c>
      <c r="P22" s="24"/>
      <c r="Q22" s="24"/>
      <c r="R22" s="24"/>
      <c r="S22" s="24"/>
      <c r="T22" s="25">
        <f t="shared" si="2"/>
        <v>0</v>
      </c>
    </row>
    <row r="23" spans="1:20" ht="15.75" x14ac:dyDescent="0.25">
      <c r="A23" s="3">
        <f t="shared" si="3"/>
        <v>14</v>
      </c>
      <c r="B23" s="10" t="s">
        <v>31</v>
      </c>
      <c r="C23" s="15" t="s">
        <v>124</v>
      </c>
      <c r="D23" s="2"/>
      <c r="E23" s="21" t="s">
        <v>107</v>
      </c>
      <c r="F23" s="6"/>
      <c r="G23" s="26">
        <v>2</v>
      </c>
      <c r="H23" s="24"/>
      <c r="I23" s="24"/>
      <c r="J23" s="24"/>
      <c r="K23" s="24"/>
      <c r="L23" s="24"/>
      <c r="M23" s="24"/>
      <c r="N23" s="25">
        <f t="shared" si="1"/>
        <v>0</v>
      </c>
      <c r="O23" s="26">
        <v>4</v>
      </c>
      <c r="P23" s="24"/>
      <c r="Q23" s="24"/>
      <c r="R23" s="24"/>
      <c r="S23" s="24"/>
      <c r="T23" s="25">
        <f t="shared" si="2"/>
        <v>0</v>
      </c>
    </row>
    <row r="24" spans="1:20" ht="15.75" x14ac:dyDescent="0.25">
      <c r="A24" s="3">
        <f t="shared" si="3"/>
        <v>15</v>
      </c>
      <c r="B24" s="13" t="s">
        <v>32</v>
      </c>
      <c r="C24" s="15" t="s">
        <v>124</v>
      </c>
      <c r="D24" s="2"/>
      <c r="E24" s="17" t="s">
        <v>106</v>
      </c>
      <c r="F24" s="6"/>
      <c r="G24" s="26">
        <v>3</v>
      </c>
      <c r="H24" s="24"/>
      <c r="I24" s="24"/>
      <c r="J24" s="24"/>
      <c r="K24" s="24"/>
      <c r="L24" s="24"/>
      <c r="M24" s="24"/>
      <c r="N24" s="25">
        <f t="shared" si="1"/>
        <v>0</v>
      </c>
      <c r="O24" s="26"/>
      <c r="P24" s="24"/>
      <c r="Q24" s="24"/>
      <c r="R24" s="24"/>
      <c r="S24" s="24"/>
      <c r="T24" s="25">
        <f t="shared" si="2"/>
        <v>0</v>
      </c>
    </row>
    <row r="25" spans="1:20" ht="15.75" x14ac:dyDescent="0.25">
      <c r="A25" s="3">
        <f t="shared" si="3"/>
        <v>16</v>
      </c>
      <c r="B25" s="10" t="s">
        <v>33</v>
      </c>
      <c r="C25" s="15" t="s">
        <v>124</v>
      </c>
      <c r="D25" s="2"/>
      <c r="E25" s="17" t="s">
        <v>106</v>
      </c>
      <c r="F25" s="6"/>
      <c r="G25" s="26">
        <v>2</v>
      </c>
      <c r="H25" s="24"/>
      <c r="I25" s="24"/>
      <c r="J25" s="24"/>
      <c r="K25" s="24"/>
      <c r="L25" s="24"/>
      <c r="M25" s="24"/>
      <c r="N25" s="25">
        <f t="shared" si="1"/>
        <v>0</v>
      </c>
      <c r="O25" s="26"/>
      <c r="P25" s="24"/>
      <c r="Q25" s="24"/>
      <c r="R25" s="24"/>
      <c r="S25" s="24"/>
      <c r="T25" s="25">
        <f t="shared" si="2"/>
        <v>0</v>
      </c>
    </row>
    <row r="26" spans="1:20" ht="15.75" x14ac:dyDescent="0.25">
      <c r="A26" s="3">
        <f t="shared" si="3"/>
        <v>17</v>
      </c>
      <c r="B26" s="10" t="s">
        <v>34</v>
      </c>
      <c r="C26" s="15" t="s">
        <v>124</v>
      </c>
      <c r="D26" s="2"/>
      <c r="E26" s="17" t="s">
        <v>113</v>
      </c>
      <c r="F26" s="6"/>
      <c r="G26" s="26">
        <v>2</v>
      </c>
      <c r="H26" s="24"/>
      <c r="I26" s="24"/>
      <c r="J26" s="24"/>
      <c r="K26" s="24"/>
      <c r="L26" s="24"/>
      <c r="M26" s="24"/>
      <c r="N26" s="25">
        <f t="shared" si="1"/>
        <v>0</v>
      </c>
      <c r="O26" s="26"/>
      <c r="P26" s="24"/>
      <c r="Q26" s="24"/>
      <c r="R26" s="24"/>
      <c r="S26" s="24"/>
      <c r="T26" s="25">
        <f t="shared" si="2"/>
        <v>0</v>
      </c>
    </row>
    <row r="27" spans="1:20" ht="15.75" x14ac:dyDescent="0.25">
      <c r="A27" s="3">
        <f t="shared" si="3"/>
        <v>18</v>
      </c>
      <c r="B27" s="10" t="s">
        <v>35</v>
      </c>
      <c r="C27" s="15" t="s">
        <v>124</v>
      </c>
      <c r="D27" s="2"/>
      <c r="E27" s="17" t="s">
        <v>105</v>
      </c>
      <c r="F27" s="6"/>
      <c r="G27" s="26"/>
      <c r="H27" s="24"/>
      <c r="I27" s="24"/>
      <c r="J27" s="24"/>
      <c r="K27" s="24"/>
      <c r="L27" s="24"/>
      <c r="M27" s="24"/>
      <c r="N27" s="25">
        <f t="shared" si="1"/>
        <v>0</v>
      </c>
      <c r="O27" s="26"/>
      <c r="P27" s="24"/>
      <c r="Q27" s="24"/>
      <c r="R27" s="24"/>
      <c r="S27" s="24"/>
      <c r="T27" s="25">
        <f t="shared" si="2"/>
        <v>0</v>
      </c>
    </row>
    <row r="28" spans="1:20" ht="15.75" x14ac:dyDescent="0.25">
      <c r="A28" s="3">
        <f t="shared" si="3"/>
        <v>19</v>
      </c>
      <c r="B28" s="12" t="s">
        <v>36</v>
      </c>
      <c r="C28" s="15" t="s">
        <v>124</v>
      </c>
      <c r="D28" s="2"/>
      <c r="E28" s="19" t="s">
        <v>114</v>
      </c>
      <c r="F28" s="6"/>
      <c r="G28" s="26">
        <v>2</v>
      </c>
      <c r="H28" s="24"/>
      <c r="I28" s="24"/>
      <c r="J28" s="24"/>
      <c r="K28" s="24"/>
      <c r="L28" s="24"/>
      <c r="M28" s="24"/>
      <c r="N28" s="25">
        <f t="shared" si="1"/>
        <v>0</v>
      </c>
      <c r="O28" s="26">
        <v>9</v>
      </c>
      <c r="P28" s="24"/>
      <c r="Q28" s="24"/>
      <c r="R28" s="24"/>
      <c r="S28" s="24"/>
      <c r="T28" s="25">
        <f t="shared" si="2"/>
        <v>0</v>
      </c>
    </row>
    <row r="29" spans="1:20" ht="15.75" x14ac:dyDescent="0.25">
      <c r="A29" s="3">
        <f t="shared" si="3"/>
        <v>20</v>
      </c>
      <c r="B29" s="11" t="s">
        <v>37</v>
      </c>
      <c r="C29" s="15" t="s">
        <v>124</v>
      </c>
      <c r="D29" s="2"/>
      <c r="E29" s="17" t="s">
        <v>108</v>
      </c>
      <c r="F29" s="6"/>
      <c r="G29" s="26">
        <v>3</v>
      </c>
      <c r="H29" s="24"/>
      <c r="I29" s="24"/>
      <c r="J29" s="24"/>
      <c r="K29" s="24"/>
      <c r="L29" s="24"/>
      <c r="M29" s="24"/>
      <c r="N29" s="25">
        <f t="shared" si="1"/>
        <v>0</v>
      </c>
      <c r="O29" s="26">
        <v>6</v>
      </c>
      <c r="P29" s="24"/>
      <c r="Q29" s="24"/>
      <c r="R29" s="24"/>
      <c r="S29" s="24"/>
      <c r="T29" s="25">
        <f t="shared" si="2"/>
        <v>0</v>
      </c>
    </row>
    <row r="30" spans="1:20" ht="15.75" x14ac:dyDescent="0.25">
      <c r="A30" s="3">
        <f t="shared" si="3"/>
        <v>21</v>
      </c>
      <c r="B30" s="11" t="s">
        <v>38</v>
      </c>
      <c r="C30" s="15" t="s">
        <v>124</v>
      </c>
      <c r="D30" s="2"/>
      <c r="E30" s="17" t="s">
        <v>106</v>
      </c>
      <c r="F30" s="6"/>
      <c r="G30" s="26">
        <v>2</v>
      </c>
      <c r="H30" s="24"/>
      <c r="I30" s="24"/>
      <c r="J30" s="24"/>
      <c r="K30" s="24"/>
      <c r="L30" s="24"/>
      <c r="M30" s="24"/>
      <c r="N30" s="25">
        <f t="shared" si="1"/>
        <v>0</v>
      </c>
      <c r="O30" s="26">
        <v>1</v>
      </c>
      <c r="P30" s="24"/>
      <c r="Q30" s="24"/>
      <c r="R30" s="24"/>
      <c r="S30" s="24"/>
      <c r="T30" s="25">
        <f t="shared" si="2"/>
        <v>0</v>
      </c>
    </row>
    <row r="31" spans="1:20" ht="15.75" x14ac:dyDescent="0.25">
      <c r="A31" s="3">
        <f t="shared" si="3"/>
        <v>22</v>
      </c>
      <c r="B31" s="10" t="s">
        <v>39</v>
      </c>
      <c r="C31" s="15" t="s">
        <v>124</v>
      </c>
      <c r="D31" s="2"/>
      <c r="E31" s="10" t="s">
        <v>105</v>
      </c>
      <c r="F31" s="6"/>
      <c r="G31" s="26"/>
      <c r="H31" s="24"/>
      <c r="I31" s="24"/>
      <c r="J31" s="24"/>
      <c r="K31" s="24"/>
      <c r="L31" s="24"/>
      <c r="M31" s="24"/>
      <c r="N31" s="25">
        <f t="shared" si="1"/>
        <v>0</v>
      </c>
      <c r="O31" s="26"/>
      <c r="P31" s="24"/>
      <c r="Q31" s="24"/>
      <c r="R31" s="24"/>
      <c r="S31" s="24"/>
      <c r="T31" s="25">
        <f t="shared" si="2"/>
        <v>0</v>
      </c>
    </row>
    <row r="32" spans="1:20" ht="15.75" x14ac:dyDescent="0.25">
      <c r="A32" s="3">
        <f t="shared" si="3"/>
        <v>23</v>
      </c>
      <c r="B32" s="12" t="s">
        <v>40</v>
      </c>
      <c r="C32" s="15" t="s">
        <v>124</v>
      </c>
      <c r="D32" s="2"/>
      <c r="E32" s="19" t="s">
        <v>115</v>
      </c>
      <c r="F32" s="6"/>
      <c r="G32" s="26">
        <v>2</v>
      </c>
      <c r="H32" s="24">
        <v>2</v>
      </c>
      <c r="I32" s="24">
        <v>3</v>
      </c>
      <c r="J32" s="24"/>
      <c r="K32" s="24"/>
      <c r="L32" s="24"/>
      <c r="M32" s="24"/>
      <c r="N32" s="25">
        <f t="shared" si="1"/>
        <v>0</v>
      </c>
      <c r="O32" s="26">
        <v>2</v>
      </c>
      <c r="P32" s="24"/>
      <c r="Q32" s="24"/>
      <c r="R32" s="24"/>
      <c r="S32" s="24"/>
      <c r="T32" s="25">
        <f t="shared" si="2"/>
        <v>0</v>
      </c>
    </row>
    <row r="33" spans="1:20" ht="15.75" x14ac:dyDescent="0.25">
      <c r="A33" s="3">
        <f t="shared" si="3"/>
        <v>24</v>
      </c>
      <c r="B33" s="11" t="s">
        <v>41</v>
      </c>
      <c r="C33" s="15" t="s">
        <v>124</v>
      </c>
      <c r="D33" s="2"/>
      <c r="E33" s="17" t="s">
        <v>106</v>
      </c>
      <c r="F33" s="6"/>
      <c r="G33" s="26"/>
      <c r="H33" s="24"/>
      <c r="I33" s="24"/>
      <c r="J33" s="24"/>
      <c r="K33" s="24"/>
      <c r="L33" s="24"/>
      <c r="M33" s="24"/>
      <c r="N33" s="25">
        <f t="shared" si="1"/>
        <v>0</v>
      </c>
      <c r="O33" s="26"/>
      <c r="P33" s="24"/>
      <c r="Q33" s="24"/>
      <c r="R33" s="24"/>
      <c r="S33" s="24"/>
      <c r="T33" s="25">
        <f t="shared" si="2"/>
        <v>0</v>
      </c>
    </row>
    <row r="34" spans="1:20" ht="15.75" x14ac:dyDescent="0.25">
      <c r="A34" s="3">
        <f t="shared" si="3"/>
        <v>25</v>
      </c>
      <c r="B34" s="13" t="s">
        <v>42</v>
      </c>
      <c r="C34" s="15" t="s">
        <v>124</v>
      </c>
      <c r="D34" s="2"/>
      <c r="E34" s="17" t="s">
        <v>106</v>
      </c>
      <c r="F34" s="6"/>
      <c r="G34" s="26"/>
      <c r="H34" s="24"/>
      <c r="I34" s="24"/>
      <c r="J34" s="24"/>
      <c r="K34" s="24"/>
      <c r="L34" s="24"/>
      <c r="M34" s="24"/>
      <c r="N34" s="25">
        <f t="shared" si="1"/>
        <v>0</v>
      </c>
      <c r="O34" s="26">
        <v>3</v>
      </c>
      <c r="P34" s="24"/>
      <c r="Q34" s="24"/>
      <c r="R34" s="24"/>
      <c r="S34" s="24"/>
      <c r="T34" s="25">
        <f t="shared" si="2"/>
        <v>0</v>
      </c>
    </row>
    <row r="35" spans="1:20" ht="15.75" x14ac:dyDescent="0.25">
      <c r="A35" s="3">
        <f t="shared" si="3"/>
        <v>26</v>
      </c>
      <c r="B35" s="13" t="s">
        <v>43</v>
      </c>
      <c r="C35" s="15" t="s">
        <v>124</v>
      </c>
      <c r="D35" s="2"/>
      <c r="E35" s="17" t="s">
        <v>106</v>
      </c>
      <c r="F35" s="6"/>
      <c r="G35" s="26">
        <v>1</v>
      </c>
      <c r="H35" s="24"/>
      <c r="I35" s="24"/>
      <c r="J35" s="24"/>
      <c r="K35" s="24"/>
      <c r="L35" s="24"/>
      <c r="M35" s="24"/>
      <c r="N35" s="25">
        <f t="shared" si="1"/>
        <v>0</v>
      </c>
      <c r="O35" s="26"/>
      <c r="P35" s="24"/>
      <c r="Q35" s="24"/>
      <c r="R35" s="24"/>
      <c r="S35" s="24"/>
      <c r="T35" s="25">
        <f t="shared" si="2"/>
        <v>0</v>
      </c>
    </row>
    <row r="36" spans="1:20" ht="15.75" x14ac:dyDescent="0.25">
      <c r="A36" s="3">
        <f t="shared" si="3"/>
        <v>27</v>
      </c>
      <c r="B36" s="11" t="s">
        <v>44</v>
      </c>
      <c r="C36" s="15" t="s">
        <v>124</v>
      </c>
      <c r="D36" s="2"/>
      <c r="E36" s="17" t="s">
        <v>105</v>
      </c>
      <c r="F36" s="6"/>
      <c r="G36" s="26">
        <v>4</v>
      </c>
      <c r="H36" s="24"/>
      <c r="I36" s="24"/>
      <c r="J36" s="24"/>
      <c r="K36" s="24"/>
      <c r="L36" s="24"/>
      <c r="M36" s="24"/>
      <c r="N36" s="25">
        <f t="shared" si="1"/>
        <v>0</v>
      </c>
      <c r="O36" s="26">
        <v>11</v>
      </c>
      <c r="P36" s="24"/>
      <c r="Q36" s="24"/>
      <c r="R36" s="24"/>
      <c r="S36" s="24"/>
      <c r="T36" s="25">
        <f t="shared" si="2"/>
        <v>0</v>
      </c>
    </row>
    <row r="37" spans="1:20" ht="15.75" x14ac:dyDescent="0.25">
      <c r="A37" s="3">
        <f t="shared" si="3"/>
        <v>28</v>
      </c>
      <c r="B37" s="11" t="s">
        <v>45</v>
      </c>
      <c r="C37" s="15" t="s">
        <v>124</v>
      </c>
      <c r="D37" s="2"/>
      <c r="E37" s="17" t="s">
        <v>111</v>
      </c>
      <c r="F37" s="6"/>
      <c r="G37" s="26">
        <v>1</v>
      </c>
      <c r="H37" s="24"/>
      <c r="I37" s="24"/>
      <c r="J37" s="24"/>
      <c r="K37" s="24"/>
      <c r="L37" s="24"/>
      <c r="M37" s="24"/>
      <c r="N37" s="25">
        <f t="shared" si="1"/>
        <v>0</v>
      </c>
      <c r="O37" s="26"/>
      <c r="P37" s="24"/>
      <c r="Q37" s="24"/>
      <c r="R37" s="24"/>
      <c r="S37" s="24"/>
      <c r="T37" s="25">
        <f t="shared" si="2"/>
        <v>0</v>
      </c>
    </row>
    <row r="38" spans="1:20" ht="15.75" x14ac:dyDescent="0.25">
      <c r="A38" s="3">
        <f>A37+1</f>
        <v>29</v>
      </c>
      <c r="B38" s="10" t="s">
        <v>46</v>
      </c>
      <c r="C38" s="15" t="s">
        <v>124</v>
      </c>
      <c r="D38" s="2"/>
      <c r="E38" s="17" t="s">
        <v>106</v>
      </c>
      <c r="F38" s="6"/>
      <c r="G38" s="26"/>
      <c r="H38" s="24"/>
      <c r="I38" s="24"/>
      <c r="J38" s="24"/>
      <c r="K38" s="24"/>
      <c r="L38" s="24"/>
      <c r="M38" s="24"/>
      <c r="N38" s="25">
        <f t="shared" si="1"/>
        <v>0</v>
      </c>
      <c r="O38" s="26">
        <v>2</v>
      </c>
      <c r="P38" s="24"/>
      <c r="Q38" s="24"/>
      <c r="R38" s="24"/>
      <c r="S38" s="24"/>
      <c r="T38" s="25">
        <f t="shared" si="2"/>
        <v>0</v>
      </c>
    </row>
    <row r="39" spans="1:20" ht="15.75" x14ac:dyDescent="0.25">
      <c r="A39" s="3">
        <f t="shared" si="3"/>
        <v>30</v>
      </c>
      <c r="B39" s="10" t="s">
        <v>47</v>
      </c>
      <c r="C39" s="15" t="s">
        <v>124</v>
      </c>
      <c r="D39" s="2"/>
      <c r="E39" s="17" t="s">
        <v>116</v>
      </c>
      <c r="F39" s="6"/>
      <c r="G39" s="26">
        <v>1</v>
      </c>
      <c r="H39" s="24"/>
      <c r="I39" s="24"/>
      <c r="J39" s="24"/>
      <c r="K39" s="24"/>
      <c r="L39" s="24"/>
      <c r="M39" s="24"/>
      <c r="N39" s="25">
        <f t="shared" si="1"/>
        <v>0</v>
      </c>
      <c r="O39" s="26"/>
      <c r="P39" s="24"/>
      <c r="Q39" s="24"/>
      <c r="R39" s="24"/>
      <c r="S39" s="24"/>
      <c r="T39" s="25">
        <f t="shared" si="2"/>
        <v>0</v>
      </c>
    </row>
    <row r="40" spans="1:20" ht="20.25" customHeight="1" x14ac:dyDescent="0.25">
      <c r="A40" s="3">
        <f t="shared" si="3"/>
        <v>31</v>
      </c>
      <c r="B40" s="13" t="s">
        <v>48</v>
      </c>
      <c r="C40" s="15" t="s">
        <v>124</v>
      </c>
      <c r="D40" s="2"/>
      <c r="E40" s="17" t="s">
        <v>106</v>
      </c>
      <c r="F40" s="6"/>
      <c r="G40" s="26"/>
      <c r="H40" s="24"/>
      <c r="I40" s="24"/>
      <c r="J40" s="24"/>
      <c r="K40" s="24"/>
      <c r="L40" s="24"/>
      <c r="M40" s="24"/>
      <c r="N40" s="25">
        <f t="shared" si="1"/>
        <v>0</v>
      </c>
      <c r="O40" s="26">
        <v>1</v>
      </c>
      <c r="P40" s="24"/>
      <c r="Q40" s="24"/>
      <c r="R40" s="24"/>
      <c r="S40" s="24"/>
      <c r="T40" s="25">
        <f t="shared" si="2"/>
        <v>0</v>
      </c>
    </row>
    <row r="41" spans="1:20" ht="15.75" x14ac:dyDescent="0.25">
      <c r="A41" s="3">
        <f t="shared" si="3"/>
        <v>32</v>
      </c>
      <c r="B41" s="10" t="s">
        <v>49</v>
      </c>
      <c r="C41" s="15" t="s">
        <v>124</v>
      </c>
      <c r="D41" s="2"/>
      <c r="E41" s="17" t="s">
        <v>106</v>
      </c>
      <c r="F41" s="6"/>
      <c r="G41" s="26">
        <v>1</v>
      </c>
      <c r="H41" s="24"/>
      <c r="I41" s="24"/>
      <c r="J41" s="24"/>
      <c r="K41" s="24"/>
      <c r="L41" s="24"/>
      <c r="M41" s="24"/>
      <c r="N41" s="25">
        <f t="shared" si="1"/>
        <v>0</v>
      </c>
      <c r="O41" s="26">
        <v>2</v>
      </c>
      <c r="P41" s="24"/>
      <c r="Q41" s="24"/>
      <c r="R41" s="24"/>
      <c r="S41" s="24"/>
      <c r="T41" s="25">
        <f t="shared" si="2"/>
        <v>0</v>
      </c>
    </row>
    <row r="42" spans="1:20" ht="15.75" x14ac:dyDescent="0.25">
      <c r="A42" s="3">
        <f t="shared" si="3"/>
        <v>33</v>
      </c>
      <c r="B42" s="13" t="s">
        <v>50</v>
      </c>
      <c r="C42" s="15" t="s">
        <v>124</v>
      </c>
      <c r="D42" s="2"/>
      <c r="E42" s="17" t="s">
        <v>106</v>
      </c>
      <c r="F42" s="6"/>
      <c r="G42" s="26">
        <v>2</v>
      </c>
      <c r="H42" s="24"/>
      <c r="I42" s="24"/>
      <c r="J42" s="24"/>
      <c r="K42" s="24"/>
      <c r="L42" s="24"/>
      <c r="M42" s="24"/>
      <c r="N42" s="25">
        <f t="shared" si="1"/>
        <v>0</v>
      </c>
      <c r="O42" s="26"/>
      <c r="P42" s="24"/>
      <c r="Q42" s="24"/>
      <c r="R42" s="24"/>
      <c r="S42" s="24"/>
      <c r="T42" s="25">
        <f t="shared" si="2"/>
        <v>0</v>
      </c>
    </row>
    <row r="43" spans="1:20" ht="15.75" x14ac:dyDescent="0.25">
      <c r="A43" s="3">
        <f t="shared" si="3"/>
        <v>34</v>
      </c>
      <c r="B43" s="11" t="s">
        <v>51</v>
      </c>
      <c r="C43" s="15" t="s">
        <v>124</v>
      </c>
      <c r="D43" s="2"/>
      <c r="E43" s="22" t="s">
        <v>112</v>
      </c>
      <c r="F43" s="6"/>
      <c r="G43" s="26"/>
      <c r="H43" s="24"/>
      <c r="I43" s="24"/>
      <c r="J43" s="24"/>
      <c r="K43" s="24"/>
      <c r="L43" s="24"/>
      <c r="M43" s="24"/>
      <c r="N43" s="25">
        <f t="shared" si="1"/>
        <v>0</v>
      </c>
      <c r="O43" s="26"/>
      <c r="P43" s="24"/>
      <c r="Q43" s="24"/>
      <c r="R43" s="24"/>
      <c r="S43" s="24"/>
      <c r="T43" s="25">
        <f t="shared" si="2"/>
        <v>0</v>
      </c>
    </row>
    <row r="44" spans="1:20" ht="15.75" x14ac:dyDescent="0.25">
      <c r="A44" s="3">
        <f t="shared" si="3"/>
        <v>35</v>
      </c>
      <c r="B44" s="11" t="s">
        <v>131</v>
      </c>
      <c r="C44" s="15" t="s">
        <v>124</v>
      </c>
      <c r="D44" s="2"/>
      <c r="E44" s="22" t="s">
        <v>106</v>
      </c>
      <c r="F44" s="6"/>
      <c r="G44" s="26"/>
      <c r="H44" s="24"/>
      <c r="I44" s="24"/>
      <c r="J44" s="24"/>
      <c r="K44" s="24"/>
      <c r="L44" s="24"/>
      <c r="M44" s="24"/>
      <c r="N44" s="25">
        <f t="shared" si="1"/>
        <v>0</v>
      </c>
      <c r="O44" s="26">
        <v>1</v>
      </c>
      <c r="P44" s="24"/>
      <c r="Q44" s="24"/>
      <c r="R44" s="24"/>
      <c r="S44" s="24"/>
      <c r="T44" s="25">
        <f t="shared" si="2"/>
        <v>0</v>
      </c>
    </row>
    <row r="45" spans="1:20" ht="15.75" x14ac:dyDescent="0.25">
      <c r="A45" s="3">
        <f t="shared" si="3"/>
        <v>36</v>
      </c>
      <c r="B45" s="13" t="s">
        <v>52</v>
      </c>
      <c r="C45" s="15" t="s">
        <v>124</v>
      </c>
      <c r="D45" s="2"/>
      <c r="E45" s="17" t="s">
        <v>106</v>
      </c>
      <c r="F45" s="6"/>
      <c r="G45" s="26">
        <v>2</v>
      </c>
      <c r="H45" s="24"/>
      <c r="I45" s="24"/>
      <c r="J45" s="24"/>
      <c r="K45" s="24"/>
      <c r="L45" s="24"/>
      <c r="M45" s="24"/>
      <c r="N45" s="25">
        <f t="shared" si="1"/>
        <v>0</v>
      </c>
      <c r="O45" s="26"/>
      <c r="P45" s="24"/>
      <c r="Q45" s="24"/>
      <c r="R45" s="24"/>
      <c r="S45" s="24"/>
      <c r="T45" s="25">
        <f t="shared" si="2"/>
        <v>0</v>
      </c>
    </row>
    <row r="46" spans="1:20" ht="15.75" x14ac:dyDescent="0.25">
      <c r="A46" s="3">
        <f t="shared" si="3"/>
        <v>37</v>
      </c>
      <c r="B46" s="10" t="s">
        <v>53</v>
      </c>
      <c r="C46" s="15" t="s">
        <v>124</v>
      </c>
      <c r="D46" s="2"/>
      <c r="E46" s="17" t="s">
        <v>105</v>
      </c>
      <c r="F46" s="6"/>
      <c r="G46" s="26">
        <v>3</v>
      </c>
      <c r="H46" s="24"/>
      <c r="I46" s="24"/>
      <c r="J46" s="24"/>
      <c r="K46" s="24"/>
      <c r="L46" s="24"/>
      <c r="M46" s="24"/>
      <c r="N46" s="25">
        <f t="shared" si="1"/>
        <v>0</v>
      </c>
      <c r="O46" s="26">
        <v>1</v>
      </c>
      <c r="P46" s="24"/>
      <c r="Q46" s="24"/>
      <c r="R46" s="24"/>
      <c r="S46" s="24"/>
      <c r="T46" s="25">
        <f t="shared" si="2"/>
        <v>0</v>
      </c>
    </row>
    <row r="47" spans="1:20" ht="15.75" x14ac:dyDescent="0.25">
      <c r="A47" s="3">
        <f t="shared" si="3"/>
        <v>38</v>
      </c>
      <c r="B47" s="10" t="s">
        <v>54</v>
      </c>
      <c r="C47" s="15" t="s">
        <v>124</v>
      </c>
      <c r="D47" s="2"/>
      <c r="E47" s="17" t="s">
        <v>106</v>
      </c>
      <c r="F47" s="6"/>
      <c r="G47" s="26"/>
      <c r="H47" s="24"/>
      <c r="I47" s="24"/>
      <c r="J47" s="24"/>
      <c r="K47" s="24"/>
      <c r="L47" s="24"/>
      <c r="M47" s="24"/>
      <c r="N47" s="25">
        <f t="shared" si="1"/>
        <v>0</v>
      </c>
      <c r="O47" s="26">
        <v>2</v>
      </c>
      <c r="P47" s="24"/>
      <c r="Q47" s="24"/>
      <c r="R47" s="24"/>
      <c r="S47" s="24"/>
      <c r="T47" s="25">
        <f t="shared" si="2"/>
        <v>0</v>
      </c>
    </row>
    <row r="48" spans="1:20" ht="15.75" x14ac:dyDescent="0.25">
      <c r="A48" s="3">
        <f t="shared" si="3"/>
        <v>39</v>
      </c>
      <c r="B48" s="10" t="s">
        <v>55</v>
      </c>
      <c r="C48" s="15" t="s">
        <v>124</v>
      </c>
      <c r="D48" s="2"/>
      <c r="E48" s="17" t="s">
        <v>106</v>
      </c>
      <c r="F48" s="6"/>
      <c r="G48" s="26">
        <v>2</v>
      </c>
      <c r="H48" s="24"/>
      <c r="I48" s="24"/>
      <c r="J48" s="24"/>
      <c r="K48" s="24"/>
      <c r="L48" s="24"/>
      <c r="M48" s="24"/>
      <c r="N48" s="25">
        <f t="shared" si="1"/>
        <v>0</v>
      </c>
      <c r="O48" s="26">
        <v>2</v>
      </c>
      <c r="P48" s="24"/>
      <c r="Q48" s="24"/>
      <c r="R48" s="24"/>
      <c r="S48" s="24"/>
      <c r="T48" s="25">
        <f t="shared" si="2"/>
        <v>0</v>
      </c>
    </row>
    <row r="49" spans="1:20" ht="15.75" x14ac:dyDescent="0.25">
      <c r="A49" s="3">
        <f t="shared" si="3"/>
        <v>40</v>
      </c>
      <c r="B49" s="10" t="s">
        <v>56</v>
      </c>
      <c r="C49" s="15" t="s">
        <v>124</v>
      </c>
      <c r="D49" s="2"/>
      <c r="E49" s="17" t="s">
        <v>106</v>
      </c>
      <c r="F49" s="6"/>
      <c r="G49" s="26">
        <v>2</v>
      </c>
      <c r="H49" s="24"/>
      <c r="I49" s="24"/>
      <c r="J49" s="24"/>
      <c r="K49" s="24"/>
      <c r="L49" s="24"/>
      <c r="M49" s="24"/>
      <c r="N49" s="25">
        <f t="shared" si="1"/>
        <v>0</v>
      </c>
      <c r="O49" s="26"/>
      <c r="P49" s="24"/>
      <c r="Q49" s="24"/>
      <c r="R49" s="24"/>
      <c r="S49" s="24"/>
      <c r="T49" s="25">
        <f t="shared" si="2"/>
        <v>0</v>
      </c>
    </row>
    <row r="50" spans="1:20" ht="15.75" x14ac:dyDescent="0.25">
      <c r="A50" s="3">
        <f t="shared" si="3"/>
        <v>41</v>
      </c>
      <c r="B50" s="13" t="s">
        <v>57</v>
      </c>
      <c r="C50" s="15" t="s">
        <v>124</v>
      </c>
      <c r="D50" s="2"/>
      <c r="E50" s="17" t="s">
        <v>106</v>
      </c>
      <c r="F50" s="6"/>
      <c r="G50" s="26">
        <v>1</v>
      </c>
      <c r="H50" s="24">
        <v>1</v>
      </c>
      <c r="I50" s="24">
        <v>1</v>
      </c>
      <c r="J50" s="24"/>
      <c r="K50" s="24"/>
      <c r="L50" s="24"/>
      <c r="M50" s="24"/>
      <c r="N50" s="25">
        <f t="shared" si="1"/>
        <v>0</v>
      </c>
      <c r="O50" s="26">
        <v>1</v>
      </c>
      <c r="P50" s="24"/>
      <c r="Q50" s="24"/>
      <c r="R50" s="24"/>
      <c r="S50" s="24"/>
      <c r="T50" s="25">
        <f t="shared" si="2"/>
        <v>0</v>
      </c>
    </row>
    <row r="51" spans="1:20" ht="15.75" x14ac:dyDescent="0.25">
      <c r="A51" s="3">
        <f t="shared" si="3"/>
        <v>42</v>
      </c>
      <c r="B51" s="13" t="s">
        <v>58</v>
      </c>
      <c r="C51" s="15" t="s">
        <v>124</v>
      </c>
      <c r="D51" s="2"/>
      <c r="E51" s="17" t="s">
        <v>106</v>
      </c>
      <c r="F51" s="6"/>
      <c r="G51" s="26"/>
      <c r="H51" s="24"/>
      <c r="I51" s="24"/>
      <c r="J51" s="24"/>
      <c r="K51" s="24"/>
      <c r="L51" s="24"/>
      <c r="M51" s="24"/>
      <c r="N51" s="25">
        <f t="shared" si="1"/>
        <v>0</v>
      </c>
      <c r="O51" s="26"/>
      <c r="P51" s="24"/>
      <c r="Q51" s="24"/>
      <c r="R51" s="24"/>
      <c r="S51" s="24"/>
      <c r="T51" s="25">
        <f t="shared" si="2"/>
        <v>0</v>
      </c>
    </row>
    <row r="52" spans="1:20" ht="15.75" x14ac:dyDescent="0.25">
      <c r="A52" s="3">
        <f t="shared" si="3"/>
        <v>43</v>
      </c>
      <c r="B52" s="13" t="s">
        <v>59</v>
      </c>
      <c r="C52" s="15" t="s">
        <v>124</v>
      </c>
      <c r="D52" s="2"/>
      <c r="E52" s="17" t="s">
        <v>112</v>
      </c>
      <c r="F52" s="6"/>
      <c r="G52" s="26">
        <v>3</v>
      </c>
      <c r="H52" s="24"/>
      <c r="I52" s="24"/>
      <c r="J52" s="24"/>
      <c r="K52" s="24"/>
      <c r="L52" s="24"/>
      <c r="M52" s="24"/>
      <c r="N52" s="25">
        <f t="shared" si="1"/>
        <v>0</v>
      </c>
      <c r="O52" s="26">
        <v>7</v>
      </c>
      <c r="P52" s="24"/>
      <c r="Q52" s="24"/>
      <c r="R52" s="24"/>
      <c r="S52" s="24"/>
      <c r="T52" s="25">
        <f t="shared" si="2"/>
        <v>0</v>
      </c>
    </row>
    <row r="53" spans="1:20" ht="15.75" customHeight="1" x14ac:dyDescent="0.25">
      <c r="A53" s="3">
        <f t="shared" si="3"/>
        <v>44</v>
      </c>
      <c r="B53" s="13" t="s">
        <v>60</v>
      </c>
      <c r="C53" s="15" t="s">
        <v>125</v>
      </c>
      <c r="D53" s="38" t="s">
        <v>126</v>
      </c>
      <c r="E53" s="17" t="s">
        <v>106</v>
      </c>
      <c r="F53" s="6"/>
      <c r="G53" s="26"/>
      <c r="H53" s="24"/>
      <c r="I53" s="24"/>
      <c r="J53" s="24"/>
      <c r="K53" s="24"/>
      <c r="L53" s="24"/>
      <c r="M53" s="24"/>
      <c r="N53" s="25">
        <f t="shared" si="1"/>
        <v>0</v>
      </c>
      <c r="O53" s="26"/>
      <c r="P53" s="24"/>
      <c r="Q53" s="24"/>
      <c r="R53" s="24"/>
      <c r="S53" s="24"/>
      <c r="T53" s="25">
        <f t="shared" si="2"/>
        <v>0</v>
      </c>
    </row>
    <row r="54" spans="1:20" ht="15.75" x14ac:dyDescent="0.25">
      <c r="A54" s="3">
        <f t="shared" si="3"/>
        <v>45</v>
      </c>
      <c r="B54" s="11" t="s">
        <v>61</v>
      </c>
      <c r="C54" s="15" t="s">
        <v>124</v>
      </c>
      <c r="D54" s="2"/>
      <c r="E54" s="17" t="s">
        <v>107</v>
      </c>
      <c r="F54" s="6"/>
      <c r="G54" s="26">
        <v>3</v>
      </c>
      <c r="H54" s="24">
        <v>1</v>
      </c>
      <c r="I54" s="24">
        <v>1</v>
      </c>
      <c r="J54" s="24"/>
      <c r="K54" s="24"/>
      <c r="L54" s="24"/>
      <c r="M54" s="24"/>
      <c r="N54" s="25">
        <f t="shared" si="1"/>
        <v>0</v>
      </c>
      <c r="O54" s="26">
        <v>3</v>
      </c>
      <c r="P54" s="24"/>
      <c r="Q54" s="24"/>
      <c r="R54" s="24"/>
      <c r="S54" s="24"/>
      <c r="T54" s="25">
        <f t="shared" si="2"/>
        <v>0</v>
      </c>
    </row>
    <row r="55" spans="1:20" ht="15.75" x14ac:dyDescent="0.25">
      <c r="A55" s="3">
        <f t="shared" si="3"/>
        <v>46</v>
      </c>
      <c r="B55" s="11" t="s">
        <v>62</v>
      </c>
      <c r="C55" s="15" t="s">
        <v>124</v>
      </c>
      <c r="D55" s="2"/>
      <c r="E55" s="17" t="s">
        <v>106</v>
      </c>
      <c r="F55" s="6"/>
      <c r="G55" s="26"/>
      <c r="H55" s="24"/>
      <c r="I55" s="24"/>
      <c r="J55" s="24"/>
      <c r="K55" s="24"/>
      <c r="L55" s="24"/>
      <c r="M55" s="24"/>
      <c r="N55" s="25">
        <f t="shared" si="1"/>
        <v>0</v>
      </c>
      <c r="O55" s="26"/>
      <c r="P55" s="24"/>
      <c r="Q55" s="24"/>
      <c r="R55" s="24"/>
      <c r="S55" s="24"/>
      <c r="T55" s="25">
        <f t="shared" si="2"/>
        <v>0</v>
      </c>
    </row>
    <row r="56" spans="1:20" ht="15.75" x14ac:dyDescent="0.25">
      <c r="A56" s="3">
        <f t="shared" si="3"/>
        <v>47</v>
      </c>
      <c r="B56" s="11" t="s">
        <v>63</v>
      </c>
      <c r="C56" s="15" t="s">
        <v>124</v>
      </c>
      <c r="D56" s="2"/>
      <c r="E56" s="22" t="s">
        <v>112</v>
      </c>
      <c r="F56" s="6"/>
      <c r="G56" s="26"/>
      <c r="H56" s="24"/>
      <c r="I56" s="24"/>
      <c r="J56" s="24"/>
      <c r="K56" s="24"/>
      <c r="L56" s="24"/>
      <c r="M56" s="24"/>
      <c r="N56" s="25">
        <f t="shared" si="1"/>
        <v>0</v>
      </c>
      <c r="O56" s="26"/>
      <c r="P56" s="24"/>
      <c r="Q56" s="24"/>
      <c r="R56" s="24"/>
      <c r="S56" s="24"/>
      <c r="T56" s="25">
        <f t="shared" si="2"/>
        <v>0</v>
      </c>
    </row>
    <row r="57" spans="1:20" ht="15.75" x14ac:dyDescent="0.25">
      <c r="A57" s="3">
        <f t="shared" si="3"/>
        <v>48</v>
      </c>
      <c r="B57" s="11" t="s">
        <v>64</v>
      </c>
      <c r="C57" s="15" t="s">
        <v>124</v>
      </c>
      <c r="D57" s="2"/>
      <c r="E57" s="22" t="s">
        <v>107</v>
      </c>
      <c r="F57" s="6"/>
      <c r="G57" s="26">
        <v>7</v>
      </c>
      <c r="H57" s="24"/>
      <c r="I57" s="24"/>
      <c r="J57" s="24"/>
      <c r="K57" s="24"/>
      <c r="L57" s="24"/>
      <c r="M57" s="24"/>
      <c r="N57" s="25">
        <f t="shared" si="1"/>
        <v>0</v>
      </c>
      <c r="O57" s="26">
        <v>3</v>
      </c>
      <c r="P57" s="24"/>
      <c r="Q57" s="24"/>
      <c r="R57" s="24"/>
      <c r="S57" s="24"/>
      <c r="T57" s="25">
        <f t="shared" si="2"/>
        <v>0</v>
      </c>
    </row>
    <row r="58" spans="1:20" ht="15.75" x14ac:dyDescent="0.25">
      <c r="A58" s="3">
        <f t="shared" si="3"/>
        <v>49</v>
      </c>
      <c r="B58" s="13" t="s">
        <v>65</v>
      </c>
      <c r="C58" s="15" t="s">
        <v>124</v>
      </c>
      <c r="D58" s="2"/>
      <c r="E58" s="17" t="s">
        <v>106</v>
      </c>
      <c r="F58" s="6"/>
      <c r="G58" s="26">
        <v>2</v>
      </c>
      <c r="H58" s="24"/>
      <c r="I58" s="24"/>
      <c r="J58" s="24"/>
      <c r="K58" s="24"/>
      <c r="L58" s="24"/>
      <c r="M58" s="24"/>
      <c r="N58" s="25">
        <f t="shared" si="1"/>
        <v>0</v>
      </c>
      <c r="O58" s="26"/>
      <c r="P58" s="24"/>
      <c r="Q58" s="24"/>
      <c r="R58" s="24"/>
      <c r="S58" s="24"/>
      <c r="T58" s="25">
        <f t="shared" si="2"/>
        <v>0</v>
      </c>
    </row>
    <row r="59" spans="1:20" ht="15.75" x14ac:dyDescent="0.25">
      <c r="A59" s="3">
        <f t="shared" si="3"/>
        <v>50</v>
      </c>
      <c r="B59" s="13" t="s">
        <v>66</v>
      </c>
      <c r="C59" s="15" t="s">
        <v>124</v>
      </c>
      <c r="D59" s="2"/>
      <c r="E59" s="17" t="s">
        <v>112</v>
      </c>
      <c r="F59" s="6"/>
      <c r="G59" s="26"/>
      <c r="H59" s="24"/>
      <c r="I59" s="24"/>
      <c r="J59" s="24"/>
      <c r="K59" s="24"/>
      <c r="L59" s="24"/>
      <c r="M59" s="24"/>
      <c r="N59" s="25">
        <f t="shared" si="1"/>
        <v>0</v>
      </c>
      <c r="O59" s="26">
        <v>8</v>
      </c>
      <c r="P59" s="24"/>
      <c r="Q59" s="24"/>
      <c r="R59" s="24"/>
      <c r="S59" s="24"/>
      <c r="T59" s="25">
        <f t="shared" si="2"/>
        <v>0</v>
      </c>
    </row>
    <row r="60" spans="1:20" ht="15.75" x14ac:dyDescent="0.25">
      <c r="A60" s="3">
        <f t="shared" si="3"/>
        <v>51</v>
      </c>
      <c r="B60" s="10" t="s">
        <v>67</v>
      </c>
      <c r="C60" s="15" t="s">
        <v>124</v>
      </c>
      <c r="D60" s="2"/>
      <c r="E60" s="17" t="s">
        <v>106</v>
      </c>
      <c r="F60" s="6"/>
      <c r="G60" s="26">
        <v>1</v>
      </c>
      <c r="H60" s="24"/>
      <c r="I60" s="24"/>
      <c r="J60" s="24"/>
      <c r="K60" s="24"/>
      <c r="L60" s="24"/>
      <c r="M60" s="24"/>
      <c r="N60" s="25">
        <f t="shared" si="1"/>
        <v>0</v>
      </c>
      <c r="O60" s="26"/>
      <c r="P60" s="24"/>
      <c r="Q60" s="24"/>
      <c r="R60" s="24"/>
      <c r="S60" s="24"/>
      <c r="T60" s="25">
        <f t="shared" si="2"/>
        <v>0</v>
      </c>
    </row>
    <row r="61" spans="1:20" ht="15.75" x14ac:dyDescent="0.25">
      <c r="A61" s="3">
        <f t="shared" si="3"/>
        <v>52</v>
      </c>
      <c r="B61" s="10" t="s">
        <v>68</v>
      </c>
      <c r="C61" s="15" t="s">
        <v>124</v>
      </c>
      <c r="D61" s="2"/>
      <c r="E61" s="17" t="s">
        <v>111</v>
      </c>
      <c r="F61" s="6"/>
      <c r="G61" s="26">
        <v>1</v>
      </c>
      <c r="H61" s="24"/>
      <c r="I61" s="24"/>
      <c r="J61" s="24"/>
      <c r="K61" s="24"/>
      <c r="L61" s="24"/>
      <c r="M61" s="24"/>
      <c r="N61" s="25">
        <f t="shared" si="1"/>
        <v>0</v>
      </c>
      <c r="O61" s="26">
        <v>3</v>
      </c>
      <c r="P61" s="24"/>
      <c r="Q61" s="24"/>
      <c r="R61" s="24"/>
      <c r="S61" s="24"/>
      <c r="T61" s="25">
        <f t="shared" si="2"/>
        <v>0</v>
      </c>
    </row>
    <row r="62" spans="1:20" ht="15.75" x14ac:dyDescent="0.25">
      <c r="A62" s="3">
        <f t="shared" si="3"/>
        <v>53</v>
      </c>
      <c r="B62" s="13" t="s">
        <v>69</v>
      </c>
      <c r="C62" s="15" t="s">
        <v>124</v>
      </c>
      <c r="D62" s="2"/>
      <c r="E62" s="17" t="s">
        <v>106</v>
      </c>
      <c r="F62" s="6"/>
      <c r="G62" s="26">
        <v>1</v>
      </c>
      <c r="H62" s="24"/>
      <c r="I62" s="24"/>
      <c r="J62" s="24"/>
      <c r="K62" s="24"/>
      <c r="L62" s="24"/>
      <c r="M62" s="24"/>
      <c r="N62" s="25">
        <f t="shared" si="1"/>
        <v>0</v>
      </c>
      <c r="O62" s="26">
        <v>3</v>
      </c>
      <c r="P62" s="24"/>
      <c r="Q62" s="24"/>
      <c r="R62" s="24"/>
      <c r="S62" s="24"/>
      <c r="T62" s="25">
        <f t="shared" si="2"/>
        <v>0</v>
      </c>
    </row>
    <row r="63" spans="1:20" ht="15.75" x14ac:dyDescent="0.25">
      <c r="A63" s="3">
        <f t="shared" si="3"/>
        <v>54</v>
      </c>
      <c r="B63" s="11" t="s">
        <v>70</v>
      </c>
      <c r="C63" s="15" t="s">
        <v>124</v>
      </c>
      <c r="D63" s="2"/>
      <c r="E63" s="17" t="s">
        <v>107</v>
      </c>
      <c r="F63" s="6"/>
      <c r="G63" s="26">
        <v>6</v>
      </c>
      <c r="H63" s="24"/>
      <c r="I63" s="24"/>
      <c r="J63" s="24"/>
      <c r="K63" s="24"/>
      <c r="L63" s="24"/>
      <c r="M63" s="24"/>
      <c r="N63" s="25">
        <f t="shared" si="1"/>
        <v>0</v>
      </c>
      <c r="O63" s="26">
        <v>2</v>
      </c>
      <c r="P63" s="24"/>
      <c r="Q63" s="24"/>
      <c r="R63" s="24"/>
      <c r="S63" s="24"/>
      <c r="T63" s="25">
        <f t="shared" si="2"/>
        <v>0</v>
      </c>
    </row>
    <row r="64" spans="1:20" ht="15.75" x14ac:dyDescent="0.25">
      <c r="A64" s="3">
        <f t="shared" si="3"/>
        <v>55</v>
      </c>
      <c r="B64" s="11" t="s">
        <v>71</v>
      </c>
      <c r="C64" s="15" t="s">
        <v>124</v>
      </c>
      <c r="D64" s="2"/>
      <c r="E64" s="17" t="s">
        <v>117</v>
      </c>
      <c r="F64" s="6"/>
      <c r="G64" s="26">
        <v>3</v>
      </c>
      <c r="H64" s="24"/>
      <c r="I64" s="24"/>
      <c r="J64" s="24"/>
      <c r="K64" s="24"/>
      <c r="L64" s="24"/>
      <c r="M64" s="24"/>
      <c r="N64" s="25">
        <f t="shared" si="1"/>
        <v>0</v>
      </c>
      <c r="O64" s="26">
        <v>3</v>
      </c>
      <c r="P64" s="24"/>
      <c r="Q64" s="24"/>
      <c r="R64" s="24"/>
      <c r="S64" s="24"/>
      <c r="T64" s="25">
        <f t="shared" si="2"/>
        <v>0</v>
      </c>
    </row>
    <row r="65" spans="1:20" ht="16.5" customHeight="1" x14ac:dyDescent="0.25">
      <c r="A65" s="3">
        <f t="shared" si="3"/>
        <v>56</v>
      </c>
      <c r="B65" s="11" t="s">
        <v>72</v>
      </c>
      <c r="C65" s="15" t="s">
        <v>125</v>
      </c>
      <c r="D65" s="38" t="s">
        <v>126</v>
      </c>
      <c r="E65" s="17" t="s">
        <v>106</v>
      </c>
      <c r="F65" s="6"/>
      <c r="G65" s="26"/>
      <c r="H65" s="24"/>
      <c r="I65" s="24"/>
      <c r="J65" s="24"/>
      <c r="K65" s="24"/>
      <c r="L65" s="24"/>
      <c r="M65" s="24"/>
      <c r="N65" s="25">
        <f t="shared" si="1"/>
        <v>0</v>
      </c>
      <c r="O65" s="26"/>
      <c r="P65" s="24"/>
      <c r="Q65" s="24"/>
      <c r="R65" s="24"/>
      <c r="S65" s="24"/>
      <c r="T65" s="25">
        <f t="shared" si="2"/>
        <v>0</v>
      </c>
    </row>
    <row r="66" spans="1:20" ht="15.75" x14ac:dyDescent="0.25">
      <c r="A66" s="3">
        <f t="shared" si="3"/>
        <v>57</v>
      </c>
      <c r="B66" s="10" t="s">
        <v>73</v>
      </c>
      <c r="C66" s="15" t="s">
        <v>124</v>
      </c>
      <c r="D66" s="2"/>
      <c r="E66" s="17" t="s">
        <v>106</v>
      </c>
      <c r="F66" s="6"/>
      <c r="G66" s="26"/>
      <c r="H66" s="24"/>
      <c r="I66" s="24"/>
      <c r="J66" s="24"/>
      <c r="K66" s="24"/>
      <c r="L66" s="24"/>
      <c r="M66" s="24"/>
      <c r="N66" s="25">
        <f t="shared" si="1"/>
        <v>0</v>
      </c>
      <c r="O66" s="26"/>
      <c r="P66" s="24"/>
      <c r="Q66" s="24"/>
      <c r="R66" s="24"/>
      <c r="S66" s="24"/>
      <c r="T66" s="25">
        <f t="shared" si="2"/>
        <v>0</v>
      </c>
    </row>
    <row r="67" spans="1:20" ht="15.75" x14ac:dyDescent="0.25">
      <c r="A67" s="3">
        <f t="shared" si="3"/>
        <v>58</v>
      </c>
      <c r="B67" s="11" t="s">
        <v>74</v>
      </c>
      <c r="C67" s="15" t="s">
        <v>124</v>
      </c>
      <c r="D67" s="2"/>
      <c r="E67" s="17" t="s">
        <v>111</v>
      </c>
      <c r="F67" s="6"/>
      <c r="G67" s="26">
        <v>2</v>
      </c>
      <c r="H67" s="24"/>
      <c r="I67" s="24"/>
      <c r="J67" s="24"/>
      <c r="K67" s="24"/>
      <c r="L67" s="24"/>
      <c r="M67" s="24"/>
      <c r="N67" s="25">
        <f t="shared" si="1"/>
        <v>0</v>
      </c>
      <c r="O67" s="26">
        <v>9</v>
      </c>
      <c r="P67" s="24"/>
      <c r="Q67" s="24"/>
      <c r="R67" s="24"/>
      <c r="S67" s="24"/>
      <c r="T67" s="25">
        <f t="shared" si="2"/>
        <v>0</v>
      </c>
    </row>
    <row r="68" spans="1:20" ht="15.75" x14ac:dyDescent="0.25">
      <c r="A68" s="3">
        <f t="shared" si="3"/>
        <v>59</v>
      </c>
      <c r="B68" s="11" t="s">
        <v>75</v>
      </c>
      <c r="C68" s="15" t="s">
        <v>124</v>
      </c>
      <c r="D68" s="2"/>
      <c r="E68" s="17" t="s">
        <v>118</v>
      </c>
      <c r="F68" s="6"/>
      <c r="G68" s="26">
        <v>1</v>
      </c>
      <c r="H68" s="24"/>
      <c r="I68" s="24"/>
      <c r="J68" s="24"/>
      <c r="K68" s="24"/>
      <c r="L68" s="24"/>
      <c r="M68" s="24"/>
      <c r="N68" s="25">
        <f t="shared" si="1"/>
        <v>0</v>
      </c>
      <c r="O68" s="26">
        <v>1</v>
      </c>
      <c r="P68" s="24"/>
      <c r="Q68" s="24"/>
      <c r="R68" s="24"/>
      <c r="S68" s="24"/>
      <c r="T68" s="25">
        <f t="shared" si="2"/>
        <v>0</v>
      </c>
    </row>
    <row r="69" spans="1:20" ht="15.75" x14ac:dyDescent="0.25">
      <c r="A69" s="3">
        <f t="shared" si="3"/>
        <v>60</v>
      </c>
      <c r="B69" s="10" t="s">
        <v>76</v>
      </c>
      <c r="C69" s="15" t="s">
        <v>124</v>
      </c>
      <c r="D69" s="2"/>
      <c r="E69" s="10" t="s">
        <v>105</v>
      </c>
      <c r="F69" s="6"/>
      <c r="G69" s="26"/>
      <c r="H69" s="24"/>
      <c r="I69" s="24"/>
      <c r="J69" s="24"/>
      <c r="K69" s="24"/>
      <c r="L69" s="24"/>
      <c r="M69" s="24"/>
      <c r="N69" s="25">
        <f t="shared" si="1"/>
        <v>0</v>
      </c>
      <c r="O69" s="26">
        <v>2</v>
      </c>
      <c r="P69" s="24"/>
      <c r="Q69" s="24"/>
      <c r="R69" s="24"/>
      <c r="S69" s="24"/>
      <c r="T69" s="25">
        <f t="shared" si="2"/>
        <v>0</v>
      </c>
    </row>
    <row r="70" spans="1:20" ht="15.75" x14ac:dyDescent="0.25">
      <c r="A70" s="3">
        <f t="shared" si="3"/>
        <v>61</v>
      </c>
      <c r="B70" s="11" t="s">
        <v>77</v>
      </c>
      <c r="C70" s="15" t="s">
        <v>124</v>
      </c>
      <c r="D70" s="2"/>
      <c r="E70" s="10" t="s">
        <v>111</v>
      </c>
      <c r="F70" s="6"/>
      <c r="G70" s="26"/>
      <c r="H70" s="24"/>
      <c r="I70" s="24"/>
      <c r="J70" s="24"/>
      <c r="K70" s="24"/>
      <c r="L70" s="24"/>
      <c r="M70" s="24"/>
      <c r="N70" s="25">
        <f t="shared" si="1"/>
        <v>0</v>
      </c>
      <c r="O70" s="26">
        <v>2</v>
      </c>
      <c r="P70" s="24"/>
      <c r="Q70" s="24"/>
      <c r="R70" s="24"/>
      <c r="S70" s="24"/>
      <c r="T70" s="25">
        <f t="shared" si="2"/>
        <v>0</v>
      </c>
    </row>
    <row r="71" spans="1:20" ht="15.75" x14ac:dyDescent="0.25">
      <c r="A71" s="3">
        <f t="shared" si="3"/>
        <v>62</v>
      </c>
      <c r="B71" s="10" t="s">
        <v>78</v>
      </c>
      <c r="C71" s="15" t="s">
        <v>124</v>
      </c>
      <c r="D71" s="2"/>
      <c r="E71" s="23" t="s">
        <v>119</v>
      </c>
      <c r="F71" s="6"/>
      <c r="G71" s="26"/>
      <c r="H71" s="24"/>
      <c r="I71" s="24"/>
      <c r="J71" s="24"/>
      <c r="K71" s="24"/>
      <c r="L71" s="24"/>
      <c r="M71" s="24"/>
      <c r="N71" s="25">
        <f t="shared" si="1"/>
        <v>0</v>
      </c>
      <c r="O71" s="26"/>
      <c r="P71" s="24"/>
      <c r="Q71" s="24"/>
      <c r="R71" s="24"/>
      <c r="S71" s="24"/>
      <c r="T71" s="25">
        <f t="shared" si="2"/>
        <v>0</v>
      </c>
    </row>
    <row r="72" spans="1:20" ht="15.75" x14ac:dyDescent="0.25">
      <c r="A72" s="3">
        <f t="shared" si="3"/>
        <v>63</v>
      </c>
      <c r="B72" s="11" t="s">
        <v>79</v>
      </c>
      <c r="C72" s="15" t="s">
        <v>124</v>
      </c>
      <c r="D72" s="2"/>
      <c r="E72" s="17" t="s">
        <v>106</v>
      </c>
      <c r="F72" s="6"/>
      <c r="G72" s="26">
        <v>1</v>
      </c>
      <c r="H72" s="24">
        <v>1</v>
      </c>
      <c r="I72" s="24">
        <v>1</v>
      </c>
      <c r="J72" s="24"/>
      <c r="K72" s="24"/>
      <c r="L72" s="24"/>
      <c r="M72" s="24"/>
      <c r="N72" s="25">
        <f t="shared" si="1"/>
        <v>0</v>
      </c>
      <c r="O72" s="26">
        <v>1</v>
      </c>
      <c r="P72" s="24"/>
      <c r="Q72" s="24"/>
      <c r="R72" s="24"/>
      <c r="S72" s="24"/>
      <c r="T72" s="25">
        <f t="shared" si="2"/>
        <v>0</v>
      </c>
    </row>
    <row r="73" spans="1:20" ht="15.75" x14ac:dyDescent="0.25">
      <c r="A73" s="3">
        <f t="shared" si="3"/>
        <v>64</v>
      </c>
      <c r="B73" s="11" t="s">
        <v>80</v>
      </c>
      <c r="C73" s="15" t="s">
        <v>124</v>
      </c>
      <c r="D73" s="2"/>
      <c r="E73" s="17" t="s">
        <v>106</v>
      </c>
      <c r="F73" s="6"/>
      <c r="G73" s="26"/>
      <c r="H73" s="24"/>
      <c r="I73" s="24"/>
      <c r="J73" s="24"/>
      <c r="K73" s="24"/>
      <c r="L73" s="24"/>
      <c r="M73" s="24"/>
      <c r="N73" s="25">
        <f t="shared" si="1"/>
        <v>0</v>
      </c>
      <c r="O73" s="26"/>
      <c r="P73" s="24"/>
      <c r="Q73" s="24"/>
      <c r="R73" s="24"/>
      <c r="S73" s="24"/>
      <c r="T73" s="25">
        <f t="shared" si="2"/>
        <v>0</v>
      </c>
    </row>
    <row r="74" spans="1:20" ht="20.25" customHeight="1" x14ac:dyDescent="0.25">
      <c r="A74" s="3">
        <f t="shared" si="3"/>
        <v>65</v>
      </c>
      <c r="B74" s="14" t="s">
        <v>81</v>
      </c>
      <c r="C74" s="15" t="s">
        <v>124</v>
      </c>
      <c r="D74" s="2"/>
      <c r="E74" s="10" t="s">
        <v>106</v>
      </c>
      <c r="F74" s="6"/>
      <c r="G74" s="26"/>
      <c r="H74" s="24"/>
      <c r="I74" s="24"/>
      <c r="J74" s="24"/>
      <c r="K74" s="24"/>
      <c r="L74" s="24"/>
      <c r="M74" s="24"/>
      <c r="N74" s="25">
        <f t="shared" si="1"/>
        <v>0</v>
      </c>
      <c r="O74" s="26">
        <v>4</v>
      </c>
      <c r="P74" s="24"/>
      <c r="Q74" s="24"/>
      <c r="R74" s="24"/>
      <c r="S74" s="24"/>
      <c r="T74" s="25">
        <f t="shared" si="2"/>
        <v>0</v>
      </c>
    </row>
    <row r="75" spans="1:20" ht="15.75" x14ac:dyDescent="0.25">
      <c r="A75" s="3">
        <f t="shared" si="3"/>
        <v>66</v>
      </c>
      <c r="B75" s="14" t="s">
        <v>82</v>
      </c>
      <c r="C75" s="15" t="s">
        <v>124</v>
      </c>
      <c r="D75" s="2"/>
      <c r="E75" s="10" t="s">
        <v>106</v>
      </c>
      <c r="F75" s="6"/>
      <c r="G75" s="26">
        <v>1</v>
      </c>
      <c r="H75" s="24"/>
      <c r="I75" s="24"/>
      <c r="J75" s="24"/>
      <c r="K75" s="24"/>
      <c r="L75" s="24"/>
      <c r="M75" s="24"/>
      <c r="N75" s="25">
        <f t="shared" si="1"/>
        <v>0</v>
      </c>
      <c r="O75" s="26"/>
      <c r="P75" s="24"/>
      <c r="Q75" s="24"/>
      <c r="R75" s="24"/>
      <c r="S75" s="24"/>
      <c r="T75" s="25">
        <f t="shared" si="2"/>
        <v>0</v>
      </c>
    </row>
    <row r="76" spans="1:20" ht="15.75" x14ac:dyDescent="0.25">
      <c r="A76" s="3">
        <f t="shared" si="3"/>
        <v>67</v>
      </c>
      <c r="B76" s="14" t="s">
        <v>83</v>
      </c>
      <c r="C76" s="15" t="s">
        <v>124</v>
      </c>
      <c r="D76" s="2"/>
      <c r="E76" s="10" t="s">
        <v>106</v>
      </c>
      <c r="F76" s="6"/>
      <c r="G76" s="26">
        <v>2</v>
      </c>
      <c r="H76" s="24">
        <v>1</v>
      </c>
      <c r="I76" s="24">
        <v>1</v>
      </c>
      <c r="J76" s="24"/>
      <c r="K76" s="24"/>
      <c r="L76" s="24"/>
      <c r="M76" s="24"/>
      <c r="N76" s="25">
        <f t="shared" ref="N76:N98" si="4" xml:space="preserve"> (L76-M76)</f>
        <v>0</v>
      </c>
      <c r="O76" s="26">
        <v>5</v>
      </c>
      <c r="P76" s="24"/>
      <c r="Q76" s="24"/>
      <c r="R76" s="24"/>
      <c r="S76" s="24"/>
      <c r="T76" s="25">
        <f t="shared" ref="T76:T98" si="5" xml:space="preserve"> (R76-S76)</f>
        <v>0</v>
      </c>
    </row>
    <row r="77" spans="1:20" ht="15.75" x14ac:dyDescent="0.25">
      <c r="A77" s="3">
        <f t="shared" ref="A77:A98" si="6">A76+1</f>
        <v>68</v>
      </c>
      <c r="B77" s="11" t="s">
        <v>84</v>
      </c>
      <c r="C77" s="15" t="s">
        <v>124</v>
      </c>
      <c r="D77" s="2"/>
      <c r="E77" s="10" t="s">
        <v>120</v>
      </c>
      <c r="F77" s="6"/>
      <c r="G77" s="26"/>
      <c r="H77" s="24"/>
      <c r="I77" s="24"/>
      <c r="J77" s="24"/>
      <c r="K77" s="24"/>
      <c r="L77" s="24"/>
      <c r="M77" s="24"/>
      <c r="N77" s="25">
        <f t="shared" si="4"/>
        <v>0</v>
      </c>
      <c r="O77" s="26"/>
      <c r="P77" s="24"/>
      <c r="Q77" s="24"/>
      <c r="R77" s="24"/>
      <c r="S77" s="24"/>
      <c r="T77" s="25">
        <f t="shared" si="5"/>
        <v>0</v>
      </c>
    </row>
    <row r="78" spans="1:20" ht="15.75" x14ac:dyDescent="0.25">
      <c r="A78" s="3">
        <f t="shared" si="6"/>
        <v>69</v>
      </c>
      <c r="B78" s="13" t="s">
        <v>85</v>
      </c>
      <c r="C78" s="15" t="s">
        <v>124</v>
      </c>
      <c r="D78" s="2"/>
      <c r="E78" s="19" t="s">
        <v>106</v>
      </c>
      <c r="F78" s="6"/>
      <c r="G78" s="26">
        <v>2</v>
      </c>
      <c r="H78" s="24"/>
      <c r="I78" s="24"/>
      <c r="J78" s="24"/>
      <c r="K78" s="24"/>
      <c r="L78" s="24"/>
      <c r="M78" s="24"/>
      <c r="N78" s="25">
        <f t="shared" si="4"/>
        <v>0</v>
      </c>
      <c r="O78" s="26"/>
      <c r="P78" s="24"/>
      <c r="Q78" s="24"/>
      <c r="R78" s="24"/>
      <c r="S78" s="24"/>
      <c r="T78" s="25">
        <f t="shared" si="5"/>
        <v>0</v>
      </c>
    </row>
    <row r="79" spans="1:20" ht="15.75" x14ac:dyDescent="0.25">
      <c r="A79" s="3">
        <f t="shared" si="6"/>
        <v>70</v>
      </c>
      <c r="B79" s="10" t="s">
        <v>86</v>
      </c>
      <c r="C79" s="15" t="s">
        <v>124</v>
      </c>
      <c r="D79" s="2"/>
      <c r="E79" s="22" t="s">
        <v>118</v>
      </c>
      <c r="F79" s="6"/>
      <c r="G79" s="26">
        <v>3</v>
      </c>
      <c r="H79" s="24"/>
      <c r="I79" s="24"/>
      <c r="J79" s="24"/>
      <c r="K79" s="24"/>
      <c r="L79" s="24"/>
      <c r="M79" s="24"/>
      <c r="N79" s="25">
        <f t="shared" si="4"/>
        <v>0</v>
      </c>
      <c r="O79" s="26"/>
      <c r="P79" s="24"/>
      <c r="Q79" s="24"/>
      <c r="R79" s="24"/>
      <c r="S79" s="24"/>
      <c r="T79" s="25">
        <f t="shared" si="5"/>
        <v>0</v>
      </c>
    </row>
    <row r="80" spans="1:20" ht="15.75" x14ac:dyDescent="0.25">
      <c r="A80" s="3">
        <f t="shared" si="6"/>
        <v>71</v>
      </c>
      <c r="B80" s="10" t="s">
        <v>87</v>
      </c>
      <c r="C80" s="15" t="s">
        <v>124</v>
      </c>
      <c r="D80" s="2"/>
      <c r="E80" s="22" t="s">
        <v>115</v>
      </c>
      <c r="F80" s="6"/>
      <c r="G80" s="26">
        <v>1</v>
      </c>
      <c r="H80" s="24"/>
      <c r="I80" s="24"/>
      <c r="J80" s="24"/>
      <c r="K80" s="24"/>
      <c r="L80" s="24"/>
      <c r="M80" s="24"/>
      <c r="N80" s="25">
        <f t="shared" si="4"/>
        <v>0</v>
      </c>
      <c r="O80" s="26"/>
      <c r="P80" s="24"/>
      <c r="Q80" s="24"/>
      <c r="R80" s="24"/>
      <c r="S80" s="24"/>
      <c r="T80" s="25">
        <f t="shared" si="5"/>
        <v>0</v>
      </c>
    </row>
    <row r="81" spans="1:20" ht="15.75" x14ac:dyDescent="0.25">
      <c r="A81" s="3">
        <f t="shared" si="6"/>
        <v>72</v>
      </c>
      <c r="B81" s="11" t="s">
        <v>88</v>
      </c>
      <c r="C81" s="15" t="s">
        <v>124</v>
      </c>
      <c r="D81" s="2"/>
      <c r="E81" s="17" t="s">
        <v>121</v>
      </c>
      <c r="F81" s="6"/>
      <c r="G81" s="26">
        <v>4</v>
      </c>
      <c r="H81" s="24"/>
      <c r="I81" s="24"/>
      <c r="J81" s="24"/>
      <c r="K81" s="24"/>
      <c r="L81" s="24"/>
      <c r="M81" s="24"/>
      <c r="N81" s="25">
        <f t="shared" si="4"/>
        <v>0</v>
      </c>
      <c r="O81" s="26">
        <v>4</v>
      </c>
      <c r="P81" s="24"/>
      <c r="Q81" s="24"/>
      <c r="R81" s="24"/>
      <c r="S81" s="24"/>
      <c r="T81" s="25">
        <f t="shared" si="5"/>
        <v>0</v>
      </c>
    </row>
    <row r="82" spans="1:20" ht="15.75" x14ac:dyDescent="0.25">
      <c r="A82" s="3">
        <f t="shared" si="6"/>
        <v>73</v>
      </c>
      <c r="B82" s="14" t="s">
        <v>89</v>
      </c>
      <c r="C82" s="15" t="s">
        <v>124</v>
      </c>
      <c r="D82" s="2"/>
      <c r="E82" s="19" t="s">
        <v>106</v>
      </c>
      <c r="F82" s="6"/>
      <c r="G82" s="26"/>
      <c r="H82" s="24"/>
      <c r="I82" s="24"/>
      <c r="J82" s="24"/>
      <c r="K82" s="24"/>
      <c r="L82" s="24"/>
      <c r="M82" s="24"/>
      <c r="N82" s="25">
        <f t="shared" si="4"/>
        <v>0</v>
      </c>
      <c r="O82" s="26"/>
      <c r="P82" s="24"/>
      <c r="Q82" s="24"/>
      <c r="R82" s="24"/>
      <c r="S82" s="24"/>
      <c r="T82" s="25">
        <f t="shared" si="5"/>
        <v>0</v>
      </c>
    </row>
    <row r="83" spans="1:20" ht="15.75" x14ac:dyDescent="0.25">
      <c r="A83" s="3">
        <f t="shared" si="6"/>
        <v>74</v>
      </c>
      <c r="B83" s="14" t="s">
        <v>90</v>
      </c>
      <c r="C83" s="15" t="s">
        <v>124</v>
      </c>
      <c r="D83" s="2"/>
      <c r="E83" s="19" t="s">
        <v>106</v>
      </c>
      <c r="F83" s="6"/>
      <c r="G83" s="26"/>
      <c r="H83" s="24"/>
      <c r="I83" s="24"/>
      <c r="J83" s="24"/>
      <c r="K83" s="24"/>
      <c r="L83" s="24"/>
      <c r="M83" s="24"/>
      <c r="N83" s="25">
        <f t="shared" si="4"/>
        <v>0</v>
      </c>
      <c r="O83" s="26"/>
      <c r="P83" s="24"/>
      <c r="Q83" s="24"/>
      <c r="R83" s="24"/>
      <c r="S83" s="24"/>
      <c r="T83" s="25">
        <f t="shared" si="5"/>
        <v>0</v>
      </c>
    </row>
    <row r="84" spans="1:20" ht="15.75" x14ac:dyDescent="0.25">
      <c r="A84" s="3">
        <f t="shared" si="6"/>
        <v>75</v>
      </c>
      <c r="B84" s="10" t="s">
        <v>91</v>
      </c>
      <c r="C84" s="15" t="s">
        <v>124</v>
      </c>
      <c r="D84" s="2"/>
      <c r="E84" s="17" t="s">
        <v>111</v>
      </c>
      <c r="F84" s="6"/>
      <c r="G84" s="26">
        <v>1</v>
      </c>
      <c r="H84" s="24"/>
      <c r="I84" s="24"/>
      <c r="J84" s="24"/>
      <c r="K84" s="24"/>
      <c r="L84" s="24"/>
      <c r="M84" s="24"/>
      <c r="N84" s="25">
        <f t="shared" si="4"/>
        <v>0</v>
      </c>
      <c r="O84" s="26">
        <v>3</v>
      </c>
      <c r="P84" s="24"/>
      <c r="Q84" s="24"/>
      <c r="R84" s="24"/>
      <c r="S84" s="24"/>
      <c r="T84" s="25">
        <f t="shared" si="5"/>
        <v>0</v>
      </c>
    </row>
    <row r="85" spans="1:20" ht="15.75" x14ac:dyDescent="0.25">
      <c r="A85" s="3">
        <f t="shared" si="6"/>
        <v>76</v>
      </c>
      <c r="B85" s="10" t="s">
        <v>92</v>
      </c>
      <c r="C85" s="15" t="s">
        <v>124</v>
      </c>
      <c r="D85" s="2"/>
      <c r="E85" s="19" t="s">
        <v>106</v>
      </c>
      <c r="F85" s="6"/>
      <c r="G85" s="26">
        <v>1</v>
      </c>
      <c r="H85" s="24"/>
      <c r="I85" s="24"/>
      <c r="J85" s="24"/>
      <c r="K85" s="24"/>
      <c r="L85" s="24"/>
      <c r="M85" s="24"/>
      <c r="N85" s="25">
        <f t="shared" si="4"/>
        <v>0</v>
      </c>
      <c r="O85" s="26">
        <v>1</v>
      </c>
      <c r="P85" s="24"/>
      <c r="Q85" s="24"/>
      <c r="R85" s="24"/>
      <c r="S85" s="24"/>
      <c r="T85" s="25">
        <f t="shared" si="5"/>
        <v>0</v>
      </c>
    </row>
    <row r="86" spans="1:20" ht="15.75" x14ac:dyDescent="0.25">
      <c r="A86" s="3">
        <f t="shared" si="6"/>
        <v>77</v>
      </c>
      <c r="B86" s="11" t="s">
        <v>93</v>
      </c>
      <c r="C86" s="15" t="s">
        <v>124</v>
      </c>
      <c r="D86" s="2"/>
      <c r="E86" s="17" t="s">
        <v>122</v>
      </c>
      <c r="F86" s="6"/>
      <c r="G86" s="26">
        <v>1</v>
      </c>
      <c r="H86" s="24"/>
      <c r="I86" s="24"/>
      <c r="J86" s="24"/>
      <c r="K86" s="24"/>
      <c r="L86" s="24"/>
      <c r="M86" s="24"/>
      <c r="N86" s="25">
        <f t="shared" si="4"/>
        <v>0</v>
      </c>
      <c r="O86" s="26"/>
      <c r="P86" s="24"/>
      <c r="Q86" s="24"/>
      <c r="R86" s="24"/>
      <c r="S86" s="24"/>
      <c r="T86" s="25">
        <f t="shared" si="5"/>
        <v>0</v>
      </c>
    </row>
    <row r="87" spans="1:20" ht="15.75" x14ac:dyDescent="0.25">
      <c r="A87" s="3">
        <f t="shared" si="6"/>
        <v>78</v>
      </c>
      <c r="B87" s="11" t="s">
        <v>94</v>
      </c>
      <c r="C87" s="15" t="s">
        <v>124</v>
      </c>
      <c r="D87" s="2"/>
      <c r="E87" s="19" t="s">
        <v>106</v>
      </c>
      <c r="F87" s="6"/>
      <c r="G87" s="26"/>
      <c r="H87" s="24"/>
      <c r="I87" s="24"/>
      <c r="J87" s="24"/>
      <c r="K87" s="24"/>
      <c r="L87" s="24"/>
      <c r="M87" s="24"/>
      <c r="N87" s="25">
        <f t="shared" si="4"/>
        <v>0</v>
      </c>
      <c r="O87" s="26"/>
      <c r="P87" s="24"/>
      <c r="Q87" s="24"/>
      <c r="R87" s="24"/>
      <c r="S87" s="24"/>
      <c r="T87" s="25">
        <f t="shared" si="5"/>
        <v>0</v>
      </c>
    </row>
    <row r="88" spans="1:20" ht="15.75" x14ac:dyDescent="0.25">
      <c r="A88" s="3">
        <f t="shared" si="6"/>
        <v>79</v>
      </c>
      <c r="B88" s="11" t="s">
        <v>95</v>
      </c>
      <c r="C88" s="15" t="s">
        <v>124</v>
      </c>
      <c r="D88" s="2"/>
      <c r="E88" s="19" t="s">
        <v>123</v>
      </c>
      <c r="F88" s="6"/>
      <c r="G88" s="26">
        <v>2</v>
      </c>
      <c r="H88" s="24"/>
      <c r="I88" s="24"/>
      <c r="J88" s="24"/>
      <c r="K88" s="24"/>
      <c r="L88" s="24"/>
      <c r="M88" s="24"/>
      <c r="N88" s="25">
        <f t="shared" si="4"/>
        <v>0</v>
      </c>
      <c r="O88" s="26">
        <v>1</v>
      </c>
      <c r="P88" s="24"/>
      <c r="Q88" s="24"/>
      <c r="R88" s="24"/>
      <c r="S88" s="24"/>
      <c r="T88" s="25">
        <f t="shared" si="5"/>
        <v>0</v>
      </c>
    </row>
    <row r="89" spans="1:20" ht="15.75" x14ac:dyDescent="0.25">
      <c r="A89" s="3">
        <f t="shared" si="6"/>
        <v>80</v>
      </c>
      <c r="B89" s="11" t="s">
        <v>96</v>
      </c>
      <c r="C89" s="15" t="s">
        <v>124</v>
      </c>
      <c r="D89" s="2"/>
      <c r="E89" s="22" t="s">
        <v>112</v>
      </c>
      <c r="F89" s="6"/>
      <c r="G89" s="26">
        <v>4</v>
      </c>
      <c r="H89" s="24"/>
      <c r="I89" s="24"/>
      <c r="J89" s="24"/>
      <c r="K89" s="24"/>
      <c r="L89" s="24"/>
      <c r="M89" s="24"/>
      <c r="N89" s="25">
        <f t="shared" si="4"/>
        <v>0</v>
      </c>
      <c r="O89" s="26">
        <v>3</v>
      </c>
      <c r="P89" s="24"/>
      <c r="Q89" s="24"/>
      <c r="R89" s="24"/>
      <c r="S89" s="24"/>
      <c r="T89" s="25">
        <f t="shared" si="5"/>
        <v>0</v>
      </c>
    </row>
    <row r="90" spans="1:20" ht="15.75" x14ac:dyDescent="0.25">
      <c r="A90" s="3">
        <f t="shared" si="6"/>
        <v>81</v>
      </c>
      <c r="B90" s="11" t="s">
        <v>97</v>
      </c>
      <c r="C90" s="15" t="s">
        <v>124</v>
      </c>
      <c r="D90" s="2"/>
      <c r="E90" s="17" t="s">
        <v>111</v>
      </c>
      <c r="F90" s="6"/>
      <c r="G90" s="26">
        <v>3</v>
      </c>
      <c r="H90" s="24"/>
      <c r="I90" s="24"/>
      <c r="J90" s="24"/>
      <c r="K90" s="24"/>
      <c r="L90" s="24"/>
      <c r="M90" s="24"/>
      <c r="N90" s="25">
        <f t="shared" si="4"/>
        <v>0</v>
      </c>
      <c r="O90" s="26">
        <v>7</v>
      </c>
      <c r="P90" s="24"/>
      <c r="Q90" s="24"/>
      <c r="R90" s="24"/>
      <c r="S90" s="24"/>
      <c r="T90" s="25">
        <f t="shared" si="5"/>
        <v>0</v>
      </c>
    </row>
    <row r="91" spans="1:20" ht="15.75" x14ac:dyDescent="0.25">
      <c r="A91" s="3">
        <f t="shared" si="6"/>
        <v>82</v>
      </c>
      <c r="B91" s="10" t="s">
        <v>98</v>
      </c>
      <c r="C91" s="15" t="s">
        <v>124</v>
      </c>
      <c r="D91" s="2"/>
      <c r="E91" s="19" t="s">
        <v>106</v>
      </c>
      <c r="F91" s="6"/>
      <c r="G91" s="26">
        <v>5</v>
      </c>
      <c r="H91" s="24"/>
      <c r="I91" s="24"/>
      <c r="J91" s="24"/>
      <c r="K91" s="24"/>
      <c r="L91" s="24"/>
      <c r="M91" s="24"/>
      <c r="N91" s="25">
        <f t="shared" si="4"/>
        <v>0</v>
      </c>
      <c r="O91" s="26">
        <v>1</v>
      </c>
      <c r="P91" s="24"/>
      <c r="Q91" s="24"/>
      <c r="R91" s="24"/>
      <c r="S91" s="24"/>
      <c r="T91" s="25">
        <f t="shared" si="5"/>
        <v>0</v>
      </c>
    </row>
    <row r="92" spans="1:20" ht="15.75" x14ac:dyDescent="0.25">
      <c r="A92" s="3">
        <f t="shared" si="6"/>
        <v>83</v>
      </c>
      <c r="B92" s="10" t="s">
        <v>129</v>
      </c>
      <c r="C92" s="15" t="s">
        <v>124</v>
      </c>
      <c r="D92" s="2"/>
      <c r="E92" s="19" t="s">
        <v>106</v>
      </c>
      <c r="F92" s="6"/>
      <c r="G92" s="26">
        <v>1</v>
      </c>
      <c r="H92" s="24"/>
      <c r="I92" s="24"/>
      <c r="J92" s="24"/>
      <c r="K92" s="24"/>
      <c r="L92" s="24"/>
      <c r="M92" s="24"/>
      <c r="N92" s="25">
        <f t="shared" si="4"/>
        <v>0</v>
      </c>
      <c r="O92" s="26"/>
      <c r="P92" s="24"/>
      <c r="Q92" s="24"/>
      <c r="R92" s="24"/>
      <c r="S92" s="24"/>
      <c r="T92" s="25">
        <f t="shared" si="5"/>
        <v>0</v>
      </c>
    </row>
    <row r="93" spans="1:20" ht="15.75" x14ac:dyDescent="0.25">
      <c r="A93" s="3">
        <f t="shared" si="6"/>
        <v>84</v>
      </c>
      <c r="B93" s="10" t="s">
        <v>99</v>
      </c>
      <c r="C93" s="15" t="s">
        <v>124</v>
      </c>
      <c r="D93" s="2"/>
      <c r="E93" s="19" t="s">
        <v>106</v>
      </c>
      <c r="F93" s="6"/>
      <c r="G93" s="26">
        <v>3</v>
      </c>
      <c r="H93" s="24">
        <v>1</v>
      </c>
      <c r="I93" s="24">
        <v>1</v>
      </c>
      <c r="J93" s="24"/>
      <c r="K93" s="24"/>
      <c r="L93" s="24"/>
      <c r="M93" s="24"/>
      <c r="N93" s="25">
        <f t="shared" si="4"/>
        <v>0</v>
      </c>
      <c r="O93" s="26">
        <v>2</v>
      </c>
      <c r="P93" s="24"/>
      <c r="Q93" s="24"/>
      <c r="R93" s="24"/>
      <c r="S93" s="24"/>
      <c r="T93" s="25">
        <f t="shared" si="5"/>
        <v>0</v>
      </c>
    </row>
    <row r="94" spans="1:20" ht="15.75" x14ac:dyDescent="0.25">
      <c r="A94" s="3">
        <f t="shared" si="6"/>
        <v>85</v>
      </c>
      <c r="B94" s="13" t="s">
        <v>100</v>
      </c>
      <c r="C94" s="15" t="s">
        <v>124</v>
      </c>
      <c r="D94" s="2"/>
      <c r="E94" s="19" t="s">
        <v>106</v>
      </c>
      <c r="F94" s="6"/>
      <c r="G94" s="26">
        <v>1</v>
      </c>
      <c r="H94" s="24"/>
      <c r="I94" s="24"/>
      <c r="J94" s="24"/>
      <c r="K94" s="24"/>
      <c r="L94" s="24"/>
      <c r="M94" s="24"/>
      <c r="N94" s="25">
        <f t="shared" si="4"/>
        <v>0</v>
      </c>
      <c r="O94" s="26"/>
      <c r="P94" s="24"/>
      <c r="Q94" s="24"/>
      <c r="R94" s="24"/>
      <c r="S94" s="24"/>
      <c r="T94" s="25">
        <f t="shared" si="5"/>
        <v>0</v>
      </c>
    </row>
    <row r="95" spans="1:20" ht="15.75" x14ac:dyDescent="0.25">
      <c r="A95" s="3">
        <f t="shared" si="6"/>
        <v>86</v>
      </c>
      <c r="B95" s="13" t="s">
        <v>101</v>
      </c>
      <c r="C95" s="15" t="s">
        <v>124</v>
      </c>
      <c r="D95" s="2"/>
      <c r="E95" s="17" t="s">
        <v>106</v>
      </c>
      <c r="F95" s="6"/>
      <c r="G95" s="26">
        <v>1</v>
      </c>
      <c r="H95" s="24"/>
      <c r="I95" s="24"/>
      <c r="J95" s="24"/>
      <c r="K95" s="24"/>
      <c r="L95" s="24"/>
      <c r="M95" s="24"/>
      <c r="N95" s="25">
        <f t="shared" si="4"/>
        <v>0</v>
      </c>
      <c r="O95" s="26"/>
      <c r="P95" s="24"/>
      <c r="Q95" s="24"/>
      <c r="R95" s="24"/>
      <c r="S95" s="24"/>
      <c r="T95" s="25">
        <f t="shared" si="5"/>
        <v>0</v>
      </c>
    </row>
    <row r="96" spans="1:20" ht="15.75" x14ac:dyDescent="0.25">
      <c r="A96" s="3">
        <f t="shared" si="6"/>
        <v>87</v>
      </c>
      <c r="B96" s="13" t="s">
        <v>102</v>
      </c>
      <c r="C96" s="15" t="s">
        <v>124</v>
      </c>
      <c r="D96" s="2"/>
      <c r="E96" s="17" t="s">
        <v>106</v>
      </c>
      <c r="F96" s="6"/>
      <c r="G96" s="26">
        <v>4</v>
      </c>
      <c r="H96" s="24"/>
      <c r="I96" s="24"/>
      <c r="J96" s="24"/>
      <c r="K96" s="24"/>
      <c r="L96" s="24"/>
      <c r="M96" s="24"/>
      <c r="N96" s="25">
        <f t="shared" si="4"/>
        <v>0</v>
      </c>
      <c r="O96" s="26">
        <v>4</v>
      </c>
      <c r="P96" s="24"/>
      <c r="Q96" s="24"/>
      <c r="R96" s="24"/>
      <c r="S96" s="24"/>
      <c r="T96" s="25">
        <f t="shared" si="5"/>
        <v>0</v>
      </c>
    </row>
    <row r="97" spans="1:20" ht="15.75" x14ac:dyDescent="0.25">
      <c r="A97" s="3">
        <f t="shared" si="6"/>
        <v>88</v>
      </c>
      <c r="B97" s="11" t="s">
        <v>103</v>
      </c>
      <c r="C97" s="15" t="s">
        <v>124</v>
      </c>
      <c r="D97" s="2"/>
      <c r="E97" s="22" t="s">
        <v>112</v>
      </c>
      <c r="F97" s="6"/>
      <c r="G97" s="26">
        <v>2</v>
      </c>
      <c r="H97" s="24"/>
      <c r="I97" s="24"/>
      <c r="J97" s="24"/>
      <c r="K97" s="24"/>
      <c r="L97" s="24"/>
      <c r="M97" s="24"/>
      <c r="N97" s="25">
        <f t="shared" si="4"/>
        <v>0</v>
      </c>
      <c r="O97" s="26">
        <v>6</v>
      </c>
      <c r="P97" s="24"/>
      <c r="Q97" s="24"/>
      <c r="R97" s="24"/>
      <c r="S97" s="24"/>
      <c r="T97" s="25">
        <f t="shared" si="5"/>
        <v>0</v>
      </c>
    </row>
    <row r="98" spans="1:20" ht="16.5" thickBot="1" x14ac:dyDescent="0.3">
      <c r="A98" s="3">
        <f t="shared" si="6"/>
        <v>89</v>
      </c>
      <c r="B98" s="30" t="s">
        <v>104</v>
      </c>
      <c r="C98" s="31" t="s">
        <v>124</v>
      </c>
      <c r="D98" s="32"/>
      <c r="E98" s="33" t="s">
        <v>106</v>
      </c>
      <c r="F98" s="34"/>
      <c r="G98" s="35">
        <v>2</v>
      </c>
      <c r="H98" s="36"/>
      <c r="I98" s="36"/>
      <c r="J98" s="36"/>
      <c r="K98" s="36"/>
      <c r="L98" s="36"/>
      <c r="M98" s="36"/>
      <c r="N98" s="37">
        <f t="shared" si="4"/>
        <v>0</v>
      </c>
      <c r="O98" s="35"/>
      <c r="P98" s="36"/>
      <c r="Q98" s="36"/>
      <c r="R98" s="36"/>
      <c r="S98" s="36"/>
      <c r="T98" s="37">
        <f t="shared" si="5"/>
        <v>0</v>
      </c>
    </row>
    <row r="99" spans="1:20" x14ac:dyDescent="0.25">
      <c r="A99" s="294"/>
      <c r="B99" s="294"/>
      <c r="C99" s="294"/>
      <c r="D99" s="294"/>
      <c r="E99" s="294"/>
      <c r="F99" s="294"/>
      <c r="G99" s="27">
        <f>SUM(G10:G98)</f>
        <v>135</v>
      </c>
      <c r="H99" s="27">
        <f>SUM(H18:H98)</f>
        <v>9</v>
      </c>
      <c r="I99" s="27">
        <f>SUM(I18:I98)</f>
        <v>10</v>
      </c>
      <c r="J99" s="27"/>
      <c r="K99" s="27"/>
      <c r="L99" s="27"/>
      <c r="M99" s="27"/>
      <c r="N99" s="27"/>
      <c r="O99" s="27">
        <f>SUM(O11:O98)</f>
        <v>170</v>
      </c>
      <c r="P99" s="27"/>
      <c r="Q99" s="27"/>
      <c r="R99" s="27"/>
      <c r="S99" s="28"/>
      <c r="T99" s="28"/>
    </row>
  </sheetData>
  <mergeCells count="8">
    <mergeCell ref="A99:F99"/>
    <mergeCell ref="A1:Q1"/>
    <mergeCell ref="R1:T1"/>
    <mergeCell ref="A2:T6"/>
    <mergeCell ref="A7:A8"/>
    <mergeCell ref="B7:F7"/>
    <mergeCell ref="G7:N7"/>
    <mergeCell ref="O7:T7"/>
  </mergeCells>
  <phoneticPr fontId="0" type="noConversion"/>
  <pageMargins left="0.7" right="0.7" top="0.75" bottom="0.75" header="0.3" footer="0.3"/>
  <pageSetup paperSize="9" scale="40" orientation="portrait" r:id="rId1"/>
  <webPublishItems count="1">
    <webPublishItem id="27501" divId="sumy_lawyers_workload_fees_2016_27501" sourceType="sheet" destinationFile="C:\Users\User\Desktop\sumy_lawyers_workload_fees_2016.htm"/>
  </webPublishItem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9"/>
  <sheetViews>
    <sheetView topLeftCell="C1" zoomScale="80" zoomScaleNormal="80" workbookViewId="0">
      <selection activeCell="O8" sqref="O8"/>
    </sheetView>
  </sheetViews>
  <sheetFormatPr defaultRowHeight="15.75" x14ac:dyDescent="0.25"/>
  <cols>
    <col min="1" max="1" width="6.28515625" style="155" hidden="1" customWidth="1"/>
    <col min="2" max="2" width="9.140625" style="184" hidden="1" customWidth="1"/>
    <col min="3" max="3" width="34.42578125" style="184" customWidth="1"/>
    <col min="4" max="4" width="9.140625" style="184" customWidth="1"/>
    <col min="5" max="5" width="14.5703125" style="184" customWidth="1"/>
    <col min="6" max="6" width="25.140625" style="184" customWidth="1"/>
    <col min="7" max="7" width="20.42578125" style="184" customWidth="1"/>
    <col min="8" max="10" width="9.140625" style="184" customWidth="1"/>
    <col min="11" max="12" width="9.140625" style="227" customWidth="1"/>
    <col min="13" max="13" width="14.5703125" style="228" customWidth="1"/>
    <col min="14" max="14" width="12.42578125" style="228" customWidth="1"/>
    <col min="15" max="15" width="12.28515625" style="228" customWidth="1"/>
    <col min="16" max="18" width="9.140625" style="228" customWidth="1"/>
    <col min="19" max="19" width="16.85546875" style="185" customWidth="1"/>
    <col min="20" max="20" width="10.7109375" style="185" customWidth="1"/>
    <col min="21" max="21" width="10.7109375" style="186" customWidth="1"/>
    <col min="22" max="22" width="15" style="134" customWidth="1"/>
    <col min="23" max="23" width="14" style="134" customWidth="1"/>
    <col min="24" max="24" width="9.140625" style="134" customWidth="1"/>
    <col min="25" max="25" width="9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0.28515625" style="134" bestFit="1" customWidth="1"/>
    <col min="35" max="37" width="0" style="134" hidden="1" customWidth="1"/>
    <col min="38" max="42" width="8.8554687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292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291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35</v>
      </c>
      <c r="I10" s="75">
        <v>20</v>
      </c>
      <c r="J10" s="75">
        <v>23</v>
      </c>
      <c r="K10" s="209">
        <v>23</v>
      </c>
      <c r="L10" s="210">
        <v>22</v>
      </c>
      <c r="M10" s="211">
        <f>8818.63+2629.32+1661.28+2228.94</f>
        <v>15338.17</v>
      </c>
      <c r="N10" s="211">
        <f>8818.63+2629.32+1661.28</f>
        <v>13109.23</v>
      </c>
      <c r="O10" s="212">
        <f xml:space="preserve"> (M10-N10)</f>
        <v>2228.9400000000005</v>
      </c>
      <c r="P10" s="213">
        <v>8</v>
      </c>
      <c r="Q10" s="214">
        <v>8</v>
      </c>
      <c r="R10" s="215">
        <v>8</v>
      </c>
      <c r="S10" s="97">
        <f>4246.75+895.7+2557.8</f>
        <v>7700.25</v>
      </c>
      <c r="T10" s="97">
        <f>4246.75+895.7</f>
        <v>5142.45</v>
      </c>
      <c r="U10" s="97">
        <f xml:space="preserve"> (S10-T10)</f>
        <v>2557.8000000000002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11</v>
      </c>
      <c r="I11" s="75">
        <v>11</v>
      </c>
      <c r="J11" s="75">
        <v>11</v>
      </c>
      <c r="K11" s="209">
        <v>11</v>
      </c>
      <c r="L11" s="210">
        <v>9</v>
      </c>
      <c r="M11" s="211">
        <f>1778.86+580+1740</f>
        <v>4098.8599999999997</v>
      </c>
      <c r="N11" s="211">
        <f>1778.86+580+1740</f>
        <v>4098.8599999999997</v>
      </c>
      <c r="O11" s="212">
        <f t="shared" ref="O11:O74" si="1" xml:space="preserve"> (M11-N11)</f>
        <v>0</v>
      </c>
      <c r="P11" s="213">
        <v>2</v>
      </c>
      <c r="Q11" s="21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75"/>
      <c r="J12" s="75"/>
      <c r="K12" s="209"/>
      <c r="L12" s="210"/>
      <c r="M12" s="211"/>
      <c r="N12" s="211"/>
      <c r="O12" s="212">
        <f t="shared" si="1"/>
        <v>0</v>
      </c>
      <c r="P12" s="213">
        <v>3</v>
      </c>
      <c r="Q12" s="21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20</v>
      </c>
      <c r="I13" s="75">
        <v>8</v>
      </c>
      <c r="J13" s="75">
        <v>11</v>
      </c>
      <c r="K13" s="209">
        <v>11</v>
      </c>
      <c r="L13" s="210">
        <v>11</v>
      </c>
      <c r="M13" s="211">
        <f>272.84+2699.54+4096.17</f>
        <v>7068.55</v>
      </c>
      <c r="N13" s="211">
        <f>272.84+2699.54+4096.17</f>
        <v>7068.55</v>
      </c>
      <c r="O13" s="212">
        <f t="shared" si="1"/>
        <v>0</v>
      </c>
      <c r="P13" s="213">
        <v>5</v>
      </c>
      <c r="Q13" s="214">
        <v>5</v>
      </c>
      <c r="R13" s="215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28</v>
      </c>
      <c r="I14" s="75">
        <v>18</v>
      </c>
      <c r="J14" s="75">
        <v>20</v>
      </c>
      <c r="K14" s="209">
        <v>19</v>
      </c>
      <c r="L14" s="210">
        <v>17</v>
      </c>
      <c r="M14" s="211">
        <f>4932.74+3257.04+137</f>
        <v>8326.7799999999988</v>
      </c>
      <c r="N14" s="211">
        <f>4932.74+3257.04</f>
        <v>8189.78</v>
      </c>
      <c r="O14" s="212">
        <f t="shared" si="1"/>
        <v>136.99999999999909</v>
      </c>
      <c r="P14" s="213">
        <v>6</v>
      </c>
      <c r="Q14" s="214">
        <v>6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23</v>
      </c>
      <c r="I15" s="75">
        <v>17</v>
      </c>
      <c r="J15" s="75">
        <v>23</v>
      </c>
      <c r="K15" s="209">
        <v>23</v>
      </c>
      <c r="L15" s="210">
        <v>23</v>
      </c>
      <c r="M15" s="211">
        <f>16942.87+1278.76</f>
        <v>18221.629999999997</v>
      </c>
      <c r="N15" s="211">
        <f>16942.87+1278.76</f>
        <v>18221.629999999997</v>
      </c>
      <c r="O15" s="212">
        <f t="shared" si="1"/>
        <v>0</v>
      </c>
      <c r="P15" s="213">
        <v>13</v>
      </c>
      <c r="Q15" s="214">
        <v>13</v>
      </c>
      <c r="R15" s="215">
        <v>13</v>
      </c>
      <c r="S15" s="97">
        <v>13813.9</v>
      </c>
      <c r="T15" s="97">
        <v>13813.9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75"/>
      <c r="J16" s="75"/>
      <c r="K16" s="209"/>
      <c r="L16" s="210"/>
      <c r="M16" s="211"/>
      <c r="N16" s="211"/>
      <c r="O16" s="212">
        <f t="shared" si="1"/>
        <v>0</v>
      </c>
      <c r="P16" s="213"/>
      <c r="Q16" s="21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26</v>
      </c>
      <c r="I17" s="75">
        <v>11</v>
      </c>
      <c r="J17" s="75">
        <v>15</v>
      </c>
      <c r="K17" s="209">
        <v>14</v>
      </c>
      <c r="L17" s="210">
        <v>14</v>
      </c>
      <c r="M17" s="211">
        <f>7235.14+4416.12+1559.66</f>
        <v>13210.92</v>
      </c>
      <c r="N17" s="211">
        <f>7235.14+4416.12+1559.66</f>
        <v>13210.92</v>
      </c>
      <c r="O17" s="212">
        <f t="shared" si="1"/>
        <v>0</v>
      </c>
      <c r="P17" s="213">
        <v>1</v>
      </c>
      <c r="Q17" s="21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29</v>
      </c>
      <c r="I18" s="75">
        <v>6</v>
      </c>
      <c r="J18" s="75">
        <v>6</v>
      </c>
      <c r="K18" s="210">
        <v>6</v>
      </c>
      <c r="L18" s="210"/>
      <c r="M18" s="211">
        <v>2118.92</v>
      </c>
      <c r="N18" s="211">
        <v>2118.92</v>
      </c>
      <c r="O18" s="212">
        <f t="shared" si="1"/>
        <v>0</v>
      </c>
      <c r="P18" s="213">
        <v>6</v>
      </c>
      <c r="Q18" s="215">
        <v>6</v>
      </c>
      <c r="R18" s="215">
        <v>6</v>
      </c>
      <c r="S18" s="97">
        <v>14748.55</v>
      </c>
      <c r="T18" s="97">
        <v>14748.55</v>
      </c>
      <c r="U18" s="97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24</v>
      </c>
      <c r="I19" s="75">
        <v>13</v>
      </c>
      <c r="J19" s="75">
        <v>24</v>
      </c>
      <c r="K19" s="209">
        <v>23</v>
      </c>
      <c r="L19" s="210">
        <v>23</v>
      </c>
      <c r="M19" s="211">
        <f>5345.36+3385.2+4242.79+7468.83</f>
        <v>20442.18</v>
      </c>
      <c r="N19" s="211">
        <f>5345.36+3385.2+4242.79</f>
        <v>12973.349999999999</v>
      </c>
      <c r="O19" s="212">
        <f t="shared" si="1"/>
        <v>7468.8300000000017</v>
      </c>
      <c r="P19" s="213">
        <v>15</v>
      </c>
      <c r="Q19" s="21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29</v>
      </c>
      <c r="I20" s="75">
        <v>13</v>
      </c>
      <c r="J20" s="75">
        <v>17</v>
      </c>
      <c r="K20" s="210">
        <v>16</v>
      </c>
      <c r="L20" s="210">
        <v>16</v>
      </c>
      <c r="M20" s="211">
        <f>5728.14+3727.02+315.94+2507.59</f>
        <v>12278.69</v>
      </c>
      <c r="N20" s="211">
        <f>5728.14+3727.02+315.94</f>
        <v>9771.1</v>
      </c>
      <c r="O20" s="212">
        <f t="shared" si="1"/>
        <v>2507.59</v>
      </c>
      <c r="P20" s="213">
        <v>25</v>
      </c>
      <c r="Q20" s="215">
        <v>25</v>
      </c>
      <c r="R20" s="215">
        <v>24</v>
      </c>
      <c r="S20" s="97">
        <f>36404.57+1488.24</f>
        <v>37892.81</v>
      </c>
      <c r="T20" s="97">
        <f>36404.57+1488.24</f>
        <v>37892.81</v>
      </c>
      <c r="U20" s="97">
        <f t="shared" si="2"/>
        <v>0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15</v>
      </c>
      <c r="I21" s="75">
        <v>7</v>
      </c>
      <c r="J21" s="75">
        <v>10</v>
      </c>
      <c r="K21" s="209">
        <v>10</v>
      </c>
      <c r="L21" s="210">
        <v>10</v>
      </c>
      <c r="M21" s="211">
        <f>3586.84+1791.4+1337.88+413.4</f>
        <v>7129.5199999999995</v>
      </c>
      <c r="N21" s="211">
        <f>3586.84+1791.4+1337.88</f>
        <v>6716.12</v>
      </c>
      <c r="O21" s="212">
        <f t="shared" si="1"/>
        <v>413.39999999999964</v>
      </c>
      <c r="P21" s="213">
        <v>6</v>
      </c>
      <c r="Q21" s="214">
        <v>6</v>
      </c>
      <c r="R21" s="215">
        <v>6</v>
      </c>
      <c r="S21" s="97">
        <f>7288.02+447.62+2487.39</f>
        <v>10223.030000000001</v>
      </c>
      <c r="T21" s="97">
        <f>7288.02+447.62</f>
        <v>7735.64</v>
      </c>
      <c r="U21" s="97">
        <f t="shared" si="2"/>
        <v>2487.3900000000003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78</v>
      </c>
      <c r="I22" s="75">
        <v>32</v>
      </c>
      <c r="J22" s="75">
        <v>43</v>
      </c>
      <c r="K22" s="210">
        <v>34</v>
      </c>
      <c r="L22" s="210">
        <v>34</v>
      </c>
      <c r="M22" s="211">
        <f>19787.02+2513.73+2255.05</f>
        <v>24555.8</v>
      </c>
      <c r="N22" s="211">
        <f>19787.02+2513.73</f>
        <v>22300.75</v>
      </c>
      <c r="O22" s="212">
        <f t="shared" si="1"/>
        <v>2255.0499999999993</v>
      </c>
      <c r="P22" s="213">
        <v>20</v>
      </c>
      <c r="Q22" s="215">
        <v>20</v>
      </c>
      <c r="R22" s="215">
        <v>20</v>
      </c>
      <c r="S22" s="97">
        <v>24103.23</v>
      </c>
      <c r="T22" s="97">
        <v>24103.23</v>
      </c>
      <c r="U22" s="97">
        <f t="shared" si="2"/>
        <v>0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13</v>
      </c>
      <c r="I23" s="75">
        <v>8</v>
      </c>
      <c r="J23" s="75">
        <v>11</v>
      </c>
      <c r="K23" s="209">
        <v>10</v>
      </c>
      <c r="L23" s="210">
        <v>9</v>
      </c>
      <c r="M23" s="211">
        <f>5739.04+1828.05+1440.72</f>
        <v>9007.81</v>
      </c>
      <c r="N23" s="211">
        <f>5739.04+1828.05+1440.72</f>
        <v>9007.81</v>
      </c>
      <c r="O23" s="212">
        <f t="shared" si="1"/>
        <v>0</v>
      </c>
      <c r="P23" s="213">
        <v>11</v>
      </c>
      <c r="Q23" s="214">
        <v>11</v>
      </c>
      <c r="R23" s="215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15</v>
      </c>
      <c r="I24" s="75">
        <v>11</v>
      </c>
      <c r="J24" s="75">
        <v>15</v>
      </c>
      <c r="K24" s="209">
        <v>15</v>
      </c>
      <c r="L24" s="210">
        <v>15</v>
      </c>
      <c r="M24" s="211">
        <f>1515.11+3525.12</f>
        <v>5040.2299999999996</v>
      </c>
      <c r="N24" s="211">
        <f>1515.11+3525.12</f>
        <v>5040.2299999999996</v>
      </c>
      <c r="O24" s="212">
        <f t="shared" si="1"/>
        <v>0</v>
      </c>
      <c r="P24" s="213">
        <v>8</v>
      </c>
      <c r="Q24" s="21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24</v>
      </c>
      <c r="I25" s="75">
        <v>9</v>
      </c>
      <c r="J25" s="75">
        <v>26</v>
      </c>
      <c r="K25" s="210">
        <v>26</v>
      </c>
      <c r="L25" s="210">
        <v>23</v>
      </c>
      <c r="M25" s="211">
        <f>9005.69+15068.32</f>
        <v>24074.010000000002</v>
      </c>
      <c r="N25" s="211">
        <f>9005.69+15068.32</f>
        <v>24074.010000000002</v>
      </c>
      <c r="O25" s="212">
        <f t="shared" si="1"/>
        <v>0</v>
      </c>
      <c r="P25" s="213">
        <v>21</v>
      </c>
      <c r="Q25" s="215">
        <v>21</v>
      </c>
      <c r="R25" s="215">
        <v>20</v>
      </c>
      <c r="S25" s="97">
        <v>24213.05</v>
      </c>
      <c r="T25" s="97">
        <v>24213.05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20</v>
      </c>
      <c r="I26" s="75">
        <v>8</v>
      </c>
      <c r="J26" s="75">
        <v>13</v>
      </c>
      <c r="K26" s="209">
        <v>13</v>
      </c>
      <c r="L26" s="210">
        <v>13</v>
      </c>
      <c r="M26" s="211">
        <f>3777.1+6399.51</f>
        <v>10176.61</v>
      </c>
      <c r="N26" s="211">
        <f>3777.1+6399.51</f>
        <v>10176.61</v>
      </c>
      <c r="O26" s="212">
        <f t="shared" si="1"/>
        <v>0</v>
      </c>
      <c r="P26" s="213">
        <v>10</v>
      </c>
      <c r="Q26" s="214">
        <v>10</v>
      </c>
      <c r="R26" s="215">
        <v>10</v>
      </c>
      <c r="S26" s="97">
        <v>3386.7</v>
      </c>
      <c r="T26" s="97">
        <v>3386.7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24</v>
      </c>
      <c r="I27" s="75">
        <v>13</v>
      </c>
      <c r="J27" s="75">
        <v>24</v>
      </c>
      <c r="K27" s="209">
        <v>24</v>
      </c>
      <c r="L27" s="210">
        <v>24</v>
      </c>
      <c r="M27" s="211">
        <f>6801.73+4254.18+3948.81</f>
        <v>15004.72</v>
      </c>
      <c r="N27" s="211">
        <f>6801.73+4254.18+3948.81</f>
        <v>15004.72</v>
      </c>
      <c r="O27" s="212">
        <f t="shared" si="1"/>
        <v>0</v>
      </c>
      <c r="P27" s="213">
        <v>14</v>
      </c>
      <c r="Q27" s="21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75"/>
      <c r="J28" s="75"/>
      <c r="K28" s="209"/>
      <c r="L28" s="210"/>
      <c r="M28" s="211"/>
      <c r="N28" s="211"/>
      <c r="O28" s="212">
        <f t="shared" si="1"/>
        <v>0</v>
      </c>
      <c r="P28" s="213"/>
      <c r="Q28" s="21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21</v>
      </c>
      <c r="I29" s="75">
        <v>18</v>
      </c>
      <c r="J29" s="75">
        <v>25</v>
      </c>
      <c r="K29" s="209">
        <v>25</v>
      </c>
      <c r="L29" s="210">
        <v>25</v>
      </c>
      <c r="M29" s="211">
        <f>7765.28+1107.91+3282.4+1320.23+1580.98</f>
        <v>15056.8</v>
      </c>
      <c r="N29" s="211">
        <f>7765.28+1107.91+3282.4+1320.23</f>
        <v>13475.82</v>
      </c>
      <c r="O29" s="212">
        <f t="shared" si="1"/>
        <v>1580.9799999999996</v>
      </c>
      <c r="P29" s="213">
        <v>14</v>
      </c>
      <c r="Q29" s="21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29</v>
      </c>
      <c r="I30" s="75">
        <v>25</v>
      </c>
      <c r="J30" s="75">
        <v>32</v>
      </c>
      <c r="K30" s="210">
        <v>23</v>
      </c>
      <c r="L30" s="210">
        <v>23</v>
      </c>
      <c r="M30" s="211">
        <f>5246.17+4965.96+1939.12+3762.43</f>
        <v>15913.68</v>
      </c>
      <c r="N30" s="211">
        <f>5246.17+4965.96+1939.12</f>
        <v>12151.25</v>
      </c>
      <c r="O30" s="212">
        <f t="shared" si="1"/>
        <v>3762.4300000000003</v>
      </c>
      <c r="P30" s="213">
        <v>22</v>
      </c>
      <c r="Q30" s="215">
        <v>22</v>
      </c>
      <c r="R30" s="215">
        <v>22</v>
      </c>
      <c r="S30" s="97">
        <f>39414.6+4786.67+1562.33+638.43+2216.93</f>
        <v>48618.96</v>
      </c>
      <c r="T30" s="97">
        <f>39414.6+4786.67+1562.33+638.43</f>
        <v>46402.03</v>
      </c>
      <c r="U30" s="97">
        <f t="shared" si="2"/>
        <v>2216.9300000000003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75">
        <v>1</v>
      </c>
      <c r="J31" s="75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21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75"/>
      <c r="J32" s="75"/>
      <c r="K32" s="209"/>
      <c r="L32" s="210"/>
      <c r="M32" s="211"/>
      <c r="N32" s="211"/>
      <c r="O32" s="212">
        <f t="shared" si="1"/>
        <v>0</v>
      </c>
      <c r="P32" s="213"/>
      <c r="Q32" s="21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11</v>
      </c>
      <c r="I33" s="75">
        <v>9</v>
      </c>
      <c r="J33" s="75">
        <v>11</v>
      </c>
      <c r="K33" s="209">
        <v>11</v>
      </c>
      <c r="L33" s="210">
        <v>10</v>
      </c>
      <c r="M33" s="211">
        <f>4065+2226.4+2915.4</f>
        <v>9206.7999999999993</v>
      </c>
      <c r="N33" s="211">
        <f>4065+2226.4+2915.4</f>
        <v>9206.7999999999993</v>
      </c>
      <c r="O33" s="212">
        <f t="shared" si="1"/>
        <v>0</v>
      </c>
      <c r="P33" s="213"/>
      <c r="Q33" s="21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75">
        <v>14</v>
      </c>
      <c r="J34" s="75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11</v>
      </c>
      <c r="I35" s="75">
        <v>6</v>
      </c>
      <c r="J35" s="75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15</v>
      </c>
      <c r="I36" s="75">
        <v>10</v>
      </c>
      <c r="J36" s="75">
        <v>11</v>
      </c>
      <c r="K36" s="209">
        <v>11</v>
      </c>
      <c r="L36" s="210">
        <v>6</v>
      </c>
      <c r="M36" s="211">
        <f>2360+2665.25</f>
        <v>5025.25</v>
      </c>
      <c r="N36" s="211">
        <f>2360+2665.25</f>
        <v>5025.25</v>
      </c>
      <c r="O36" s="212">
        <f t="shared" si="1"/>
        <v>0</v>
      </c>
      <c r="P36" s="213">
        <v>5</v>
      </c>
      <c r="Q36" s="214">
        <v>5</v>
      </c>
      <c r="R36" s="215">
        <v>5</v>
      </c>
      <c r="S36" s="97">
        <f>1436.08+3433.93+5939.33</f>
        <v>10809.34</v>
      </c>
      <c r="T36" s="97">
        <f>1436.08+3433.93+5939.33</f>
        <v>10809.34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14</v>
      </c>
      <c r="I37" s="75">
        <v>11</v>
      </c>
      <c r="J37" s="75">
        <v>12</v>
      </c>
      <c r="K37" s="209">
        <v>12</v>
      </c>
      <c r="L37" s="210">
        <v>11</v>
      </c>
      <c r="M37" s="211">
        <f>4126.56+990.2+862.75+145</f>
        <v>6124.51</v>
      </c>
      <c r="N37" s="211">
        <f>4126.56+990.2+862.75</f>
        <v>5979.51</v>
      </c>
      <c r="O37" s="212">
        <f t="shared" si="1"/>
        <v>145</v>
      </c>
      <c r="P37" s="213">
        <v>2</v>
      </c>
      <c r="Q37" s="214">
        <v>1</v>
      </c>
      <c r="R37" s="215">
        <v>1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55</v>
      </c>
      <c r="I38" s="75">
        <v>21</v>
      </c>
      <c r="J38" s="75">
        <v>32</v>
      </c>
      <c r="K38" s="209">
        <v>32</v>
      </c>
      <c r="L38" s="210">
        <v>32</v>
      </c>
      <c r="M38" s="211">
        <f>18043.85+1739.74+12219.36+4084.73</f>
        <v>36087.68</v>
      </c>
      <c r="N38" s="211">
        <f>18043.85+1739.74+12219.36</f>
        <v>32002.95</v>
      </c>
      <c r="O38" s="212">
        <f t="shared" si="1"/>
        <v>4084.7299999999996</v>
      </c>
      <c r="P38" s="213">
        <v>19</v>
      </c>
      <c r="Q38" s="214">
        <v>19</v>
      </c>
      <c r="R38" s="215">
        <v>19</v>
      </c>
      <c r="S38" s="97">
        <f>22326.77+417.74</f>
        <v>22744.510000000002</v>
      </c>
      <c r="T38" s="97">
        <f>22326.77+417.74</f>
        <v>22744.510000000002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24</v>
      </c>
      <c r="I39" s="75">
        <v>10</v>
      </c>
      <c r="J39" s="75">
        <v>13</v>
      </c>
      <c r="K39" s="209">
        <v>13</v>
      </c>
      <c r="L39" s="210">
        <v>13</v>
      </c>
      <c r="M39" s="211">
        <f>4309.67+3353.38+84.05+2832.72</f>
        <v>10579.82</v>
      </c>
      <c r="N39" s="211">
        <f>4309.67+3353.38</f>
        <v>7663.05</v>
      </c>
      <c r="O39" s="212">
        <f t="shared" si="1"/>
        <v>2916.7699999999995</v>
      </c>
      <c r="P39" s="213">
        <v>3</v>
      </c>
      <c r="Q39" s="214">
        <v>3</v>
      </c>
      <c r="R39" s="215">
        <v>3</v>
      </c>
      <c r="S39" s="97"/>
      <c r="T39" s="97">
        <v>84.92</v>
      </c>
      <c r="U39" s="97">
        <f t="shared" si="2"/>
        <v>-84.92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7</v>
      </c>
      <c r="I40" s="75">
        <v>5</v>
      </c>
      <c r="J40" s="75">
        <v>5</v>
      </c>
      <c r="K40" s="209">
        <v>5</v>
      </c>
      <c r="L40" s="210">
        <v>5</v>
      </c>
      <c r="M40" s="211">
        <v>5430.01</v>
      </c>
      <c r="N40" s="211">
        <v>5430.01</v>
      </c>
      <c r="O40" s="212">
        <f t="shared" si="1"/>
        <v>0</v>
      </c>
      <c r="P40" s="213">
        <v>4</v>
      </c>
      <c r="Q40" s="214">
        <v>3</v>
      </c>
      <c r="R40" s="215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15</v>
      </c>
      <c r="I41" s="75">
        <v>8</v>
      </c>
      <c r="J41" s="75">
        <v>9</v>
      </c>
      <c r="K41" s="209">
        <v>9</v>
      </c>
      <c r="L41" s="210">
        <v>9</v>
      </c>
      <c r="M41" s="211">
        <f>4892.78+1033.5</f>
        <v>5926.28</v>
      </c>
      <c r="N41" s="211">
        <f>4892.78+1033.5</f>
        <v>5926.28</v>
      </c>
      <c r="O41" s="212">
        <f t="shared" si="1"/>
        <v>0</v>
      </c>
      <c r="P41" s="213">
        <v>3</v>
      </c>
      <c r="Q41" s="214">
        <v>3</v>
      </c>
      <c r="R41" s="215">
        <v>3</v>
      </c>
      <c r="S41" s="97">
        <f>1842.88</f>
        <v>1842.88</v>
      </c>
      <c r="T41" s="97">
        <f>1842.88</f>
        <v>1842.88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77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11</v>
      </c>
      <c r="I42" s="75">
        <v>6</v>
      </c>
      <c r="J42" s="75">
        <v>7</v>
      </c>
      <c r="K42" s="209">
        <v>7</v>
      </c>
      <c r="L42" s="210">
        <v>7</v>
      </c>
      <c r="M42" s="211">
        <f>5095.29+1605.75</f>
        <v>6701.04</v>
      </c>
      <c r="N42" s="211">
        <v>5095.29</v>
      </c>
      <c r="O42" s="212">
        <f t="shared" si="1"/>
        <v>1605.75</v>
      </c>
      <c r="P42" s="213">
        <v>5</v>
      </c>
      <c r="Q42" s="21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14</v>
      </c>
      <c r="I43" s="75">
        <v>8</v>
      </c>
      <c r="J43" s="75">
        <v>10</v>
      </c>
      <c r="K43" s="209">
        <v>10</v>
      </c>
      <c r="L43" s="210">
        <v>10</v>
      </c>
      <c r="M43" s="211">
        <f>1949.94+11241.95+1670.56+979</f>
        <v>15841.45</v>
      </c>
      <c r="N43" s="211">
        <f>1949.94+11241.95+1670.56+979</f>
        <v>15841.45</v>
      </c>
      <c r="O43" s="212">
        <f t="shared" si="1"/>
        <v>0</v>
      </c>
      <c r="P43" s="213">
        <v>7</v>
      </c>
      <c r="Q43" s="214">
        <v>6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7</v>
      </c>
      <c r="I44" s="75">
        <v>5</v>
      </c>
      <c r="J44" s="75">
        <v>9</v>
      </c>
      <c r="K44" s="209">
        <v>9</v>
      </c>
      <c r="L44" s="210">
        <v>9</v>
      </c>
      <c r="M44" s="211">
        <f>9600.95+145+2182.75</f>
        <v>11928.7</v>
      </c>
      <c r="N44" s="211">
        <f>9600.95+145</f>
        <v>9745.9500000000007</v>
      </c>
      <c r="O44" s="212">
        <f t="shared" si="1"/>
        <v>2182.75</v>
      </c>
      <c r="P44" s="213">
        <v>6</v>
      </c>
      <c r="Q44" s="214">
        <v>6</v>
      </c>
      <c r="R44" s="215">
        <v>6</v>
      </c>
      <c r="S44" s="97">
        <f>3997.92+850.65+4367.7</f>
        <v>9216.27</v>
      </c>
      <c r="T44" s="97">
        <f>3997.92+850.65+4367.7</f>
        <v>9216.27</v>
      </c>
      <c r="U44" s="97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75"/>
      <c r="J45" s="75"/>
      <c r="K45" s="209"/>
      <c r="L45" s="210"/>
      <c r="M45" s="211"/>
      <c r="N45" s="211"/>
      <c r="O45" s="212">
        <f t="shared" si="1"/>
        <v>0</v>
      </c>
      <c r="P45" s="213"/>
      <c r="Q45" s="21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11</v>
      </c>
      <c r="I46" s="75">
        <v>8</v>
      </c>
      <c r="J46" s="75">
        <v>9</v>
      </c>
      <c r="K46" s="209">
        <v>9</v>
      </c>
      <c r="L46" s="210">
        <v>9</v>
      </c>
      <c r="M46" s="211">
        <f>1290.6+2343.84</f>
        <v>3634.44</v>
      </c>
      <c r="N46" s="211">
        <f>1290.6</f>
        <v>1290.5999999999999</v>
      </c>
      <c r="O46" s="212">
        <f t="shared" si="1"/>
        <v>2343.84</v>
      </c>
      <c r="P46" s="213">
        <v>2</v>
      </c>
      <c r="Q46" s="21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27</v>
      </c>
      <c r="I47" s="75">
        <v>17</v>
      </c>
      <c r="J47" s="75">
        <v>23</v>
      </c>
      <c r="K47" s="209">
        <v>21</v>
      </c>
      <c r="L47" s="210">
        <v>21</v>
      </c>
      <c r="M47" s="211">
        <f>9335.56+3507.6+826.8</f>
        <v>13669.96</v>
      </c>
      <c r="N47" s="211">
        <f>9335.56+3507.6+826.8</f>
        <v>13669.96</v>
      </c>
      <c r="O47" s="212">
        <f t="shared" si="1"/>
        <v>0</v>
      </c>
      <c r="P47" s="213">
        <v>2</v>
      </c>
      <c r="Q47" s="21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12</v>
      </c>
      <c r="I48" s="75">
        <v>5</v>
      </c>
      <c r="J48" s="75">
        <v>8</v>
      </c>
      <c r="K48" s="209">
        <v>8</v>
      </c>
      <c r="L48" s="210">
        <v>8</v>
      </c>
      <c r="M48" s="211">
        <f>8890.84+1828.05</f>
        <v>10718.89</v>
      </c>
      <c r="N48" s="211">
        <f>8890.84+1828.05</f>
        <v>10718.89</v>
      </c>
      <c r="O48" s="212">
        <f t="shared" si="1"/>
        <v>0</v>
      </c>
      <c r="P48" s="213">
        <v>3</v>
      </c>
      <c r="Q48" s="21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17</v>
      </c>
      <c r="I49" s="75">
        <v>9</v>
      </c>
      <c r="J49" s="75">
        <v>10</v>
      </c>
      <c r="K49" s="209">
        <v>10</v>
      </c>
      <c r="L49" s="210">
        <v>10</v>
      </c>
      <c r="M49" s="211">
        <f>1831.71+137.8+1816.78</f>
        <v>3786.29</v>
      </c>
      <c r="N49" s="211">
        <f>1831.71+137.8+1816.78</f>
        <v>3786.29</v>
      </c>
      <c r="O49" s="212">
        <f t="shared" si="1"/>
        <v>0</v>
      </c>
      <c r="P49" s="213">
        <v>9</v>
      </c>
      <c r="Q49" s="214">
        <v>9</v>
      </c>
      <c r="R49" s="215">
        <v>9</v>
      </c>
      <c r="S49" s="97">
        <f>8296.23+1378+5368</f>
        <v>15042.23</v>
      </c>
      <c r="T49" s="97">
        <f>8296.23+1378</f>
        <v>9674.23</v>
      </c>
      <c r="U49" s="97">
        <f t="shared" si="2"/>
        <v>5368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14</v>
      </c>
      <c r="I50" s="75">
        <v>12</v>
      </c>
      <c r="J50" s="75">
        <v>14</v>
      </c>
      <c r="K50" s="209">
        <v>14</v>
      </c>
      <c r="L50" s="210">
        <v>14</v>
      </c>
      <c r="M50" s="211">
        <f>8308.92+786.44+453+302</f>
        <v>9850.36</v>
      </c>
      <c r="N50" s="211">
        <f>8308.92+786.44+453+302</f>
        <v>9850.36</v>
      </c>
      <c r="O50" s="212">
        <f t="shared" si="1"/>
        <v>0</v>
      </c>
      <c r="P50" s="213">
        <v>6</v>
      </c>
      <c r="Q50" s="214">
        <v>6</v>
      </c>
      <c r="R50" s="215">
        <v>6</v>
      </c>
      <c r="S50" s="97">
        <f>2457.28+1725.6+5017.9</f>
        <v>9200.7799999999988</v>
      </c>
      <c r="T50" s="97">
        <f>2457.28+1725.6+5017.9</f>
        <v>9200.7799999999988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17</v>
      </c>
      <c r="I51" s="75">
        <v>10</v>
      </c>
      <c r="J51" s="75">
        <v>11</v>
      </c>
      <c r="K51" s="209">
        <v>11</v>
      </c>
      <c r="L51" s="210">
        <v>11</v>
      </c>
      <c r="M51" s="211">
        <f>5580.75+571.11+696.2+574.2</f>
        <v>7422.2599999999993</v>
      </c>
      <c r="N51" s="211">
        <f>5580.75+571.11+696.2+574.2</f>
        <v>7422.2599999999993</v>
      </c>
      <c r="O51" s="212">
        <f t="shared" si="1"/>
        <v>0</v>
      </c>
      <c r="P51" s="213">
        <v>1</v>
      </c>
      <c r="Q51" s="214">
        <v>1</v>
      </c>
      <c r="R51" s="215">
        <v>1</v>
      </c>
      <c r="S51" s="97"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16</v>
      </c>
      <c r="I52" s="75">
        <v>8</v>
      </c>
      <c r="J52" s="75">
        <v>10</v>
      </c>
      <c r="K52" s="209">
        <v>10</v>
      </c>
      <c r="L52" s="210">
        <v>10</v>
      </c>
      <c r="M52" s="211">
        <f>3782.6+430.65+1221.61</f>
        <v>5434.86</v>
      </c>
      <c r="N52" s="211">
        <f>3782.6+430.65+1221.61</f>
        <v>5434.86</v>
      </c>
      <c r="O52" s="212">
        <f t="shared" si="1"/>
        <v>0</v>
      </c>
      <c r="P52" s="213">
        <v>5</v>
      </c>
      <c r="Q52" s="214">
        <v>5</v>
      </c>
      <c r="R52" s="215">
        <v>5</v>
      </c>
      <c r="S52" s="97">
        <f>1535.39+1035.3+828.82</f>
        <v>3399.51</v>
      </c>
      <c r="T52" s="97">
        <f>1535.39+1035.3+828.82</f>
        <v>3399.51</v>
      </c>
      <c r="U52" s="97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8</v>
      </c>
      <c r="I53" s="75">
        <v>3</v>
      </c>
      <c r="J53" s="75">
        <v>3</v>
      </c>
      <c r="K53" s="209">
        <v>3</v>
      </c>
      <c r="L53" s="210">
        <v>3</v>
      </c>
      <c r="M53" s="211">
        <f>1102.4+328.37</f>
        <v>1430.77</v>
      </c>
      <c r="N53" s="211">
        <v>1102.4000000000001</v>
      </c>
      <c r="O53" s="212">
        <f t="shared" si="1"/>
        <v>328.36999999999989</v>
      </c>
      <c r="P53" s="213">
        <v>2</v>
      </c>
      <c r="Q53" s="21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68</v>
      </c>
      <c r="I54" s="75">
        <v>43</v>
      </c>
      <c r="J54" s="75">
        <v>55</v>
      </c>
      <c r="K54" s="209">
        <v>51</v>
      </c>
      <c r="L54" s="210">
        <v>51</v>
      </c>
      <c r="M54" s="211">
        <f>12031.27+4728.85+7137.01</f>
        <v>23897.130000000005</v>
      </c>
      <c r="N54" s="211">
        <f>12031.27+4728.85+7137.01</f>
        <v>23897.130000000005</v>
      </c>
      <c r="O54" s="212">
        <f t="shared" si="1"/>
        <v>0</v>
      </c>
      <c r="P54" s="213">
        <v>17</v>
      </c>
      <c r="Q54" s="21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6</v>
      </c>
      <c r="I55" s="75">
        <v>2</v>
      </c>
      <c r="J55" s="75">
        <v>2</v>
      </c>
      <c r="K55" s="209">
        <v>2</v>
      </c>
      <c r="L55" s="210">
        <v>2</v>
      </c>
      <c r="M55" s="211">
        <v>5677.4</v>
      </c>
      <c r="N55" s="211">
        <v>5677.4</v>
      </c>
      <c r="O55" s="212">
        <f t="shared" si="1"/>
        <v>0</v>
      </c>
      <c r="P55" s="213">
        <v>3</v>
      </c>
      <c r="Q55" s="21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46</v>
      </c>
      <c r="I56" s="75">
        <v>27</v>
      </c>
      <c r="J56" s="75">
        <v>34</v>
      </c>
      <c r="K56" s="209">
        <v>31</v>
      </c>
      <c r="L56" s="210">
        <v>31</v>
      </c>
      <c r="M56" s="211">
        <f>13145.7+14183.3+726.22+3195.47</f>
        <v>31250.690000000002</v>
      </c>
      <c r="N56" s="211">
        <f>13145.7+14183.3+726.22</f>
        <v>28055.22</v>
      </c>
      <c r="O56" s="212">
        <f t="shared" si="1"/>
        <v>3195.4700000000012</v>
      </c>
      <c r="P56" s="213">
        <v>31</v>
      </c>
      <c r="Q56" s="214">
        <v>31</v>
      </c>
      <c r="R56" s="215">
        <v>31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21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75"/>
      <c r="J58" s="75"/>
      <c r="K58" s="209"/>
      <c r="L58" s="210"/>
      <c r="M58" s="211"/>
      <c r="N58" s="211"/>
      <c r="O58" s="212">
        <f t="shared" si="1"/>
        <v>0</v>
      </c>
      <c r="P58" s="213"/>
      <c r="Q58" s="214"/>
      <c r="R58" s="215"/>
      <c r="S58" s="97"/>
      <c r="T58" s="97"/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75"/>
      <c r="J59" s="75"/>
      <c r="K59" s="209"/>
      <c r="L59" s="210"/>
      <c r="M59" s="211"/>
      <c r="N59" s="211"/>
      <c r="O59" s="212">
        <f t="shared" si="1"/>
        <v>0</v>
      </c>
      <c r="P59" s="213"/>
      <c r="Q59" s="21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38</v>
      </c>
      <c r="I60" s="75">
        <v>25</v>
      </c>
      <c r="J60" s="75">
        <v>37</v>
      </c>
      <c r="K60" s="209">
        <v>37</v>
      </c>
      <c r="L60" s="210">
        <v>37</v>
      </c>
      <c r="M60" s="211">
        <f>19657.67+3859.57+3638.88+11285.84</f>
        <v>38441.96</v>
      </c>
      <c r="N60" s="211">
        <f>19657.67+3859.57+3638.88</f>
        <v>27156.12</v>
      </c>
      <c r="O60" s="212">
        <f t="shared" si="1"/>
        <v>11285.84</v>
      </c>
      <c r="P60" s="213">
        <v>6</v>
      </c>
      <c r="Q60" s="214">
        <v>6</v>
      </c>
      <c r="R60" s="215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21</v>
      </c>
      <c r="I61" s="75">
        <v>9</v>
      </c>
      <c r="J61" s="75">
        <v>11</v>
      </c>
      <c r="K61" s="209">
        <v>10</v>
      </c>
      <c r="L61" s="210">
        <v>10</v>
      </c>
      <c r="M61" s="211">
        <f>3986.21+989.8+3814.75</f>
        <v>8790.76</v>
      </c>
      <c r="N61" s="211">
        <f>3986.21+989.8+3814.75</f>
        <v>8790.76</v>
      </c>
      <c r="O61" s="212">
        <f t="shared" si="1"/>
        <v>0</v>
      </c>
      <c r="P61" s="213"/>
      <c r="Q61" s="21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77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15</v>
      </c>
      <c r="I62" s="75">
        <v>11</v>
      </c>
      <c r="J62" s="75">
        <v>14</v>
      </c>
      <c r="K62" s="209">
        <v>14</v>
      </c>
      <c r="L62" s="210">
        <v>9</v>
      </c>
      <c r="M62" s="211">
        <f>1263.45+2111.32+5011.35</f>
        <v>8386.1200000000008</v>
      </c>
      <c r="N62" s="211">
        <f>1263.45+2111.32+5011.35</f>
        <v>8386.1200000000008</v>
      </c>
      <c r="O62" s="212">
        <f t="shared" si="1"/>
        <v>0</v>
      </c>
      <c r="P62" s="213">
        <v>7</v>
      </c>
      <c r="Q62" s="214">
        <v>7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75"/>
      <c r="J63" s="75"/>
      <c r="K63" s="209"/>
      <c r="L63" s="210"/>
      <c r="M63" s="211"/>
      <c r="N63" s="211"/>
      <c r="O63" s="212">
        <f t="shared" si="1"/>
        <v>0</v>
      </c>
      <c r="P63" s="213">
        <v>29</v>
      </c>
      <c r="Q63" s="214">
        <v>29</v>
      </c>
      <c r="R63" s="215">
        <v>29</v>
      </c>
      <c r="S63" s="97">
        <f>9392.68+482.3+2027.39</f>
        <v>11902.369999999999</v>
      </c>
      <c r="T63" s="97">
        <f>9392.68+482.3</f>
        <v>9874.98</v>
      </c>
      <c r="U63" s="97">
        <f t="shared" si="2"/>
        <v>2027.3899999999994</v>
      </c>
      <c r="V63" s="161"/>
    </row>
    <row r="64" spans="1:40" ht="17.25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20</v>
      </c>
      <c r="I64" s="75">
        <v>13</v>
      </c>
      <c r="J64" s="75">
        <v>15</v>
      </c>
      <c r="K64" s="209">
        <v>15</v>
      </c>
      <c r="L64" s="210">
        <v>15</v>
      </c>
      <c r="M64" s="211">
        <f>6496.16+4335.01+2477.65</f>
        <v>13308.82</v>
      </c>
      <c r="N64" s="211">
        <f>6496.16+4335.01</f>
        <v>10831.17</v>
      </c>
      <c r="O64" s="212">
        <f t="shared" si="1"/>
        <v>2477.6499999999996</v>
      </c>
      <c r="P64" s="213">
        <v>10</v>
      </c>
      <c r="Q64" s="214">
        <v>10</v>
      </c>
      <c r="R64" s="215">
        <v>10</v>
      </c>
      <c r="S64" s="97">
        <v>6866.56</v>
      </c>
      <c r="T64" s="97">
        <v>6866.56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41</v>
      </c>
      <c r="I65" s="75">
        <v>35</v>
      </c>
      <c r="J65" s="75">
        <v>42</v>
      </c>
      <c r="K65" s="209">
        <v>34</v>
      </c>
      <c r="L65" s="210">
        <v>33</v>
      </c>
      <c r="M65" s="211">
        <f>21561.61+5719.7+1305+4149.27+2397.37</f>
        <v>35132.950000000004</v>
      </c>
      <c r="N65" s="211">
        <f>21561.61+5719.7+1305+4149.27</f>
        <v>32735.58</v>
      </c>
      <c r="O65" s="212">
        <f t="shared" si="1"/>
        <v>2397.3700000000026</v>
      </c>
      <c r="P65" s="213">
        <v>11</v>
      </c>
      <c r="Q65" s="214">
        <v>11</v>
      </c>
      <c r="R65" s="215">
        <v>10</v>
      </c>
      <c r="S65" s="97">
        <v>7456.7</v>
      </c>
      <c r="T65" s="97">
        <v>7456.7</v>
      </c>
      <c r="U65" s="97">
        <f t="shared" si="2"/>
        <v>0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75">
        <v>2</v>
      </c>
      <c r="J66" s="75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44</v>
      </c>
      <c r="I67" s="75">
        <v>30</v>
      </c>
      <c r="J67" s="75">
        <v>39</v>
      </c>
      <c r="K67" s="209">
        <v>38</v>
      </c>
      <c r="L67" s="210">
        <v>38</v>
      </c>
      <c r="M67" s="211">
        <f>19710.93+7009.96+ 8900.54+165.98</f>
        <v>35787.410000000003</v>
      </c>
      <c r="N67" s="211">
        <f>19710.93+7009.96+ 8900.54+165.98</f>
        <v>35787.410000000003</v>
      </c>
      <c r="O67" s="212">
        <f t="shared" si="1"/>
        <v>0</v>
      </c>
      <c r="P67" s="213">
        <v>11</v>
      </c>
      <c r="Q67" s="21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30</v>
      </c>
      <c r="I68" s="75">
        <v>26</v>
      </c>
      <c r="J68" s="75">
        <v>45</v>
      </c>
      <c r="K68" s="209">
        <v>45</v>
      </c>
      <c r="L68" s="210">
        <v>40</v>
      </c>
      <c r="M68" s="211">
        <f>18750.75</f>
        <v>18750.75</v>
      </c>
      <c r="N68" s="211">
        <f>18750.75</f>
        <v>18750.75</v>
      </c>
      <c r="O68" s="212">
        <f t="shared" si="1"/>
        <v>0</v>
      </c>
      <c r="P68" s="213">
        <v>10</v>
      </c>
      <c r="Q68" s="214">
        <v>10</v>
      </c>
      <c r="R68" s="215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125</v>
      </c>
      <c r="E69" s="106" t="s">
        <v>126</v>
      </c>
      <c r="F69" s="170" t="s">
        <v>106</v>
      </c>
      <c r="G69" s="72" t="s">
        <v>188</v>
      </c>
      <c r="H69" s="77">
        <v>8</v>
      </c>
      <c r="I69" s="75">
        <v>5</v>
      </c>
      <c r="J69" s="75">
        <v>5</v>
      </c>
      <c r="K69" s="209">
        <v>5</v>
      </c>
      <c r="L69" s="210">
        <v>5</v>
      </c>
      <c r="M69" s="211">
        <f>2756+1240.2+1305</f>
        <v>5301.2</v>
      </c>
      <c r="N69" s="211">
        <f>2756+1240.2</f>
        <v>3996.2</v>
      </c>
      <c r="O69" s="212">
        <f t="shared" si="1"/>
        <v>1305</v>
      </c>
      <c r="P69" s="213"/>
      <c r="Q69" s="214"/>
      <c r="R69" s="215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11</v>
      </c>
      <c r="I70" s="75">
        <v>4</v>
      </c>
      <c r="J70" s="75">
        <v>4</v>
      </c>
      <c r="K70" s="209">
        <v>4</v>
      </c>
      <c r="L70" s="210">
        <v>4</v>
      </c>
      <c r="M70" s="211">
        <f>2039.44+3242.32+2027.39</f>
        <v>7309.1500000000005</v>
      </c>
      <c r="N70" s="211">
        <f>2039.44+3242.32</f>
        <v>5281.76</v>
      </c>
      <c r="O70" s="212">
        <f t="shared" si="1"/>
        <v>2027.3900000000003</v>
      </c>
      <c r="P70" s="213">
        <v>6</v>
      </c>
      <c r="Q70" s="214">
        <v>6</v>
      </c>
      <c r="R70" s="215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18</v>
      </c>
      <c r="I71" s="75">
        <v>13</v>
      </c>
      <c r="J71" s="75">
        <v>14</v>
      </c>
      <c r="K71" s="209">
        <v>14</v>
      </c>
      <c r="L71" s="210">
        <v>12</v>
      </c>
      <c r="M71" s="211">
        <f>2383.53+3781.9+7505.17</f>
        <v>13670.6</v>
      </c>
      <c r="N71" s="211">
        <f>2383.53+3781.9</f>
        <v>6165.43</v>
      </c>
      <c r="O71" s="212">
        <f t="shared" si="1"/>
        <v>7505.17</v>
      </c>
      <c r="P71" s="213">
        <v>23</v>
      </c>
      <c r="Q71" s="214">
        <v>23</v>
      </c>
      <c r="R71" s="215">
        <v>22</v>
      </c>
      <c r="S71" s="97">
        <v>52337.46</v>
      </c>
      <c r="T71" s="97">
        <v>52337.46</v>
      </c>
      <c r="U71" s="97">
        <f t="shared" si="2"/>
        <v>0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11</v>
      </c>
      <c r="I72" s="75">
        <v>5</v>
      </c>
      <c r="J72" s="75">
        <v>6</v>
      </c>
      <c r="K72" s="209">
        <v>4</v>
      </c>
      <c r="L72" s="210">
        <v>4</v>
      </c>
      <c r="M72" s="211">
        <v>4703.53</v>
      </c>
      <c r="N72" s="211">
        <v>4703.53</v>
      </c>
      <c r="O72" s="212">
        <f t="shared" si="1"/>
        <v>0</v>
      </c>
      <c r="P72" s="213">
        <v>7</v>
      </c>
      <c r="Q72" s="21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27</v>
      </c>
      <c r="I73" s="75">
        <v>6</v>
      </c>
      <c r="J73" s="75">
        <v>6</v>
      </c>
      <c r="K73" s="209">
        <v>6</v>
      </c>
      <c r="L73" s="210">
        <v>6</v>
      </c>
      <c r="M73" s="211">
        <f>2095.52+746.9</f>
        <v>2842.42</v>
      </c>
      <c r="N73" s="211">
        <f>2095.52+746.9</f>
        <v>2842.42</v>
      </c>
      <c r="O73" s="212">
        <f t="shared" si="1"/>
        <v>0</v>
      </c>
      <c r="P73" s="213">
        <v>5</v>
      </c>
      <c r="Q73" s="214">
        <v>5</v>
      </c>
      <c r="R73" s="215">
        <v>5</v>
      </c>
      <c r="S73" s="97">
        <f>1821.06+4580.19</f>
        <v>6401.25</v>
      </c>
      <c r="T73" s="97">
        <f>1821.06+4580.19</f>
        <v>6401.25</v>
      </c>
      <c r="U73" s="97">
        <f t="shared" si="2"/>
        <v>0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75"/>
      <c r="J74" s="75"/>
      <c r="K74" s="209"/>
      <c r="L74" s="210"/>
      <c r="M74" s="211"/>
      <c r="N74" s="211"/>
      <c r="O74" s="212">
        <f t="shared" si="1"/>
        <v>0</v>
      </c>
      <c r="P74" s="213">
        <v>1</v>
      </c>
      <c r="Q74" s="21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7</v>
      </c>
      <c r="I75" s="75">
        <v>5</v>
      </c>
      <c r="J75" s="75">
        <v>6</v>
      </c>
      <c r="K75" s="209">
        <v>6</v>
      </c>
      <c r="L75" s="210">
        <v>6</v>
      </c>
      <c r="M75" s="211">
        <f>275.6+741.36+14287.26</f>
        <v>15304.220000000001</v>
      </c>
      <c r="N75" s="211">
        <f>275.6+741.36+14287.26</f>
        <v>15304.220000000001</v>
      </c>
      <c r="O75" s="212">
        <f t="shared" ref="O75:O104" si="4" xml:space="preserve"> (M75-N75)</f>
        <v>0</v>
      </c>
      <c r="P75" s="213">
        <v>3</v>
      </c>
      <c r="Q75" s="21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22</v>
      </c>
      <c r="I76" s="75">
        <v>18</v>
      </c>
      <c r="J76" s="75">
        <v>25</v>
      </c>
      <c r="K76" s="209">
        <v>25</v>
      </c>
      <c r="L76" s="210">
        <v>25</v>
      </c>
      <c r="M76" s="211">
        <f>11803.63+1320.23+3132.15+12104.63</f>
        <v>28360.639999999999</v>
      </c>
      <c r="N76" s="211">
        <f>11803.63+1320.23+3132.15</f>
        <v>16256.009999999998</v>
      </c>
      <c r="O76" s="212">
        <f t="shared" si="4"/>
        <v>12104.630000000001</v>
      </c>
      <c r="P76" s="213">
        <v>5</v>
      </c>
      <c r="Q76" s="214">
        <v>5</v>
      </c>
      <c r="R76" s="215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19</v>
      </c>
      <c r="I77" s="75">
        <v>9</v>
      </c>
      <c r="J77" s="75">
        <v>9</v>
      </c>
      <c r="K77" s="209">
        <v>9</v>
      </c>
      <c r="L77" s="210">
        <v>9</v>
      </c>
      <c r="M77" s="211">
        <f>4234.67+4498.63+1428.26</f>
        <v>10161.56</v>
      </c>
      <c r="N77" s="211">
        <f>4234.67+4498.63+1428.26</f>
        <v>10161.56</v>
      </c>
      <c r="O77" s="212">
        <f t="shared" si="4"/>
        <v>0</v>
      </c>
      <c r="P77" s="213"/>
      <c r="Q77" s="214"/>
      <c r="R77" s="215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80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75"/>
      <c r="J78" s="75"/>
      <c r="K78" s="209"/>
      <c r="L78" s="210"/>
      <c r="M78" s="211"/>
      <c r="N78" s="211"/>
      <c r="O78" s="212">
        <f t="shared" si="4"/>
        <v>0</v>
      </c>
      <c r="P78" s="213">
        <v>8</v>
      </c>
      <c r="Q78" s="214">
        <v>8</v>
      </c>
      <c r="R78" s="215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17</v>
      </c>
      <c r="I79" s="75">
        <v>12</v>
      </c>
      <c r="J79" s="75">
        <v>16</v>
      </c>
      <c r="K79" s="209">
        <v>16</v>
      </c>
      <c r="L79" s="210">
        <v>16</v>
      </c>
      <c r="M79" s="211">
        <f>8913.81+7027.61+1244.33+15395.91</f>
        <v>32581.66</v>
      </c>
      <c r="N79" s="211">
        <f>8913.81+7027.61+1244.33+15395.91</f>
        <v>32581.66</v>
      </c>
      <c r="O79" s="212">
        <f t="shared" si="4"/>
        <v>0</v>
      </c>
      <c r="P79" s="213">
        <v>4</v>
      </c>
      <c r="Q79" s="21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17</v>
      </c>
      <c r="I80" s="75">
        <v>14</v>
      </c>
      <c r="J80" s="75">
        <v>20</v>
      </c>
      <c r="K80" s="209">
        <v>20</v>
      </c>
      <c r="L80" s="210">
        <v>20</v>
      </c>
      <c r="M80" s="211">
        <f>14959.64+7384.39+14758.51</f>
        <v>37102.54</v>
      </c>
      <c r="N80" s="211">
        <f>14959.64+7384.39</f>
        <v>22344.03</v>
      </c>
      <c r="O80" s="212">
        <f t="shared" si="4"/>
        <v>14758.510000000002</v>
      </c>
      <c r="P80" s="213">
        <v>9</v>
      </c>
      <c r="Q80" s="214">
        <v>9</v>
      </c>
      <c r="R80" s="215">
        <v>9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3</v>
      </c>
      <c r="I81" s="75"/>
      <c r="J81" s="75"/>
      <c r="K81" s="209"/>
      <c r="L81" s="210"/>
      <c r="M81" s="211"/>
      <c r="N81" s="211"/>
      <c r="O81" s="212">
        <f t="shared" si="4"/>
        <v>0</v>
      </c>
      <c r="P81" s="213"/>
      <c r="Q81" s="214"/>
      <c r="R81" s="215"/>
      <c r="S81" s="97"/>
      <c r="T81" s="97"/>
      <c r="U81" s="97">
        <f t="shared" si="5"/>
        <v>0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17</v>
      </c>
      <c r="I82" s="75">
        <v>14</v>
      </c>
      <c r="J82" s="75">
        <v>15</v>
      </c>
      <c r="K82" s="209">
        <v>15</v>
      </c>
      <c r="L82" s="210">
        <v>15</v>
      </c>
      <c r="M82" s="211">
        <f>2626.75+8084.46+600.05+7445.83</f>
        <v>18757.089999999997</v>
      </c>
      <c r="N82" s="211">
        <f>2626.75+8084.46+600.05</f>
        <v>11311.259999999998</v>
      </c>
      <c r="O82" s="212">
        <f t="shared" si="4"/>
        <v>7445.8299999999981</v>
      </c>
      <c r="P82" s="213">
        <v>9</v>
      </c>
      <c r="Q82" s="214">
        <v>9</v>
      </c>
      <c r="R82" s="215">
        <v>9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17</v>
      </c>
      <c r="I83" s="75">
        <v>11</v>
      </c>
      <c r="J83" s="75">
        <v>19</v>
      </c>
      <c r="K83" s="209">
        <v>19</v>
      </c>
      <c r="L83" s="210">
        <v>19</v>
      </c>
      <c r="M83" s="211">
        <f>11232.31+3440.1+14435.12-1360.99</f>
        <v>27746.539999999997</v>
      </c>
      <c r="N83" s="211">
        <f>11232.31+3440.1+14435.12-1360.99</f>
        <v>27746.539999999997</v>
      </c>
      <c r="O83" s="212">
        <f t="shared" si="4"/>
        <v>0</v>
      </c>
      <c r="P83" s="213">
        <v>9</v>
      </c>
      <c r="Q83" s="21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17</v>
      </c>
      <c r="I84" s="75">
        <v>6</v>
      </c>
      <c r="J84" s="75">
        <v>9</v>
      </c>
      <c r="K84" s="209">
        <v>9</v>
      </c>
      <c r="L84" s="210">
        <v>9</v>
      </c>
      <c r="M84" s="211">
        <f>5429.56+2272.28+2029.9</f>
        <v>9731.74</v>
      </c>
      <c r="N84" s="211">
        <f>5429.56+2272.28+2029.9</f>
        <v>9731.74</v>
      </c>
      <c r="O84" s="212">
        <f t="shared" si="4"/>
        <v>0</v>
      </c>
      <c r="P84" s="213">
        <v>1</v>
      </c>
      <c r="Q84" s="21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28</v>
      </c>
      <c r="I85" s="75">
        <v>26</v>
      </c>
      <c r="J85" s="75">
        <v>48</v>
      </c>
      <c r="K85" s="209">
        <v>43</v>
      </c>
      <c r="L85" s="210">
        <v>43</v>
      </c>
      <c r="M85" s="211">
        <f>15506.09+4089.12+1924.78+1267.55+6546.86</f>
        <v>29334.399999999998</v>
      </c>
      <c r="N85" s="211">
        <f>15506.09+4089.12+1924.78+1267.55</f>
        <v>22787.539999999997</v>
      </c>
      <c r="O85" s="212">
        <f t="shared" si="4"/>
        <v>6546.8600000000006</v>
      </c>
      <c r="P85" s="213">
        <v>6</v>
      </c>
      <c r="Q85" s="21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12</v>
      </c>
      <c r="I86" s="75">
        <v>4</v>
      </c>
      <c r="J86" s="75">
        <v>4</v>
      </c>
      <c r="K86" s="209">
        <v>4</v>
      </c>
      <c r="L86" s="210">
        <v>4</v>
      </c>
      <c r="M86" s="211">
        <v>1956.76</v>
      </c>
      <c r="N86" s="211">
        <v>1956.76</v>
      </c>
      <c r="O86" s="212">
        <f t="shared" si="4"/>
        <v>0</v>
      </c>
      <c r="P86" s="213">
        <v>2</v>
      </c>
      <c r="Q86" s="21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100000000000001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7</v>
      </c>
      <c r="I87" s="75">
        <v>5</v>
      </c>
      <c r="J87" s="75">
        <v>6</v>
      </c>
      <c r="K87" s="209">
        <v>6</v>
      </c>
      <c r="L87" s="210">
        <v>6</v>
      </c>
      <c r="M87" s="211">
        <f>795.8+4099.92+1305</f>
        <v>6200.72</v>
      </c>
      <c r="N87" s="211">
        <f>795.8+4099.92+1305</f>
        <v>6200.72</v>
      </c>
      <c r="O87" s="212">
        <f t="shared" si="4"/>
        <v>0</v>
      </c>
      <c r="P87" s="213">
        <v>5</v>
      </c>
      <c r="Q87" s="214">
        <v>4</v>
      </c>
      <c r="R87" s="215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75"/>
      <c r="J88" s="75"/>
      <c r="K88" s="209"/>
      <c r="L88" s="210"/>
      <c r="M88" s="211"/>
      <c r="N88" s="211"/>
      <c r="O88" s="212">
        <f t="shared" si="4"/>
        <v>0</v>
      </c>
      <c r="P88" s="213">
        <v>6</v>
      </c>
      <c r="Q88" s="21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9</v>
      </c>
      <c r="I89" s="75">
        <v>7</v>
      </c>
      <c r="J89" s="75">
        <v>8</v>
      </c>
      <c r="K89" s="209">
        <v>8</v>
      </c>
      <c r="L89" s="210">
        <v>8</v>
      </c>
      <c r="M89" s="211">
        <f>2874.33+1509.2+1943</f>
        <v>6326.53</v>
      </c>
      <c r="N89" s="211">
        <f>2874.33+1509.2</f>
        <v>4383.53</v>
      </c>
      <c r="O89" s="212">
        <f t="shared" si="4"/>
        <v>1943</v>
      </c>
      <c r="P89" s="213">
        <v>5</v>
      </c>
      <c r="Q89" s="214">
        <v>5</v>
      </c>
      <c r="R89" s="215">
        <v>5</v>
      </c>
      <c r="S89" s="97">
        <f>8161.92+1118.75+3779.58</f>
        <v>13060.25</v>
      </c>
      <c r="T89" s="97">
        <f>8161.92+1118.75+3779.58</f>
        <v>13060.25</v>
      </c>
      <c r="U89" s="97">
        <f t="shared" si="5"/>
        <v>0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39</v>
      </c>
      <c r="I90" s="75">
        <v>31</v>
      </c>
      <c r="J90" s="75">
        <v>55</v>
      </c>
      <c r="K90" s="209">
        <v>55</v>
      </c>
      <c r="L90" s="210">
        <v>55</v>
      </c>
      <c r="M90" s="211">
        <f>14303.46+6714.67+1828.05+13505.93</f>
        <v>36352.11</v>
      </c>
      <c r="N90" s="211">
        <f>14303.46+6714.67+1828.05</f>
        <v>22846.179999999997</v>
      </c>
      <c r="O90" s="212">
        <f t="shared" si="4"/>
        <v>13505.930000000004</v>
      </c>
      <c r="P90" s="213">
        <v>8</v>
      </c>
      <c r="Q90" s="214">
        <v>7</v>
      </c>
      <c r="R90" s="215">
        <v>7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18</v>
      </c>
      <c r="I91" s="75">
        <v>11</v>
      </c>
      <c r="J91" s="75">
        <v>17</v>
      </c>
      <c r="K91" s="209">
        <v>17</v>
      </c>
      <c r="L91" s="210">
        <v>10</v>
      </c>
      <c r="M91" s="211">
        <v>5384.83</v>
      </c>
      <c r="N91" s="211">
        <v>5384.83</v>
      </c>
      <c r="O91" s="212">
        <f t="shared" si="4"/>
        <v>0</v>
      </c>
      <c r="P91" s="213">
        <v>6</v>
      </c>
      <c r="Q91" s="214">
        <v>6</v>
      </c>
      <c r="R91" s="215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16</v>
      </c>
      <c r="I92" s="75">
        <v>13</v>
      </c>
      <c r="J92" s="75">
        <v>17</v>
      </c>
      <c r="K92" s="209">
        <v>17</v>
      </c>
      <c r="L92" s="210">
        <v>16</v>
      </c>
      <c r="M92" s="211">
        <f>2301.54+4352.56+3555.69+1798.94+1481.14</f>
        <v>13489.87</v>
      </c>
      <c r="N92" s="211">
        <f>2301.54+4352.56+3555.69+1798.94</f>
        <v>12008.730000000001</v>
      </c>
      <c r="O92" s="212">
        <f t="shared" si="4"/>
        <v>1481.1399999999994</v>
      </c>
      <c r="P92" s="213">
        <v>1</v>
      </c>
      <c r="Q92" s="21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68</v>
      </c>
      <c r="I93" s="75">
        <v>33</v>
      </c>
      <c r="J93" s="75">
        <v>41</v>
      </c>
      <c r="K93" s="209">
        <v>39</v>
      </c>
      <c r="L93" s="210">
        <v>31</v>
      </c>
      <c r="M93" s="211">
        <f>14656.12+3543.47+2420.25</f>
        <v>20619.84</v>
      </c>
      <c r="N93" s="211">
        <f>14656.12+3543.47</f>
        <v>18199.59</v>
      </c>
      <c r="O93" s="212">
        <f t="shared" si="4"/>
        <v>2420.25</v>
      </c>
      <c r="P93" s="213">
        <v>9</v>
      </c>
      <c r="Q93" s="214">
        <v>9</v>
      </c>
      <c r="R93" s="215">
        <v>9</v>
      </c>
      <c r="S93" s="97">
        <f>11083.64+344.5</f>
        <v>11428.14</v>
      </c>
      <c r="T93" s="97">
        <v>11083.64</v>
      </c>
      <c r="U93" s="97">
        <f t="shared" si="5"/>
        <v>344.5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32</v>
      </c>
      <c r="I94" s="75">
        <v>16</v>
      </c>
      <c r="J94" s="75">
        <v>16</v>
      </c>
      <c r="K94" s="210">
        <v>14</v>
      </c>
      <c r="L94" s="210">
        <v>12</v>
      </c>
      <c r="M94" s="211">
        <f>6576.32+217.5+2898.52</f>
        <v>9692.34</v>
      </c>
      <c r="N94" s="211">
        <f>6576.32+217.5+2898.52</f>
        <v>9692.34</v>
      </c>
      <c r="O94" s="212">
        <f t="shared" si="4"/>
        <v>0</v>
      </c>
      <c r="P94" s="213">
        <v>24</v>
      </c>
      <c r="Q94" s="215">
        <v>24</v>
      </c>
      <c r="R94" s="215">
        <v>23</v>
      </c>
      <c r="S94" s="97">
        <f>18253.04+4245.2+858.65+1546.26</f>
        <v>24903.15</v>
      </c>
      <c r="T94" s="97">
        <f>18253.04+4245.2+858.65</f>
        <v>23356.890000000003</v>
      </c>
      <c r="U94" s="97">
        <f t="shared" si="5"/>
        <v>1546.2599999999984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24</v>
      </c>
      <c r="I95" s="75">
        <v>12</v>
      </c>
      <c r="J95" s="75">
        <v>13</v>
      </c>
      <c r="K95" s="209">
        <v>13</v>
      </c>
      <c r="L95" s="210">
        <v>13</v>
      </c>
      <c r="M95" s="211">
        <f>2362.32+22110.36+455.21+2039.58</f>
        <v>26967.47</v>
      </c>
      <c r="N95" s="211">
        <f>2362.32+22110.36+455.21+2039.58</f>
        <v>26967.47</v>
      </c>
      <c r="O95" s="212">
        <f t="shared" si="4"/>
        <v>0</v>
      </c>
      <c r="P95" s="213">
        <v>15</v>
      </c>
      <c r="Q95" s="214">
        <v>15</v>
      </c>
      <c r="R95" s="215">
        <v>15</v>
      </c>
      <c r="S95" s="97">
        <f>24552.24+1001.28+122.46</f>
        <v>25675.98</v>
      </c>
      <c r="T95" s="97">
        <f>24552.24+1001.28+122.46</f>
        <v>25675.98</v>
      </c>
      <c r="U95" s="97">
        <f t="shared" si="5"/>
        <v>0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9</v>
      </c>
      <c r="I96" s="75">
        <v>7</v>
      </c>
      <c r="J96" s="75">
        <v>10</v>
      </c>
      <c r="K96" s="209">
        <v>10</v>
      </c>
      <c r="L96" s="210">
        <v>7</v>
      </c>
      <c r="M96" s="211">
        <f>826.8+2786.41</f>
        <v>3613.21</v>
      </c>
      <c r="N96" s="211">
        <f>826.8+2786.41</f>
        <v>3613.21</v>
      </c>
      <c r="O96" s="212">
        <f t="shared" si="4"/>
        <v>0</v>
      </c>
      <c r="P96" s="213"/>
      <c r="Q96" s="214"/>
      <c r="R96" s="215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11</v>
      </c>
      <c r="I97" s="75">
        <v>7</v>
      </c>
      <c r="J97" s="75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</f>
        <v>4629.18</v>
      </c>
      <c r="O97" s="212">
        <f t="shared" si="4"/>
        <v>380.63000000000011</v>
      </c>
      <c r="P97" s="213">
        <v>4</v>
      </c>
      <c r="Q97" s="21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15</v>
      </c>
      <c r="I98" s="75">
        <v>6</v>
      </c>
      <c r="J98" s="75">
        <v>6</v>
      </c>
      <c r="K98" s="209">
        <v>6</v>
      </c>
      <c r="L98" s="210">
        <v>6</v>
      </c>
      <c r="M98" s="211">
        <f>757.9+551.2+895.7+290</f>
        <v>2494.8000000000002</v>
      </c>
      <c r="N98" s="211">
        <f>757.9+551.2+895.7+290</f>
        <v>2494.8000000000002</v>
      </c>
      <c r="O98" s="212">
        <f t="shared" si="4"/>
        <v>0</v>
      </c>
      <c r="P98" s="213">
        <v>10</v>
      </c>
      <c r="Q98" s="214">
        <v>10</v>
      </c>
      <c r="R98" s="215">
        <v>10</v>
      </c>
      <c r="S98" s="97">
        <f>8034.56+3466.13</f>
        <v>11500.69</v>
      </c>
      <c r="T98" s="97">
        <v>8034.56</v>
      </c>
      <c r="U98" s="97">
        <f t="shared" si="5"/>
        <v>3466.13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22</v>
      </c>
      <c r="I99" s="75">
        <v>10</v>
      </c>
      <c r="J99" s="75">
        <v>12</v>
      </c>
      <c r="K99" s="209">
        <v>11</v>
      </c>
      <c r="L99" s="210">
        <v>11</v>
      </c>
      <c r="M99" s="211">
        <f>4782.23+1353.89+2195.41+1197.7</f>
        <v>9529.23</v>
      </c>
      <c r="N99" s="211">
        <f>4782.23+1353.89+2195.41+1197.7</f>
        <v>9529.23</v>
      </c>
      <c r="O99" s="212">
        <f t="shared" si="4"/>
        <v>0</v>
      </c>
      <c r="P99" s="213">
        <v>11</v>
      </c>
      <c r="Q99" s="214">
        <v>11</v>
      </c>
      <c r="R99" s="215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17</v>
      </c>
      <c r="I100" s="75">
        <v>12</v>
      </c>
      <c r="J100" s="75">
        <v>17</v>
      </c>
      <c r="K100" s="209">
        <v>17</v>
      </c>
      <c r="L100" s="210">
        <v>17</v>
      </c>
      <c r="M100" s="211">
        <f>10862.96+2375.03+5632.11</f>
        <v>18870.099999999999</v>
      </c>
      <c r="N100" s="211">
        <f>10862.96+2375.03+5632.11</f>
        <v>18870.099999999999</v>
      </c>
      <c r="O100" s="212">
        <f t="shared" si="4"/>
        <v>0</v>
      </c>
      <c r="P100" s="213">
        <v>10</v>
      </c>
      <c r="Q100" s="214">
        <v>10</v>
      </c>
      <c r="R100" s="215">
        <v>10</v>
      </c>
      <c r="S100" s="97">
        <v>4780.1000000000004</v>
      </c>
      <c r="T100" s="97">
        <v>4780.1000000000004</v>
      </c>
      <c r="U100" s="97">
        <f t="shared" si="5"/>
        <v>0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59</v>
      </c>
      <c r="I101" s="75">
        <v>27</v>
      </c>
      <c r="J101" s="75">
        <v>30</v>
      </c>
      <c r="K101" s="209">
        <v>30</v>
      </c>
      <c r="L101" s="210">
        <v>30</v>
      </c>
      <c r="M101" s="211">
        <f>16276.16+4466.66+1078.5+4011.53+435</f>
        <v>26267.85</v>
      </c>
      <c r="N101" s="211">
        <f>16276.16+4466.66+1078.5+4011.53</f>
        <v>25832.85</v>
      </c>
      <c r="O101" s="212">
        <f t="shared" si="4"/>
        <v>435</v>
      </c>
      <c r="P101" s="213">
        <v>27</v>
      </c>
      <c r="Q101" s="214">
        <v>27</v>
      </c>
      <c r="R101" s="215">
        <v>27</v>
      </c>
      <c r="S101" s="97">
        <f>21329.45-2252.12+532.3+345.99+26455.28+1.67</f>
        <v>46412.57</v>
      </c>
      <c r="T101" s="97">
        <f>21329.45-2252.12+532.3+345.98</f>
        <v>19955.61</v>
      </c>
      <c r="U101" s="97">
        <f t="shared" si="5"/>
        <v>26456.959999999999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8</v>
      </c>
      <c r="I102" s="114">
        <v>7</v>
      </c>
      <c r="J102" s="114">
        <v>10</v>
      </c>
      <c r="K102" s="216">
        <v>10</v>
      </c>
      <c r="L102" s="217">
        <v>8</v>
      </c>
      <c r="M102" s="218">
        <f>3259.83+1328.19</f>
        <v>4588.0200000000004</v>
      </c>
      <c r="N102" s="218">
        <v>3259.83</v>
      </c>
      <c r="O102" s="212">
        <f t="shared" si="4"/>
        <v>1328.1900000000005</v>
      </c>
      <c r="P102" s="219">
        <v>4</v>
      </c>
      <c r="Q102" s="220">
        <v>4</v>
      </c>
      <c r="R102" s="221">
        <v>3</v>
      </c>
      <c r="S102" s="147">
        <v>1193.3</v>
      </c>
      <c r="T102" s="147">
        <v>1193.3</v>
      </c>
      <c r="U102" s="147">
        <f t="shared" si="5"/>
        <v>0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12</v>
      </c>
      <c r="I103" s="75">
        <v>3</v>
      </c>
      <c r="J103" s="75">
        <v>3</v>
      </c>
      <c r="K103" s="209">
        <v>3</v>
      </c>
      <c r="L103" s="210">
        <v>3</v>
      </c>
      <c r="M103" s="211">
        <f>699.33+580</f>
        <v>1279.33</v>
      </c>
      <c r="N103" s="211">
        <f>699.33+580</f>
        <v>1279.33</v>
      </c>
      <c r="O103" s="212">
        <f t="shared" si="4"/>
        <v>0</v>
      </c>
      <c r="P103" s="215"/>
      <c r="Q103" s="214"/>
      <c r="R103" s="215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214"/>
      <c r="R104" s="215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1760</v>
      </c>
      <c r="I105" s="119">
        <f t="shared" si="7"/>
        <v>1022</v>
      </c>
      <c r="J105" s="119">
        <f t="shared" si="7"/>
        <v>1370</v>
      </c>
      <c r="K105" s="222">
        <f t="shared" si="7"/>
        <v>1315</v>
      </c>
      <c r="L105" s="223">
        <f t="shared" si="7"/>
        <v>1257</v>
      </c>
      <c r="M105" s="224">
        <f t="shared" si="7"/>
        <v>1090803.3900000006</v>
      </c>
      <c r="N105" s="224">
        <f t="shared" si="7"/>
        <v>964298.10000000021</v>
      </c>
      <c r="O105" s="224">
        <f t="shared" si="7"/>
        <v>126505.29000000004</v>
      </c>
      <c r="P105" s="225">
        <f t="shared" si="7"/>
        <v>690</v>
      </c>
      <c r="Q105" s="226">
        <f>SUM(Q10:Q104)</f>
        <v>681</v>
      </c>
      <c r="R105" s="225">
        <f>SUM(R11:R104)</f>
        <v>667</v>
      </c>
      <c r="S105" s="151">
        <f>SUM(S10:S104)</f>
        <v>895040.52</v>
      </c>
      <c r="T105" s="151">
        <f>SUM(T10:T104)</f>
        <v>848654.08000000007</v>
      </c>
      <c r="U105" s="151">
        <f>SUM(U10:U104)</f>
        <v>46386.44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59">
        <f>M105+S105</f>
        <v>1985843.9100000006</v>
      </c>
      <c r="AG105" s="159">
        <f>N105+T105</f>
        <v>1812952.1800000002</v>
      </c>
      <c r="AH105" s="159">
        <f>O105+U105</f>
        <v>172891.73000000004</v>
      </c>
    </row>
    <row r="106" spans="1:35" x14ac:dyDescent="0.25">
      <c r="V106" s="160"/>
      <c r="W106" s="159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</row>
    <row r="107" spans="1:35" x14ac:dyDescent="0.25">
      <c r="V107" s="145"/>
      <c r="W107" s="145"/>
      <c r="AF107" s="159"/>
      <c r="AG107" s="159"/>
      <c r="AH107" s="159"/>
      <c r="AI107" s="145"/>
    </row>
    <row r="108" spans="1:35" x14ac:dyDescent="0.25">
      <c r="W108" s="145"/>
      <c r="AF108" s="159">
        <f>1812952.19-AF105</f>
        <v>-172891.72000000067</v>
      </c>
      <c r="AG108" s="160"/>
      <c r="AH108" s="160"/>
    </row>
    <row r="109" spans="1:35" x14ac:dyDescent="0.25">
      <c r="AF109" s="163"/>
      <c r="AG109" s="163"/>
      <c r="AH109" s="163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358" priority="10" stopIfTrue="1" operator="equal">
      <formula>0</formula>
    </cfRule>
  </conditionalFormatting>
  <conditionalFormatting sqref="AL45">
    <cfRule type="cellIs" dxfId="357" priority="9" stopIfTrue="1" operator="equal">
      <formula>0</formula>
    </cfRule>
  </conditionalFormatting>
  <conditionalFormatting sqref="T45">
    <cfRule type="cellIs" dxfId="356" priority="8" stopIfTrue="1" operator="equal">
      <formula>0</formula>
    </cfRule>
  </conditionalFormatting>
  <conditionalFormatting sqref="T45">
    <cfRule type="cellIs" dxfId="355" priority="7" stopIfTrue="1" operator="equal">
      <formula>0</formula>
    </cfRule>
  </conditionalFormatting>
  <conditionalFormatting sqref="T45">
    <cfRule type="cellIs" dxfId="354" priority="6" stopIfTrue="1" operator="equal">
      <formula>0</formula>
    </cfRule>
  </conditionalFormatting>
  <conditionalFormatting sqref="T45">
    <cfRule type="cellIs" dxfId="353" priority="5" stopIfTrue="1" operator="equal">
      <formula>0</formula>
    </cfRule>
  </conditionalFormatting>
  <conditionalFormatting sqref="T45">
    <cfRule type="cellIs" dxfId="352" priority="4" stopIfTrue="1" operator="equal">
      <formula>0</formula>
    </cfRule>
  </conditionalFormatting>
  <conditionalFormatting sqref="T45">
    <cfRule type="cellIs" dxfId="351" priority="3" stopIfTrue="1" operator="equal">
      <formula>0</formula>
    </cfRule>
  </conditionalFormatting>
  <conditionalFormatting sqref="T45">
    <cfRule type="cellIs" dxfId="350" priority="2" stopIfTrue="1" operator="equal">
      <formula>0</formula>
    </cfRule>
  </conditionalFormatting>
  <conditionalFormatting sqref="T45">
    <cfRule type="cellIs" dxfId="349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9"/>
  <sheetViews>
    <sheetView topLeftCell="H1" zoomScale="90" zoomScaleNormal="90" workbookViewId="0">
      <selection activeCell="O8" sqref="O8"/>
    </sheetView>
  </sheetViews>
  <sheetFormatPr defaultRowHeight="15.75" x14ac:dyDescent="0.25"/>
  <cols>
    <col min="1" max="1" width="6.28515625" style="155" hidden="1" customWidth="1"/>
    <col min="2" max="2" width="9.140625" style="184" hidden="1" customWidth="1"/>
    <col min="3" max="3" width="34.42578125" style="184" customWidth="1"/>
    <col min="4" max="4" width="9.140625" style="184" customWidth="1"/>
    <col min="5" max="5" width="14.5703125" style="184" customWidth="1"/>
    <col min="6" max="6" width="25.140625" style="184" customWidth="1"/>
    <col min="7" max="7" width="20.42578125" style="184" customWidth="1"/>
    <col min="8" max="10" width="9.140625" style="184" customWidth="1"/>
    <col min="11" max="12" width="9.140625" style="227" customWidth="1"/>
    <col min="13" max="13" width="14.5703125" style="228" customWidth="1"/>
    <col min="14" max="14" width="12.42578125" style="228" customWidth="1"/>
    <col min="15" max="15" width="12.28515625" style="228" customWidth="1"/>
    <col min="16" max="18" width="9.140625" style="228" customWidth="1"/>
    <col min="19" max="19" width="16.85546875" style="185" customWidth="1"/>
    <col min="20" max="20" width="10.7109375" style="185" customWidth="1"/>
    <col min="21" max="21" width="10.7109375" style="186" customWidth="1"/>
    <col min="22" max="22" width="15" style="134" customWidth="1"/>
    <col min="23" max="23" width="14" style="134" customWidth="1"/>
    <col min="24" max="24" width="9.140625" style="134" customWidth="1"/>
    <col min="25" max="25" width="9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0.28515625" style="134" bestFit="1" customWidth="1"/>
    <col min="35" max="37" width="0" style="134" hidden="1" customWidth="1"/>
    <col min="38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293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294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18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19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188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193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35</v>
      </c>
      <c r="I10" s="75">
        <v>20</v>
      </c>
      <c r="J10" s="75">
        <v>23</v>
      </c>
      <c r="K10" s="189">
        <v>23</v>
      </c>
      <c r="L10" s="210">
        <v>22</v>
      </c>
      <c r="M10" s="211">
        <f>8818.63+2629.32+1661.28+2228.94</f>
        <v>15338.17</v>
      </c>
      <c r="N10" s="211">
        <f>8818.63+2629.32+1661.28</f>
        <v>13109.23</v>
      </c>
      <c r="O10" s="212">
        <f xml:space="preserve"> (M10-N10)</f>
        <v>2228.9400000000005</v>
      </c>
      <c r="P10" s="213">
        <v>8</v>
      </c>
      <c r="Q10" s="194">
        <v>8</v>
      </c>
      <c r="R10" s="215">
        <v>8</v>
      </c>
      <c r="S10" s="97">
        <f>4246.75+895.7+2557.8</f>
        <v>7700.25</v>
      </c>
      <c r="T10" s="97">
        <f>4246.75+895.7</f>
        <v>5142.45</v>
      </c>
      <c r="U10" s="97">
        <f xml:space="preserve"> (S10-T10)</f>
        <v>2557.8000000000002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12</v>
      </c>
      <c r="I11" s="75">
        <v>11</v>
      </c>
      <c r="J11" s="75">
        <v>11</v>
      </c>
      <c r="K11" s="189">
        <v>11</v>
      </c>
      <c r="L11" s="210">
        <v>9</v>
      </c>
      <c r="M11" s="211">
        <f>1778.86+580+1740</f>
        <v>4098.8599999999997</v>
      </c>
      <c r="N11" s="211">
        <f>1778.86+580+1740</f>
        <v>4098.8599999999997</v>
      </c>
      <c r="O11" s="212">
        <f t="shared" ref="O11:O74" si="1" xml:space="preserve"> (M11-N11)</f>
        <v>0</v>
      </c>
      <c r="P11" s="213">
        <v>2</v>
      </c>
      <c r="Q11" s="19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75"/>
      <c r="J12" s="75"/>
      <c r="K12" s="189"/>
      <c r="L12" s="210"/>
      <c r="M12" s="211"/>
      <c r="N12" s="211"/>
      <c r="O12" s="212">
        <f t="shared" si="1"/>
        <v>0</v>
      </c>
      <c r="P12" s="213">
        <v>3</v>
      </c>
      <c r="Q12" s="19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22</v>
      </c>
      <c r="I13" s="75">
        <v>8</v>
      </c>
      <c r="J13" s="75">
        <v>11</v>
      </c>
      <c r="K13" s="189">
        <v>11</v>
      </c>
      <c r="L13" s="210">
        <v>11</v>
      </c>
      <c r="M13" s="211">
        <f>272.84+2699.54+4096.17</f>
        <v>7068.55</v>
      </c>
      <c r="N13" s="211">
        <f>272.84+2699.54+4096.17</f>
        <v>7068.55</v>
      </c>
      <c r="O13" s="212">
        <f t="shared" si="1"/>
        <v>0</v>
      </c>
      <c r="P13" s="213">
        <v>5</v>
      </c>
      <c r="Q13" s="194">
        <v>5</v>
      </c>
      <c r="R13" s="215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28</v>
      </c>
      <c r="I14" s="75">
        <v>18</v>
      </c>
      <c r="J14" s="75">
        <v>20</v>
      </c>
      <c r="K14" s="189">
        <v>19</v>
      </c>
      <c r="L14" s="210">
        <v>17</v>
      </c>
      <c r="M14" s="211">
        <f>4932.74+3257.04+137</f>
        <v>8326.7799999999988</v>
      </c>
      <c r="N14" s="211">
        <f>4932.74+3257.04</f>
        <v>8189.78</v>
      </c>
      <c r="O14" s="212">
        <f t="shared" si="1"/>
        <v>136.99999999999909</v>
      </c>
      <c r="P14" s="213">
        <v>6</v>
      </c>
      <c r="Q14" s="194">
        <v>6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24</v>
      </c>
      <c r="I15" s="75">
        <v>17</v>
      </c>
      <c r="J15" s="75">
        <v>23</v>
      </c>
      <c r="K15" s="189">
        <v>23</v>
      </c>
      <c r="L15" s="210">
        <v>23</v>
      </c>
      <c r="M15" s="211">
        <f>16942.87+1278.76</f>
        <v>18221.629999999997</v>
      </c>
      <c r="N15" s="211">
        <f>16942.87+1278.76</f>
        <v>18221.629999999997</v>
      </c>
      <c r="O15" s="212">
        <f t="shared" si="1"/>
        <v>0</v>
      </c>
      <c r="P15" s="213">
        <v>13</v>
      </c>
      <c r="Q15" s="194">
        <v>13</v>
      </c>
      <c r="R15" s="215">
        <v>13</v>
      </c>
      <c r="S15" s="97">
        <v>13813.9</v>
      </c>
      <c r="T15" s="97">
        <v>13813.9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75"/>
      <c r="J16" s="75"/>
      <c r="K16" s="189"/>
      <c r="L16" s="210"/>
      <c r="M16" s="211"/>
      <c r="N16" s="211"/>
      <c r="O16" s="212">
        <f t="shared" si="1"/>
        <v>0</v>
      </c>
      <c r="P16" s="213"/>
      <c r="Q16" s="19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26</v>
      </c>
      <c r="I17" s="75">
        <v>11</v>
      </c>
      <c r="J17" s="75">
        <v>15</v>
      </c>
      <c r="K17" s="189">
        <v>14</v>
      </c>
      <c r="L17" s="210">
        <v>14</v>
      </c>
      <c r="M17" s="211">
        <f>7235.14+4416.12+1559.66</f>
        <v>13210.92</v>
      </c>
      <c r="N17" s="211">
        <f>7235.14+4416.12+1559.66</f>
        <v>13210.92</v>
      </c>
      <c r="O17" s="212">
        <f t="shared" si="1"/>
        <v>0</v>
      </c>
      <c r="P17" s="213">
        <v>1</v>
      </c>
      <c r="Q17" s="19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29</v>
      </c>
      <c r="I18" s="75">
        <v>6</v>
      </c>
      <c r="J18" s="75">
        <v>6</v>
      </c>
      <c r="K18" s="75">
        <v>6</v>
      </c>
      <c r="L18" s="210"/>
      <c r="M18" s="211">
        <v>2118.92</v>
      </c>
      <c r="N18" s="211">
        <v>2118.92</v>
      </c>
      <c r="O18" s="212">
        <f t="shared" si="1"/>
        <v>0</v>
      </c>
      <c r="P18" s="213">
        <v>6</v>
      </c>
      <c r="Q18" s="124">
        <v>6</v>
      </c>
      <c r="R18" s="215">
        <v>6</v>
      </c>
      <c r="S18" s="97">
        <v>14748.55</v>
      </c>
      <c r="T18" s="97">
        <v>14748.55</v>
      </c>
      <c r="U18" s="97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25</v>
      </c>
      <c r="I19" s="75">
        <v>13</v>
      </c>
      <c r="J19" s="75">
        <v>24</v>
      </c>
      <c r="K19" s="189">
        <v>23</v>
      </c>
      <c r="L19" s="210">
        <v>23</v>
      </c>
      <c r="M19" s="211">
        <f>5345.36+3385.2+4242.79+7468.83</f>
        <v>20442.18</v>
      </c>
      <c r="N19" s="211">
        <f>5345.36+3385.2+4242.79</f>
        <v>12973.349999999999</v>
      </c>
      <c r="O19" s="212">
        <f t="shared" si="1"/>
        <v>7468.8300000000017</v>
      </c>
      <c r="P19" s="213">
        <v>15</v>
      </c>
      <c r="Q19" s="19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29</v>
      </c>
      <c r="I20" s="75">
        <v>13</v>
      </c>
      <c r="J20" s="75">
        <v>17</v>
      </c>
      <c r="K20" s="75">
        <v>16</v>
      </c>
      <c r="L20" s="210">
        <v>16</v>
      </c>
      <c r="M20" s="211">
        <f>5728.14+3727.02+315.94+2507.59</f>
        <v>12278.69</v>
      </c>
      <c r="N20" s="211">
        <f>5728.14+3727.02+315.94</f>
        <v>9771.1</v>
      </c>
      <c r="O20" s="212">
        <f t="shared" si="1"/>
        <v>2507.59</v>
      </c>
      <c r="P20" s="213">
        <v>25</v>
      </c>
      <c r="Q20" s="124">
        <v>25</v>
      </c>
      <c r="R20" s="215">
        <v>24</v>
      </c>
      <c r="S20" s="97">
        <f>36404.57+1488.24</f>
        <v>37892.81</v>
      </c>
      <c r="T20" s="97">
        <f>36404.57+1488.24</f>
        <v>37892.81</v>
      </c>
      <c r="U20" s="97">
        <f t="shared" si="2"/>
        <v>0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15</v>
      </c>
      <c r="I21" s="75">
        <v>7</v>
      </c>
      <c r="J21" s="75">
        <v>10</v>
      </c>
      <c r="K21" s="189">
        <v>10</v>
      </c>
      <c r="L21" s="210">
        <v>10</v>
      </c>
      <c r="M21" s="211">
        <f>3586.84+1791.4+1337.88+413.4</f>
        <v>7129.5199999999995</v>
      </c>
      <c r="N21" s="211">
        <f>3586.84+1791.4+1337.88</f>
        <v>6716.12</v>
      </c>
      <c r="O21" s="212">
        <f t="shared" si="1"/>
        <v>413.39999999999964</v>
      </c>
      <c r="P21" s="213">
        <v>6</v>
      </c>
      <c r="Q21" s="194">
        <v>6</v>
      </c>
      <c r="R21" s="215">
        <v>6</v>
      </c>
      <c r="S21" s="97">
        <f>7288.02+447.62+2487.39</f>
        <v>10223.030000000001</v>
      </c>
      <c r="T21" s="97">
        <f>7288.02+447.62</f>
        <v>7735.64</v>
      </c>
      <c r="U21" s="97">
        <f t="shared" si="2"/>
        <v>2487.3900000000003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86</v>
      </c>
      <c r="I22" s="75">
        <v>32</v>
      </c>
      <c r="J22" s="75">
        <v>43</v>
      </c>
      <c r="K22" s="75">
        <v>34</v>
      </c>
      <c r="L22" s="210">
        <v>34</v>
      </c>
      <c r="M22" s="211">
        <f>19787.02+2513.73+2255.05</f>
        <v>24555.8</v>
      </c>
      <c r="N22" s="211">
        <f>19787.02+2513.73</f>
        <v>22300.75</v>
      </c>
      <c r="O22" s="212">
        <f t="shared" si="1"/>
        <v>2255.0499999999993</v>
      </c>
      <c r="P22" s="213">
        <v>20</v>
      </c>
      <c r="Q22" s="124">
        <v>20</v>
      </c>
      <c r="R22" s="215">
        <v>20</v>
      </c>
      <c r="S22" s="97">
        <v>24103.23</v>
      </c>
      <c r="T22" s="97">
        <v>24103.23</v>
      </c>
      <c r="U22" s="97">
        <f t="shared" si="2"/>
        <v>0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13</v>
      </c>
      <c r="I23" s="75">
        <v>8</v>
      </c>
      <c r="J23" s="75">
        <v>11</v>
      </c>
      <c r="K23" s="189">
        <v>10</v>
      </c>
      <c r="L23" s="210">
        <v>9</v>
      </c>
      <c r="M23" s="211">
        <f>5739.04+1828.05+1440.72</f>
        <v>9007.81</v>
      </c>
      <c r="N23" s="211">
        <f>5739.04+1828.05+1440.72</f>
        <v>9007.81</v>
      </c>
      <c r="O23" s="212">
        <f t="shared" si="1"/>
        <v>0</v>
      </c>
      <c r="P23" s="213">
        <v>11</v>
      </c>
      <c r="Q23" s="194">
        <v>11</v>
      </c>
      <c r="R23" s="215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16</v>
      </c>
      <c r="I24" s="75">
        <v>11</v>
      </c>
      <c r="J24" s="75">
        <v>15</v>
      </c>
      <c r="K24" s="189">
        <v>15</v>
      </c>
      <c r="L24" s="210">
        <v>15</v>
      </c>
      <c r="M24" s="211">
        <f>1515.11+3525.12</f>
        <v>5040.2299999999996</v>
      </c>
      <c r="N24" s="211">
        <f>1515.11+3525.12</f>
        <v>5040.2299999999996</v>
      </c>
      <c r="O24" s="212">
        <f t="shared" si="1"/>
        <v>0</v>
      </c>
      <c r="P24" s="213">
        <v>8</v>
      </c>
      <c r="Q24" s="19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24</v>
      </c>
      <c r="I25" s="75">
        <v>9</v>
      </c>
      <c r="J25" s="75">
        <v>26</v>
      </c>
      <c r="K25" s="75">
        <v>26</v>
      </c>
      <c r="L25" s="210">
        <v>23</v>
      </c>
      <c r="M25" s="211">
        <f>9005.69+15068.32</f>
        <v>24074.010000000002</v>
      </c>
      <c r="N25" s="211">
        <f>9005.69+15068.32</f>
        <v>24074.010000000002</v>
      </c>
      <c r="O25" s="212">
        <f t="shared" si="1"/>
        <v>0</v>
      </c>
      <c r="P25" s="213">
        <v>21</v>
      </c>
      <c r="Q25" s="124">
        <v>21</v>
      </c>
      <c r="R25" s="215">
        <v>20</v>
      </c>
      <c r="S25" s="97">
        <v>24213.05</v>
      </c>
      <c r="T25" s="97">
        <v>24213.05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20</v>
      </c>
      <c r="I26" s="75">
        <v>8</v>
      </c>
      <c r="J26" s="75">
        <v>13</v>
      </c>
      <c r="K26" s="189">
        <v>13</v>
      </c>
      <c r="L26" s="210">
        <v>13</v>
      </c>
      <c r="M26" s="211">
        <f>3777.1+6399.51</f>
        <v>10176.61</v>
      </c>
      <c r="N26" s="211">
        <f>3777.1+6399.51</f>
        <v>10176.61</v>
      </c>
      <c r="O26" s="212">
        <f t="shared" si="1"/>
        <v>0</v>
      </c>
      <c r="P26" s="213">
        <v>10</v>
      </c>
      <c r="Q26" s="194">
        <v>10</v>
      </c>
      <c r="R26" s="215">
        <v>10</v>
      </c>
      <c r="S26" s="97">
        <v>3386.7</v>
      </c>
      <c r="T26" s="97">
        <v>3386.7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24</v>
      </c>
      <c r="I27" s="75">
        <v>13</v>
      </c>
      <c r="J27" s="75">
        <v>24</v>
      </c>
      <c r="K27" s="189">
        <v>24</v>
      </c>
      <c r="L27" s="210">
        <v>24</v>
      </c>
      <c r="M27" s="211">
        <f>6801.73+4254.18+3948.81</f>
        <v>15004.72</v>
      </c>
      <c r="N27" s="211">
        <f>6801.73+4254.18+3948.81</f>
        <v>15004.72</v>
      </c>
      <c r="O27" s="212">
        <f t="shared" si="1"/>
        <v>0</v>
      </c>
      <c r="P27" s="213">
        <v>14</v>
      </c>
      <c r="Q27" s="19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75"/>
      <c r="J28" s="75"/>
      <c r="K28" s="189"/>
      <c r="L28" s="210"/>
      <c r="M28" s="211"/>
      <c r="N28" s="211"/>
      <c r="O28" s="212">
        <f t="shared" si="1"/>
        <v>0</v>
      </c>
      <c r="P28" s="213"/>
      <c r="Q28" s="19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21</v>
      </c>
      <c r="I29" s="75">
        <v>18</v>
      </c>
      <c r="J29" s="75">
        <v>25</v>
      </c>
      <c r="K29" s="189">
        <v>25</v>
      </c>
      <c r="L29" s="210">
        <v>25</v>
      </c>
      <c r="M29" s="211">
        <f>7765.28+1107.91+3282.4+1320.23+1580.98</f>
        <v>15056.8</v>
      </c>
      <c r="N29" s="211">
        <f>7765.28+1107.91+3282.4+1320.23</f>
        <v>13475.82</v>
      </c>
      <c r="O29" s="212">
        <f t="shared" si="1"/>
        <v>1580.9799999999996</v>
      </c>
      <c r="P29" s="213">
        <v>14</v>
      </c>
      <c r="Q29" s="19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29</v>
      </c>
      <c r="I30" s="75">
        <v>25</v>
      </c>
      <c r="J30" s="75">
        <v>32</v>
      </c>
      <c r="K30" s="75">
        <v>32</v>
      </c>
      <c r="L30" s="210">
        <v>23</v>
      </c>
      <c r="M30" s="211">
        <f>5246.17+4965.96+1939.12+3762.43</f>
        <v>15913.68</v>
      </c>
      <c r="N30" s="211">
        <f>5246.17+4965.96+1939.12</f>
        <v>12151.25</v>
      </c>
      <c r="O30" s="212">
        <f t="shared" si="1"/>
        <v>3762.4300000000003</v>
      </c>
      <c r="P30" s="213">
        <v>22</v>
      </c>
      <c r="Q30" s="124">
        <v>22</v>
      </c>
      <c r="R30" s="215">
        <v>22</v>
      </c>
      <c r="S30" s="97">
        <f>39414.6+4786.67+1562.33+638.43+2216.93</f>
        <v>48618.96</v>
      </c>
      <c r="T30" s="97">
        <f>39414.6+4786.67+1562.33+638.43</f>
        <v>46402.03</v>
      </c>
      <c r="U30" s="97">
        <f t="shared" si="2"/>
        <v>2216.9300000000003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75">
        <v>1</v>
      </c>
      <c r="J31" s="75">
        <v>2</v>
      </c>
      <c r="K31" s="18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19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75"/>
      <c r="J32" s="75"/>
      <c r="K32" s="189"/>
      <c r="L32" s="210"/>
      <c r="M32" s="211"/>
      <c r="N32" s="211"/>
      <c r="O32" s="212">
        <f t="shared" si="1"/>
        <v>0</v>
      </c>
      <c r="P32" s="213"/>
      <c r="Q32" s="19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11</v>
      </c>
      <c r="I33" s="75">
        <v>9</v>
      </c>
      <c r="J33" s="75">
        <v>11</v>
      </c>
      <c r="K33" s="189">
        <v>11</v>
      </c>
      <c r="L33" s="210">
        <v>10</v>
      </c>
      <c r="M33" s="211">
        <f>4065+2226.4+2915.4</f>
        <v>9206.7999999999993</v>
      </c>
      <c r="N33" s="211">
        <f>4065+2226.4+2915.4</f>
        <v>9206.7999999999993</v>
      </c>
      <c r="O33" s="212">
        <f t="shared" si="1"/>
        <v>0</v>
      </c>
      <c r="P33" s="213"/>
      <c r="Q33" s="19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75">
        <v>14</v>
      </c>
      <c r="J34" s="75">
        <v>22</v>
      </c>
      <c r="K34" s="18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19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11</v>
      </c>
      <c r="I35" s="75">
        <v>6</v>
      </c>
      <c r="J35" s="75">
        <v>12</v>
      </c>
      <c r="K35" s="18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19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15</v>
      </c>
      <c r="I36" s="75">
        <v>10</v>
      </c>
      <c r="J36" s="75">
        <v>11</v>
      </c>
      <c r="K36" s="189">
        <v>11</v>
      </c>
      <c r="L36" s="210">
        <v>6</v>
      </c>
      <c r="M36" s="211">
        <f>2360+2665.25</f>
        <v>5025.25</v>
      </c>
      <c r="N36" s="211">
        <f>2360+2665.25</f>
        <v>5025.25</v>
      </c>
      <c r="O36" s="212">
        <f t="shared" si="1"/>
        <v>0</v>
      </c>
      <c r="P36" s="213">
        <v>6</v>
      </c>
      <c r="Q36" s="194">
        <v>6</v>
      </c>
      <c r="R36" s="215">
        <v>5</v>
      </c>
      <c r="S36" s="97">
        <f>1436.08+3433.93+5939.33</f>
        <v>10809.34</v>
      </c>
      <c r="T36" s="97">
        <f>1436.08+3433.93+5939.33</f>
        <v>10809.34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14</v>
      </c>
      <c r="I37" s="75">
        <v>11</v>
      </c>
      <c r="J37" s="75">
        <v>12</v>
      </c>
      <c r="K37" s="189">
        <v>12</v>
      </c>
      <c r="L37" s="210">
        <v>11</v>
      </c>
      <c r="M37" s="211">
        <f>4126.56+990.2+862.75+145</f>
        <v>6124.51</v>
      </c>
      <c r="N37" s="211">
        <f>4126.56+990.2+862.75</f>
        <v>5979.51</v>
      </c>
      <c r="O37" s="212">
        <f t="shared" si="1"/>
        <v>145</v>
      </c>
      <c r="P37" s="213">
        <v>2</v>
      </c>
      <c r="Q37" s="194">
        <v>1</v>
      </c>
      <c r="R37" s="215">
        <v>1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56</v>
      </c>
      <c r="I38" s="75">
        <v>27</v>
      </c>
      <c r="J38" s="75">
        <v>39</v>
      </c>
      <c r="K38" s="189">
        <v>39</v>
      </c>
      <c r="L38" s="210">
        <v>32</v>
      </c>
      <c r="M38" s="211">
        <f>18043.85+1739.74+12219.36+4084.73</f>
        <v>36087.68</v>
      </c>
      <c r="N38" s="211">
        <f>18043.85+1739.74+12219.36</f>
        <v>32002.95</v>
      </c>
      <c r="O38" s="212">
        <f t="shared" si="1"/>
        <v>4084.7299999999996</v>
      </c>
      <c r="P38" s="213">
        <v>20</v>
      </c>
      <c r="Q38" s="194">
        <v>20</v>
      </c>
      <c r="R38" s="215">
        <v>19</v>
      </c>
      <c r="S38" s="97">
        <f>22326.77+417.74</f>
        <v>22744.510000000002</v>
      </c>
      <c r="T38" s="97">
        <f>22326.77+417.74</f>
        <v>22744.510000000002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26</v>
      </c>
      <c r="I39" s="75">
        <v>10</v>
      </c>
      <c r="J39" s="75">
        <v>13</v>
      </c>
      <c r="K39" s="189">
        <v>13</v>
      </c>
      <c r="L39" s="210">
        <v>13</v>
      </c>
      <c r="M39" s="211">
        <f>4309.67+3353.38+84.05+2832.72</f>
        <v>10579.82</v>
      </c>
      <c r="N39" s="211">
        <f>4309.67+3353.38</f>
        <v>7663.05</v>
      </c>
      <c r="O39" s="212">
        <f t="shared" si="1"/>
        <v>2916.7699999999995</v>
      </c>
      <c r="P39" s="213">
        <v>3</v>
      </c>
      <c r="Q39" s="194">
        <v>3</v>
      </c>
      <c r="R39" s="215">
        <v>3</v>
      </c>
      <c r="S39" s="97"/>
      <c r="T39" s="97">
        <v>84.92</v>
      </c>
      <c r="U39" s="97">
        <f t="shared" si="2"/>
        <v>-84.92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8</v>
      </c>
      <c r="I40" s="75">
        <v>5</v>
      </c>
      <c r="J40" s="75">
        <v>5</v>
      </c>
      <c r="K40" s="189">
        <v>5</v>
      </c>
      <c r="L40" s="210">
        <v>5</v>
      </c>
      <c r="M40" s="211">
        <v>5430.01</v>
      </c>
      <c r="N40" s="211">
        <v>5430.01</v>
      </c>
      <c r="O40" s="212">
        <f t="shared" si="1"/>
        <v>0</v>
      </c>
      <c r="P40" s="213">
        <v>4</v>
      </c>
      <c r="Q40" s="194">
        <v>3</v>
      </c>
      <c r="R40" s="215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16</v>
      </c>
      <c r="I41" s="75">
        <v>8</v>
      </c>
      <c r="J41" s="75">
        <v>9</v>
      </c>
      <c r="K41" s="189">
        <v>9</v>
      </c>
      <c r="L41" s="210">
        <v>9</v>
      </c>
      <c r="M41" s="211">
        <f>4892.78+1033.5</f>
        <v>5926.28</v>
      </c>
      <c r="N41" s="211">
        <f>4892.78+1033.5</f>
        <v>5926.28</v>
      </c>
      <c r="O41" s="212">
        <f t="shared" si="1"/>
        <v>0</v>
      </c>
      <c r="P41" s="213">
        <v>3</v>
      </c>
      <c r="Q41" s="194">
        <v>3</v>
      </c>
      <c r="R41" s="215">
        <v>3</v>
      </c>
      <c r="S41" s="97">
        <f>1842.88</f>
        <v>1842.88</v>
      </c>
      <c r="T41" s="97">
        <f>1842.88</f>
        <v>1842.88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77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12</v>
      </c>
      <c r="I42" s="75">
        <v>6</v>
      </c>
      <c r="J42" s="75">
        <v>7</v>
      </c>
      <c r="K42" s="189">
        <v>7</v>
      </c>
      <c r="L42" s="210">
        <v>7</v>
      </c>
      <c r="M42" s="211">
        <f>5095.29+1605.75</f>
        <v>6701.04</v>
      </c>
      <c r="N42" s="211">
        <v>5095.29</v>
      </c>
      <c r="O42" s="212">
        <f t="shared" si="1"/>
        <v>1605.75</v>
      </c>
      <c r="P42" s="213">
        <v>5</v>
      </c>
      <c r="Q42" s="19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15</v>
      </c>
      <c r="I43" s="75">
        <v>8</v>
      </c>
      <c r="J43" s="75">
        <v>10</v>
      </c>
      <c r="K43" s="189">
        <v>10</v>
      </c>
      <c r="L43" s="210">
        <v>10</v>
      </c>
      <c r="M43" s="211">
        <f>1949.94+11241.95+1670.56+979</f>
        <v>15841.45</v>
      </c>
      <c r="N43" s="211">
        <f>1949.94+11241.95+1670.56+979</f>
        <v>15841.45</v>
      </c>
      <c r="O43" s="212">
        <f t="shared" si="1"/>
        <v>0</v>
      </c>
      <c r="P43" s="213">
        <v>7</v>
      </c>
      <c r="Q43" s="194">
        <v>6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7</v>
      </c>
      <c r="I44" s="75">
        <v>5</v>
      </c>
      <c r="J44" s="75">
        <v>9</v>
      </c>
      <c r="K44" s="189">
        <v>9</v>
      </c>
      <c r="L44" s="210">
        <v>9</v>
      </c>
      <c r="M44" s="211">
        <f>9600.95+145+2182.75</f>
        <v>11928.7</v>
      </c>
      <c r="N44" s="211">
        <f>9600.95+145</f>
        <v>9745.9500000000007</v>
      </c>
      <c r="O44" s="212">
        <f t="shared" si="1"/>
        <v>2182.75</v>
      </c>
      <c r="P44" s="213">
        <v>7</v>
      </c>
      <c r="Q44" s="194">
        <v>7</v>
      </c>
      <c r="R44" s="215">
        <v>6</v>
      </c>
      <c r="S44" s="97">
        <f>3997.92+850.65+4367.7</f>
        <v>9216.27</v>
      </c>
      <c r="T44" s="97">
        <f>3997.92+850.65+4367.7</f>
        <v>9216.27</v>
      </c>
      <c r="U44" s="97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75"/>
      <c r="J45" s="75"/>
      <c r="K45" s="189"/>
      <c r="L45" s="210"/>
      <c r="M45" s="211"/>
      <c r="N45" s="211"/>
      <c r="O45" s="212">
        <f t="shared" si="1"/>
        <v>0</v>
      </c>
      <c r="P45" s="213"/>
      <c r="Q45" s="19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11</v>
      </c>
      <c r="I46" s="75">
        <v>8</v>
      </c>
      <c r="J46" s="75">
        <v>9</v>
      </c>
      <c r="K46" s="189">
        <v>9</v>
      </c>
      <c r="L46" s="210">
        <v>9</v>
      </c>
      <c r="M46" s="211">
        <f>1290.6+2343.84</f>
        <v>3634.44</v>
      </c>
      <c r="N46" s="211">
        <f>1290.6</f>
        <v>1290.5999999999999</v>
      </c>
      <c r="O46" s="212">
        <f t="shared" si="1"/>
        <v>2343.84</v>
      </c>
      <c r="P46" s="213">
        <v>2</v>
      </c>
      <c r="Q46" s="19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27</v>
      </c>
      <c r="I47" s="75">
        <v>17</v>
      </c>
      <c r="J47" s="75">
        <v>23</v>
      </c>
      <c r="K47" s="189">
        <v>21</v>
      </c>
      <c r="L47" s="210">
        <v>21</v>
      </c>
      <c r="M47" s="211">
        <f>9335.56+3507.6+826.8</f>
        <v>13669.96</v>
      </c>
      <c r="N47" s="211">
        <f>9335.56+3507.6+826.8</f>
        <v>13669.96</v>
      </c>
      <c r="O47" s="212">
        <f t="shared" si="1"/>
        <v>0</v>
      </c>
      <c r="P47" s="213">
        <v>2</v>
      </c>
      <c r="Q47" s="19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12</v>
      </c>
      <c r="I48" s="75">
        <v>6</v>
      </c>
      <c r="J48" s="75">
        <v>9</v>
      </c>
      <c r="K48" s="189">
        <v>9</v>
      </c>
      <c r="L48" s="210">
        <v>8</v>
      </c>
      <c r="M48" s="211">
        <f>8890.84+1828.05</f>
        <v>10718.89</v>
      </c>
      <c r="N48" s="211">
        <f>8890.84+1828.05</f>
        <v>10718.89</v>
      </c>
      <c r="O48" s="212">
        <f t="shared" si="1"/>
        <v>0</v>
      </c>
      <c r="P48" s="213">
        <v>3</v>
      </c>
      <c r="Q48" s="19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17</v>
      </c>
      <c r="I49" s="75">
        <v>9</v>
      </c>
      <c r="J49" s="75">
        <v>10</v>
      </c>
      <c r="K49" s="189">
        <v>10</v>
      </c>
      <c r="L49" s="210">
        <v>10</v>
      </c>
      <c r="M49" s="211">
        <f>1831.71+137.8+1816.78</f>
        <v>3786.29</v>
      </c>
      <c r="N49" s="211">
        <f>1831.71+137.8+1816.78</f>
        <v>3786.29</v>
      </c>
      <c r="O49" s="212">
        <f t="shared" si="1"/>
        <v>0</v>
      </c>
      <c r="P49" s="213">
        <v>9</v>
      </c>
      <c r="Q49" s="194">
        <v>9</v>
      </c>
      <c r="R49" s="215">
        <v>9</v>
      </c>
      <c r="S49" s="97">
        <f>8296.23+1378+5368</f>
        <v>15042.23</v>
      </c>
      <c r="T49" s="97">
        <f>8296.23+1378</f>
        <v>9674.23</v>
      </c>
      <c r="U49" s="97">
        <f t="shared" si="2"/>
        <v>5368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15</v>
      </c>
      <c r="I50" s="75">
        <v>12</v>
      </c>
      <c r="J50" s="75">
        <v>14</v>
      </c>
      <c r="K50" s="189">
        <v>14</v>
      </c>
      <c r="L50" s="210">
        <v>14</v>
      </c>
      <c r="M50" s="211">
        <f>8308.92+786.44+453+302</f>
        <v>9850.36</v>
      </c>
      <c r="N50" s="211">
        <f>8308.92+786.44+453+302</f>
        <v>9850.36</v>
      </c>
      <c r="O50" s="212">
        <f t="shared" si="1"/>
        <v>0</v>
      </c>
      <c r="P50" s="213">
        <v>6</v>
      </c>
      <c r="Q50" s="194">
        <v>6</v>
      </c>
      <c r="R50" s="215">
        <v>6</v>
      </c>
      <c r="S50" s="97">
        <f>2457.28+1725.6+5017.9</f>
        <v>9200.7799999999988</v>
      </c>
      <c r="T50" s="97">
        <f>2457.28+1725.6+5017.9</f>
        <v>9200.7799999999988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17</v>
      </c>
      <c r="I51" s="75">
        <v>10</v>
      </c>
      <c r="J51" s="75">
        <v>11</v>
      </c>
      <c r="K51" s="189">
        <v>11</v>
      </c>
      <c r="L51" s="210">
        <v>11</v>
      </c>
      <c r="M51" s="211">
        <f>5580.75+571.11+696.2+574.2</f>
        <v>7422.2599999999993</v>
      </c>
      <c r="N51" s="211">
        <f>5580.75+571.11+696.2+574.2</f>
        <v>7422.2599999999993</v>
      </c>
      <c r="O51" s="212">
        <f t="shared" si="1"/>
        <v>0</v>
      </c>
      <c r="P51" s="213">
        <v>1</v>
      </c>
      <c r="Q51" s="194">
        <v>1</v>
      </c>
      <c r="R51" s="215">
        <v>1</v>
      </c>
      <c r="S51" s="97"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17</v>
      </c>
      <c r="I52" s="75">
        <v>8</v>
      </c>
      <c r="J52" s="75">
        <v>10</v>
      </c>
      <c r="K52" s="189">
        <v>10</v>
      </c>
      <c r="L52" s="210">
        <v>10</v>
      </c>
      <c r="M52" s="211">
        <f>3782.6+430.65+1221.61</f>
        <v>5434.86</v>
      </c>
      <c r="N52" s="211">
        <f>3782.6+430.65+1221.61</f>
        <v>5434.86</v>
      </c>
      <c r="O52" s="212">
        <f t="shared" si="1"/>
        <v>0</v>
      </c>
      <c r="P52" s="213">
        <v>5</v>
      </c>
      <c r="Q52" s="194">
        <v>5</v>
      </c>
      <c r="R52" s="215">
        <v>5</v>
      </c>
      <c r="S52" s="97">
        <f>1535.39+1035.3+828.82</f>
        <v>3399.51</v>
      </c>
      <c r="T52" s="97">
        <f>1535.39+1035.3+828.82</f>
        <v>3399.51</v>
      </c>
      <c r="U52" s="97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8</v>
      </c>
      <c r="I53" s="75">
        <v>3</v>
      </c>
      <c r="J53" s="75">
        <v>3</v>
      </c>
      <c r="K53" s="189">
        <v>3</v>
      </c>
      <c r="L53" s="210">
        <v>3</v>
      </c>
      <c r="M53" s="211">
        <f>1102.4+328.37</f>
        <v>1430.77</v>
      </c>
      <c r="N53" s="211">
        <v>1102.4000000000001</v>
      </c>
      <c r="O53" s="212">
        <f t="shared" si="1"/>
        <v>328.36999999999989</v>
      </c>
      <c r="P53" s="213">
        <v>2</v>
      </c>
      <c r="Q53" s="19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71</v>
      </c>
      <c r="I54" s="75">
        <v>43</v>
      </c>
      <c r="J54" s="75">
        <v>55</v>
      </c>
      <c r="K54" s="189">
        <v>51</v>
      </c>
      <c r="L54" s="210">
        <v>51</v>
      </c>
      <c r="M54" s="211">
        <f>12031.27+4728.85+7137.01</f>
        <v>23897.130000000005</v>
      </c>
      <c r="N54" s="211">
        <f>12031.27+4728.85+7137.01</f>
        <v>23897.130000000005</v>
      </c>
      <c r="O54" s="212">
        <f t="shared" si="1"/>
        <v>0</v>
      </c>
      <c r="P54" s="213">
        <v>17</v>
      </c>
      <c r="Q54" s="19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6</v>
      </c>
      <c r="I55" s="75">
        <v>2</v>
      </c>
      <c r="J55" s="75">
        <v>2</v>
      </c>
      <c r="K55" s="189">
        <v>2</v>
      </c>
      <c r="L55" s="210">
        <v>2</v>
      </c>
      <c r="M55" s="211">
        <v>5677.4</v>
      </c>
      <c r="N55" s="211">
        <v>5677.4</v>
      </c>
      <c r="O55" s="212">
        <f t="shared" si="1"/>
        <v>0</v>
      </c>
      <c r="P55" s="213">
        <v>3</v>
      </c>
      <c r="Q55" s="19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47</v>
      </c>
      <c r="I56" s="75">
        <v>29</v>
      </c>
      <c r="J56" s="75">
        <v>39</v>
      </c>
      <c r="K56" s="189">
        <v>39</v>
      </c>
      <c r="L56" s="210">
        <v>31</v>
      </c>
      <c r="M56" s="211">
        <f>13145.7+14183.3+726.22+3195.47</f>
        <v>31250.690000000002</v>
      </c>
      <c r="N56" s="211">
        <f>13145.7+14183.3+726.22</f>
        <v>28055.22</v>
      </c>
      <c r="O56" s="212">
        <f t="shared" si="1"/>
        <v>3195.4700000000012</v>
      </c>
      <c r="P56" s="213">
        <v>32</v>
      </c>
      <c r="Q56" s="194">
        <v>32</v>
      </c>
      <c r="R56" s="215">
        <v>31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18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19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75"/>
      <c r="J58" s="75"/>
      <c r="K58" s="189"/>
      <c r="L58" s="210"/>
      <c r="M58" s="211"/>
      <c r="N58" s="211"/>
      <c r="O58" s="212">
        <f t="shared" si="1"/>
        <v>0</v>
      </c>
      <c r="P58" s="213"/>
      <c r="Q58" s="194"/>
      <c r="R58" s="215"/>
      <c r="S58" s="97"/>
      <c r="T58" s="97"/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75"/>
      <c r="J59" s="75"/>
      <c r="K59" s="189"/>
      <c r="L59" s="210"/>
      <c r="M59" s="211"/>
      <c r="N59" s="211"/>
      <c r="O59" s="212">
        <f t="shared" si="1"/>
        <v>0</v>
      </c>
      <c r="P59" s="213"/>
      <c r="Q59" s="19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40</v>
      </c>
      <c r="I60" s="75">
        <v>25</v>
      </c>
      <c r="J60" s="75">
        <v>37</v>
      </c>
      <c r="K60" s="189">
        <v>37</v>
      </c>
      <c r="L60" s="210">
        <v>37</v>
      </c>
      <c r="M60" s="211">
        <f>19657.67+3859.57+3638.88+11285.84</f>
        <v>38441.96</v>
      </c>
      <c r="N60" s="211">
        <f>19657.67+3859.57+3638.88</f>
        <v>27156.12</v>
      </c>
      <c r="O60" s="212">
        <f t="shared" si="1"/>
        <v>11285.84</v>
      </c>
      <c r="P60" s="213">
        <v>6</v>
      </c>
      <c r="Q60" s="194">
        <v>6</v>
      </c>
      <c r="R60" s="215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21</v>
      </c>
      <c r="I61" s="75">
        <v>9</v>
      </c>
      <c r="J61" s="75">
        <v>11</v>
      </c>
      <c r="K61" s="189">
        <v>10</v>
      </c>
      <c r="L61" s="210">
        <v>10</v>
      </c>
      <c r="M61" s="211">
        <f>3986.21+989.8+3814.75</f>
        <v>8790.76</v>
      </c>
      <c r="N61" s="211">
        <f>3986.21+989.8+3814.75</f>
        <v>8790.76</v>
      </c>
      <c r="O61" s="212">
        <f t="shared" si="1"/>
        <v>0</v>
      </c>
      <c r="P61" s="213"/>
      <c r="Q61" s="19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77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16</v>
      </c>
      <c r="I62" s="75">
        <v>11</v>
      </c>
      <c r="J62" s="75">
        <v>14</v>
      </c>
      <c r="K62" s="189">
        <v>14</v>
      </c>
      <c r="L62" s="210">
        <v>9</v>
      </c>
      <c r="M62" s="211">
        <f>1263.45+2111.32+5011.35</f>
        <v>8386.1200000000008</v>
      </c>
      <c r="N62" s="211">
        <f>1263.45+2111.32+5011.35</f>
        <v>8386.1200000000008</v>
      </c>
      <c r="O62" s="212">
        <f t="shared" si="1"/>
        <v>0</v>
      </c>
      <c r="P62" s="213">
        <v>7</v>
      </c>
      <c r="Q62" s="194">
        <v>7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75"/>
      <c r="J63" s="75"/>
      <c r="K63" s="189"/>
      <c r="L63" s="210"/>
      <c r="M63" s="211"/>
      <c r="N63" s="211"/>
      <c r="O63" s="212">
        <f t="shared" si="1"/>
        <v>0</v>
      </c>
      <c r="P63" s="213">
        <v>29</v>
      </c>
      <c r="Q63" s="194">
        <v>29</v>
      </c>
      <c r="R63" s="215">
        <v>29</v>
      </c>
      <c r="S63" s="97">
        <f>9392.68+482.3+2027.39</f>
        <v>11902.369999999999</v>
      </c>
      <c r="T63" s="97">
        <f>9392.68+482.3</f>
        <v>9874.98</v>
      </c>
      <c r="U63" s="97">
        <f t="shared" si="2"/>
        <v>2027.3899999999994</v>
      </c>
      <c r="V63" s="161"/>
    </row>
    <row r="64" spans="1:40" ht="17.25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20</v>
      </c>
      <c r="I64" s="75">
        <v>13</v>
      </c>
      <c r="J64" s="75">
        <v>15</v>
      </c>
      <c r="K64" s="189">
        <v>15</v>
      </c>
      <c r="L64" s="210">
        <v>15</v>
      </c>
      <c r="M64" s="211">
        <f>6496.16+4335.01+2477.65</f>
        <v>13308.82</v>
      </c>
      <c r="N64" s="211">
        <f>6496.16+4335.01</f>
        <v>10831.17</v>
      </c>
      <c r="O64" s="212">
        <f t="shared" si="1"/>
        <v>2477.6499999999996</v>
      </c>
      <c r="P64" s="213">
        <v>10</v>
      </c>
      <c r="Q64" s="194">
        <v>10</v>
      </c>
      <c r="R64" s="215">
        <v>10</v>
      </c>
      <c r="S64" s="97">
        <v>6866.56</v>
      </c>
      <c r="T64" s="97">
        <v>6866.56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41</v>
      </c>
      <c r="I65" s="75">
        <v>35</v>
      </c>
      <c r="J65" s="75">
        <v>42</v>
      </c>
      <c r="K65" s="189">
        <v>34</v>
      </c>
      <c r="L65" s="210">
        <v>33</v>
      </c>
      <c r="M65" s="211">
        <f>21561.61+5719.7+1305+4149.27+2397.37</f>
        <v>35132.950000000004</v>
      </c>
      <c r="N65" s="211">
        <f>21561.61+5719.7+1305+4149.27</f>
        <v>32735.58</v>
      </c>
      <c r="O65" s="212">
        <f t="shared" si="1"/>
        <v>2397.3700000000026</v>
      </c>
      <c r="P65" s="213">
        <v>11</v>
      </c>
      <c r="Q65" s="194">
        <v>11</v>
      </c>
      <c r="R65" s="215">
        <v>10</v>
      </c>
      <c r="S65" s="97">
        <v>7456.7</v>
      </c>
      <c r="T65" s="97">
        <v>7456.7</v>
      </c>
      <c r="U65" s="97">
        <f t="shared" si="2"/>
        <v>0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75">
        <v>2</v>
      </c>
      <c r="J66" s="75">
        <v>3</v>
      </c>
      <c r="K66" s="18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19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45</v>
      </c>
      <c r="I67" s="75">
        <v>30</v>
      </c>
      <c r="J67" s="75">
        <v>39</v>
      </c>
      <c r="K67" s="189">
        <v>38</v>
      </c>
      <c r="L67" s="210">
        <v>38</v>
      </c>
      <c r="M67" s="211">
        <f>19710.93+7009.96+ 8900.54+165.98</f>
        <v>35787.410000000003</v>
      </c>
      <c r="N67" s="211">
        <f>19710.93+7009.96+ 8900.54+165.98</f>
        <v>35787.410000000003</v>
      </c>
      <c r="O67" s="212">
        <f t="shared" si="1"/>
        <v>0</v>
      </c>
      <c r="P67" s="213">
        <v>11</v>
      </c>
      <c r="Q67" s="19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31</v>
      </c>
      <c r="I68" s="75">
        <v>26</v>
      </c>
      <c r="J68" s="75">
        <v>45</v>
      </c>
      <c r="K68" s="189">
        <v>45</v>
      </c>
      <c r="L68" s="210">
        <v>40</v>
      </c>
      <c r="M68" s="211">
        <f>18750.75</f>
        <v>18750.75</v>
      </c>
      <c r="N68" s="211">
        <f>18750.75</f>
        <v>18750.75</v>
      </c>
      <c r="O68" s="212">
        <f t="shared" si="1"/>
        <v>0</v>
      </c>
      <c r="P68" s="213">
        <v>10</v>
      </c>
      <c r="Q68" s="194">
        <v>10</v>
      </c>
      <c r="R68" s="215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125</v>
      </c>
      <c r="E69" s="106" t="s">
        <v>126</v>
      </c>
      <c r="F69" s="170" t="s">
        <v>106</v>
      </c>
      <c r="G69" s="72" t="s">
        <v>188</v>
      </c>
      <c r="H69" s="77">
        <v>9</v>
      </c>
      <c r="I69" s="75">
        <v>5</v>
      </c>
      <c r="J69" s="75">
        <v>5</v>
      </c>
      <c r="K69" s="189">
        <v>5</v>
      </c>
      <c r="L69" s="210">
        <v>5</v>
      </c>
      <c r="M69" s="211">
        <f>2756+1240.2+1305</f>
        <v>5301.2</v>
      </c>
      <c r="N69" s="211">
        <f>2756+1240.2</f>
        <v>3996.2</v>
      </c>
      <c r="O69" s="212">
        <f t="shared" si="1"/>
        <v>1305</v>
      </c>
      <c r="P69" s="213"/>
      <c r="Q69" s="194"/>
      <c r="R69" s="215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11</v>
      </c>
      <c r="I70" s="75">
        <v>6</v>
      </c>
      <c r="J70" s="75">
        <v>6</v>
      </c>
      <c r="K70" s="189">
        <v>6</v>
      </c>
      <c r="L70" s="210">
        <v>4</v>
      </c>
      <c r="M70" s="211">
        <f>2039.44+3242.32+2027.39</f>
        <v>7309.1500000000005</v>
      </c>
      <c r="N70" s="211">
        <f>2039.44+3242.32</f>
        <v>5281.76</v>
      </c>
      <c r="O70" s="212">
        <f t="shared" si="1"/>
        <v>2027.3900000000003</v>
      </c>
      <c r="P70" s="213">
        <v>6</v>
      </c>
      <c r="Q70" s="194">
        <v>6</v>
      </c>
      <c r="R70" s="215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18</v>
      </c>
      <c r="I71" s="75">
        <v>13</v>
      </c>
      <c r="J71" s="75">
        <v>14</v>
      </c>
      <c r="K71" s="189">
        <v>14</v>
      </c>
      <c r="L71" s="210">
        <v>12</v>
      </c>
      <c r="M71" s="211">
        <f>2383.53+3781.9+7505.17</f>
        <v>13670.6</v>
      </c>
      <c r="N71" s="211">
        <f>2383.53+3781.9</f>
        <v>6165.43</v>
      </c>
      <c r="O71" s="212">
        <f t="shared" si="1"/>
        <v>7505.17</v>
      </c>
      <c r="P71" s="213">
        <v>23</v>
      </c>
      <c r="Q71" s="194">
        <v>23</v>
      </c>
      <c r="R71" s="215">
        <v>22</v>
      </c>
      <c r="S71" s="97">
        <v>52337.46</v>
      </c>
      <c r="T71" s="97">
        <v>52337.46</v>
      </c>
      <c r="U71" s="97">
        <f t="shared" si="2"/>
        <v>0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11</v>
      </c>
      <c r="I72" s="75">
        <v>5</v>
      </c>
      <c r="J72" s="75">
        <v>6</v>
      </c>
      <c r="K72" s="189">
        <v>5</v>
      </c>
      <c r="L72" s="210">
        <v>4</v>
      </c>
      <c r="M72" s="211">
        <v>4703.53</v>
      </c>
      <c r="N72" s="211">
        <v>4703.53</v>
      </c>
      <c r="O72" s="212">
        <f t="shared" si="1"/>
        <v>0</v>
      </c>
      <c r="P72" s="213">
        <v>7</v>
      </c>
      <c r="Q72" s="19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29</v>
      </c>
      <c r="I73" s="75">
        <v>18</v>
      </c>
      <c r="J73" s="75">
        <v>18</v>
      </c>
      <c r="K73" s="189">
        <v>18</v>
      </c>
      <c r="L73" s="210">
        <v>6</v>
      </c>
      <c r="M73" s="211">
        <f>2095.52+746.9</f>
        <v>2842.42</v>
      </c>
      <c r="N73" s="211">
        <f>2095.52+746.9</f>
        <v>2842.42</v>
      </c>
      <c r="O73" s="212">
        <f t="shared" si="1"/>
        <v>0</v>
      </c>
      <c r="P73" s="213">
        <v>5</v>
      </c>
      <c r="Q73" s="194">
        <v>5</v>
      </c>
      <c r="R73" s="215">
        <v>5</v>
      </c>
      <c r="S73" s="97">
        <f>1821.06+4580.19</f>
        <v>6401.25</v>
      </c>
      <c r="T73" s="97">
        <f>1821.06+4580.19</f>
        <v>6401.25</v>
      </c>
      <c r="U73" s="97">
        <f t="shared" si="2"/>
        <v>0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75"/>
      <c r="J74" s="75"/>
      <c r="K74" s="189"/>
      <c r="L74" s="210"/>
      <c r="M74" s="211"/>
      <c r="N74" s="211"/>
      <c r="O74" s="212">
        <f t="shared" si="1"/>
        <v>0</v>
      </c>
      <c r="P74" s="213">
        <v>1</v>
      </c>
      <c r="Q74" s="19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7</v>
      </c>
      <c r="I75" s="75">
        <v>5</v>
      </c>
      <c r="J75" s="75">
        <v>6</v>
      </c>
      <c r="K75" s="189">
        <v>6</v>
      </c>
      <c r="L75" s="210">
        <v>6</v>
      </c>
      <c r="M75" s="211">
        <f>275.6+741.36+14287.26</f>
        <v>15304.220000000001</v>
      </c>
      <c r="N75" s="211">
        <f>275.6+741.36+14287.26</f>
        <v>15304.220000000001</v>
      </c>
      <c r="O75" s="212">
        <f t="shared" ref="O75:O104" si="4" xml:space="preserve"> (M75-N75)</f>
        <v>0</v>
      </c>
      <c r="P75" s="213">
        <v>3</v>
      </c>
      <c r="Q75" s="19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22</v>
      </c>
      <c r="I76" s="75">
        <v>18</v>
      </c>
      <c r="J76" s="75">
        <v>25</v>
      </c>
      <c r="K76" s="189">
        <v>25</v>
      </c>
      <c r="L76" s="210">
        <v>25</v>
      </c>
      <c r="M76" s="211">
        <f>11803.63+1320.23+3132.15+12104.63</f>
        <v>28360.639999999999</v>
      </c>
      <c r="N76" s="211">
        <f>11803.63+1320.23+3132.15</f>
        <v>16256.009999999998</v>
      </c>
      <c r="O76" s="212">
        <f t="shared" si="4"/>
        <v>12104.630000000001</v>
      </c>
      <c r="P76" s="213">
        <v>5</v>
      </c>
      <c r="Q76" s="194">
        <v>5</v>
      </c>
      <c r="R76" s="215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20</v>
      </c>
      <c r="I77" s="75">
        <v>11</v>
      </c>
      <c r="J77" s="75">
        <v>11</v>
      </c>
      <c r="K77" s="189">
        <v>11</v>
      </c>
      <c r="L77" s="210">
        <v>9</v>
      </c>
      <c r="M77" s="211">
        <f>4234.67+4498.63+1428.26</f>
        <v>10161.56</v>
      </c>
      <c r="N77" s="211">
        <f>4234.67+4498.63+1428.26</f>
        <v>10161.56</v>
      </c>
      <c r="O77" s="212">
        <f t="shared" si="4"/>
        <v>0</v>
      </c>
      <c r="P77" s="213"/>
      <c r="Q77" s="194"/>
      <c r="R77" s="215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80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75"/>
      <c r="J78" s="75"/>
      <c r="K78" s="189"/>
      <c r="L78" s="210"/>
      <c r="M78" s="211"/>
      <c r="N78" s="211"/>
      <c r="O78" s="212">
        <f t="shared" si="4"/>
        <v>0</v>
      </c>
      <c r="P78" s="213">
        <v>8</v>
      </c>
      <c r="Q78" s="194">
        <v>8</v>
      </c>
      <c r="R78" s="215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18</v>
      </c>
      <c r="I79" s="75">
        <v>15</v>
      </c>
      <c r="J79" s="75">
        <v>21</v>
      </c>
      <c r="K79" s="189">
        <v>21</v>
      </c>
      <c r="L79" s="210">
        <v>16</v>
      </c>
      <c r="M79" s="211">
        <f>8913.81+7027.61+1244.33+15395.91</f>
        <v>32581.66</v>
      </c>
      <c r="N79" s="211">
        <f>8913.81+7027.61+1244.33+15395.91</f>
        <v>32581.66</v>
      </c>
      <c r="O79" s="212">
        <f t="shared" si="4"/>
        <v>0</v>
      </c>
      <c r="P79" s="213">
        <v>4</v>
      </c>
      <c r="Q79" s="19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17</v>
      </c>
      <c r="I80" s="75">
        <v>14</v>
      </c>
      <c r="J80" s="75">
        <v>20</v>
      </c>
      <c r="K80" s="189">
        <v>20</v>
      </c>
      <c r="L80" s="210">
        <v>20</v>
      </c>
      <c r="M80" s="211">
        <f>14959.64+7384.39+14758.51</f>
        <v>37102.54</v>
      </c>
      <c r="N80" s="211">
        <f>14959.64+7384.39</f>
        <v>22344.03</v>
      </c>
      <c r="O80" s="212">
        <f t="shared" si="4"/>
        <v>14758.510000000002</v>
      </c>
      <c r="P80" s="213">
        <v>9</v>
      </c>
      <c r="Q80" s="194">
        <v>9</v>
      </c>
      <c r="R80" s="215">
        <v>9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3</v>
      </c>
      <c r="I81" s="75"/>
      <c r="J81" s="75"/>
      <c r="K81" s="189"/>
      <c r="L81" s="210"/>
      <c r="M81" s="211"/>
      <c r="N81" s="211"/>
      <c r="O81" s="212">
        <f t="shared" si="4"/>
        <v>0</v>
      </c>
      <c r="P81" s="213"/>
      <c r="Q81" s="194"/>
      <c r="R81" s="215"/>
      <c r="S81" s="97"/>
      <c r="T81" s="97"/>
      <c r="U81" s="97">
        <f t="shared" si="5"/>
        <v>0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17</v>
      </c>
      <c r="I82" s="75">
        <v>14</v>
      </c>
      <c r="J82" s="75">
        <v>15</v>
      </c>
      <c r="K82" s="189">
        <v>15</v>
      </c>
      <c r="L82" s="210">
        <v>15</v>
      </c>
      <c r="M82" s="211">
        <f>2626.75+8084.46+600.05+7445.83</f>
        <v>18757.089999999997</v>
      </c>
      <c r="N82" s="211">
        <f>2626.75+8084.46+600.05</f>
        <v>11311.259999999998</v>
      </c>
      <c r="O82" s="212">
        <f t="shared" si="4"/>
        <v>7445.8299999999981</v>
      </c>
      <c r="P82" s="213">
        <v>9</v>
      </c>
      <c r="Q82" s="194">
        <v>9</v>
      </c>
      <c r="R82" s="215">
        <v>9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17</v>
      </c>
      <c r="I83" s="75">
        <v>11</v>
      </c>
      <c r="J83" s="75">
        <v>19</v>
      </c>
      <c r="K83" s="189">
        <v>19</v>
      </c>
      <c r="L83" s="210">
        <v>19</v>
      </c>
      <c r="M83" s="211">
        <f>11232.31+3440.1+14435.12-1360.99</f>
        <v>27746.539999999997</v>
      </c>
      <c r="N83" s="211">
        <f>11232.31+3440.1+14435.12-1360.99</f>
        <v>27746.539999999997</v>
      </c>
      <c r="O83" s="212">
        <f t="shared" si="4"/>
        <v>0</v>
      </c>
      <c r="P83" s="213">
        <v>9</v>
      </c>
      <c r="Q83" s="19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17</v>
      </c>
      <c r="I84" s="75">
        <v>9</v>
      </c>
      <c r="J84" s="75">
        <v>14</v>
      </c>
      <c r="K84" s="189">
        <v>14</v>
      </c>
      <c r="L84" s="210">
        <v>9</v>
      </c>
      <c r="M84" s="211">
        <f>5429.56+2272.28+2029.9</f>
        <v>9731.74</v>
      </c>
      <c r="N84" s="211">
        <f>5429.56+2272.28+2029.9</f>
        <v>9731.74</v>
      </c>
      <c r="O84" s="212">
        <f t="shared" si="4"/>
        <v>0</v>
      </c>
      <c r="P84" s="213">
        <v>1</v>
      </c>
      <c r="Q84" s="19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28</v>
      </c>
      <c r="I85" s="75">
        <v>26</v>
      </c>
      <c r="J85" s="75">
        <v>48</v>
      </c>
      <c r="K85" s="189">
        <v>48</v>
      </c>
      <c r="L85" s="210">
        <v>43</v>
      </c>
      <c r="M85" s="211">
        <f>15506.09+4089.12+1924.78+1267.55+6546.86</f>
        <v>29334.399999999998</v>
      </c>
      <c r="N85" s="211">
        <f>15506.09+4089.12+1924.78+1267.55</f>
        <v>22787.539999999997</v>
      </c>
      <c r="O85" s="212">
        <f t="shared" si="4"/>
        <v>6546.8600000000006</v>
      </c>
      <c r="P85" s="213">
        <v>6</v>
      </c>
      <c r="Q85" s="19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12</v>
      </c>
      <c r="I86" s="75">
        <v>6</v>
      </c>
      <c r="J86" s="75">
        <v>7</v>
      </c>
      <c r="K86" s="189">
        <v>7</v>
      </c>
      <c r="L86" s="210">
        <v>4</v>
      </c>
      <c r="M86" s="211">
        <v>1956.76</v>
      </c>
      <c r="N86" s="211">
        <v>1956.76</v>
      </c>
      <c r="O86" s="212">
        <f t="shared" si="4"/>
        <v>0</v>
      </c>
      <c r="P86" s="213">
        <v>2</v>
      </c>
      <c r="Q86" s="19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100000000000001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8</v>
      </c>
      <c r="I87" s="75">
        <v>5</v>
      </c>
      <c r="J87" s="75">
        <v>6</v>
      </c>
      <c r="K87" s="189">
        <v>6</v>
      </c>
      <c r="L87" s="210">
        <v>6</v>
      </c>
      <c r="M87" s="211">
        <f>795.8+4099.92+1305</f>
        <v>6200.72</v>
      </c>
      <c r="N87" s="211">
        <f>795.8+4099.92+1305</f>
        <v>6200.72</v>
      </c>
      <c r="O87" s="212">
        <f t="shared" si="4"/>
        <v>0</v>
      </c>
      <c r="P87" s="213">
        <v>5</v>
      </c>
      <c r="Q87" s="194">
        <v>4</v>
      </c>
      <c r="R87" s="215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75"/>
      <c r="J88" s="75"/>
      <c r="K88" s="189"/>
      <c r="L88" s="210"/>
      <c r="M88" s="211"/>
      <c r="N88" s="211"/>
      <c r="O88" s="212">
        <f t="shared" si="4"/>
        <v>0</v>
      </c>
      <c r="P88" s="213">
        <v>6</v>
      </c>
      <c r="Q88" s="19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10</v>
      </c>
      <c r="I89" s="75">
        <v>7</v>
      </c>
      <c r="J89" s="75">
        <v>8</v>
      </c>
      <c r="K89" s="189">
        <v>8</v>
      </c>
      <c r="L89" s="210">
        <v>8</v>
      </c>
      <c r="M89" s="211">
        <f>2874.33+1509.2+1943</f>
        <v>6326.53</v>
      </c>
      <c r="N89" s="211">
        <f>2874.33+1509.2</f>
        <v>4383.53</v>
      </c>
      <c r="O89" s="212">
        <f t="shared" si="4"/>
        <v>1943</v>
      </c>
      <c r="P89" s="213">
        <v>5</v>
      </c>
      <c r="Q89" s="194">
        <v>5</v>
      </c>
      <c r="R89" s="215">
        <v>5</v>
      </c>
      <c r="S89" s="97">
        <f>8161.92+1118.75+3779.58</f>
        <v>13060.25</v>
      </c>
      <c r="T89" s="97">
        <f>8161.92+1118.75+3779.58</f>
        <v>13060.25</v>
      </c>
      <c r="U89" s="97">
        <f t="shared" si="5"/>
        <v>0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39</v>
      </c>
      <c r="I90" s="75">
        <v>31</v>
      </c>
      <c r="J90" s="75">
        <v>55</v>
      </c>
      <c r="K90" s="189">
        <v>55</v>
      </c>
      <c r="L90" s="210">
        <v>55</v>
      </c>
      <c r="M90" s="211">
        <f>14303.46+6714.67+1828.05+13505.93</f>
        <v>36352.11</v>
      </c>
      <c r="N90" s="211">
        <f>14303.46+6714.67+1828.05</f>
        <v>22846.179999999997</v>
      </c>
      <c r="O90" s="212">
        <f t="shared" si="4"/>
        <v>13505.930000000004</v>
      </c>
      <c r="P90" s="213">
        <v>8</v>
      </c>
      <c r="Q90" s="194">
        <v>7</v>
      </c>
      <c r="R90" s="215">
        <v>7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18</v>
      </c>
      <c r="I91" s="75">
        <v>12</v>
      </c>
      <c r="J91" s="75">
        <v>18</v>
      </c>
      <c r="K91" s="189">
        <v>18</v>
      </c>
      <c r="L91" s="210">
        <v>10</v>
      </c>
      <c r="M91" s="211">
        <v>5384.83</v>
      </c>
      <c r="N91" s="211">
        <v>5384.83</v>
      </c>
      <c r="O91" s="212">
        <f t="shared" si="4"/>
        <v>0</v>
      </c>
      <c r="P91" s="213">
        <v>7</v>
      </c>
      <c r="Q91" s="194">
        <v>7</v>
      </c>
      <c r="R91" s="215">
        <v>6</v>
      </c>
      <c r="S91" s="97">
        <f>6219.66+748.35</f>
        <v>6968.01</v>
      </c>
      <c r="T91" s="97">
        <f>6219.66+748.35</f>
        <v>6968.01</v>
      </c>
      <c r="U91" s="97">
        <f t="shared" si="5"/>
        <v>0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16</v>
      </c>
      <c r="I92" s="75">
        <v>13</v>
      </c>
      <c r="J92" s="75">
        <v>17</v>
      </c>
      <c r="K92" s="189">
        <v>17</v>
      </c>
      <c r="L92" s="210">
        <v>16</v>
      </c>
      <c r="M92" s="211">
        <f>2301.54+4352.56+3555.69+1798.94+1481.14</f>
        <v>13489.87</v>
      </c>
      <c r="N92" s="211">
        <f>2301.54+4352.56+3555.69+1798.94</f>
        <v>12008.730000000001</v>
      </c>
      <c r="O92" s="212">
        <f t="shared" si="4"/>
        <v>1481.1399999999994</v>
      </c>
      <c r="P92" s="213">
        <v>1</v>
      </c>
      <c r="Q92" s="19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68</v>
      </c>
      <c r="I93" s="75">
        <v>33</v>
      </c>
      <c r="J93" s="75">
        <v>41</v>
      </c>
      <c r="K93" s="189">
        <v>39</v>
      </c>
      <c r="L93" s="210">
        <v>31</v>
      </c>
      <c r="M93" s="211">
        <f>14656.12+3543.47+2420.25</f>
        <v>20619.84</v>
      </c>
      <c r="N93" s="211">
        <f>14656.12+3543.47</f>
        <v>18199.59</v>
      </c>
      <c r="O93" s="212">
        <f t="shared" si="4"/>
        <v>2420.25</v>
      </c>
      <c r="P93" s="213">
        <v>9</v>
      </c>
      <c r="Q93" s="194">
        <v>9</v>
      </c>
      <c r="R93" s="215">
        <v>9</v>
      </c>
      <c r="S93" s="97">
        <f>11083.64+344.5</f>
        <v>11428.14</v>
      </c>
      <c r="T93" s="97">
        <v>11083.64</v>
      </c>
      <c r="U93" s="97">
        <f t="shared" si="5"/>
        <v>344.5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34</v>
      </c>
      <c r="I94" s="75">
        <v>16</v>
      </c>
      <c r="J94" s="75">
        <v>16</v>
      </c>
      <c r="K94" s="75">
        <v>14</v>
      </c>
      <c r="L94" s="210">
        <v>12</v>
      </c>
      <c r="M94" s="211">
        <f>6576.32+217.5+2898.52</f>
        <v>9692.34</v>
      </c>
      <c r="N94" s="211">
        <f>6576.32+217.5+2898.52</f>
        <v>9692.34</v>
      </c>
      <c r="O94" s="212">
        <f t="shared" si="4"/>
        <v>0</v>
      </c>
      <c r="P94" s="213">
        <v>24</v>
      </c>
      <c r="Q94" s="124">
        <v>24</v>
      </c>
      <c r="R94" s="215">
        <v>23</v>
      </c>
      <c r="S94" s="97">
        <f>18253.04+4245.2+858.65+1546.26</f>
        <v>24903.15</v>
      </c>
      <c r="T94" s="97">
        <f>18253.04+4245.2+858.65</f>
        <v>23356.890000000003</v>
      </c>
      <c r="U94" s="97">
        <f t="shared" si="5"/>
        <v>1546.2599999999984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27</v>
      </c>
      <c r="I95" s="75">
        <v>12</v>
      </c>
      <c r="J95" s="75">
        <v>14</v>
      </c>
      <c r="K95" s="189">
        <v>14</v>
      </c>
      <c r="L95" s="210">
        <v>13</v>
      </c>
      <c r="M95" s="211">
        <f>2362.32+22110.36+455.21+2039.58</f>
        <v>26967.47</v>
      </c>
      <c r="N95" s="211">
        <f>2362.32+22110.36+455.21+2039.58</f>
        <v>26967.47</v>
      </c>
      <c r="O95" s="212">
        <f t="shared" si="4"/>
        <v>0</v>
      </c>
      <c r="P95" s="213">
        <v>16</v>
      </c>
      <c r="Q95" s="194">
        <v>16</v>
      </c>
      <c r="R95" s="215">
        <v>15</v>
      </c>
      <c r="S95" s="97">
        <f>24552.24+1001.28+122.46</f>
        <v>25675.98</v>
      </c>
      <c r="T95" s="97">
        <f>24552.24+1001.28+122.46</f>
        <v>25675.98</v>
      </c>
      <c r="U95" s="97">
        <f t="shared" si="5"/>
        <v>0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9</v>
      </c>
      <c r="I96" s="75">
        <v>7</v>
      </c>
      <c r="J96" s="75">
        <v>10</v>
      </c>
      <c r="K96" s="189">
        <v>10</v>
      </c>
      <c r="L96" s="210">
        <v>7</v>
      </c>
      <c r="M96" s="211">
        <f>826.8+2786.41</f>
        <v>3613.21</v>
      </c>
      <c r="N96" s="211">
        <f>826.8+2786.41</f>
        <v>3613.21</v>
      </c>
      <c r="O96" s="212">
        <f t="shared" si="4"/>
        <v>0</v>
      </c>
      <c r="P96" s="213"/>
      <c r="Q96" s="194"/>
      <c r="R96" s="215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11</v>
      </c>
      <c r="I97" s="75">
        <v>7</v>
      </c>
      <c r="J97" s="75">
        <v>8</v>
      </c>
      <c r="K97" s="189">
        <v>8</v>
      </c>
      <c r="L97" s="210">
        <v>8</v>
      </c>
      <c r="M97" s="211">
        <f>3171.93+1457.25+380.63</f>
        <v>5009.8100000000004</v>
      </c>
      <c r="N97" s="211">
        <f>3171.93+1457.25</f>
        <v>4629.18</v>
      </c>
      <c r="O97" s="212">
        <f t="shared" si="4"/>
        <v>380.63000000000011</v>
      </c>
      <c r="P97" s="213">
        <v>4</v>
      </c>
      <c r="Q97" s="19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15</v>
      </c>
      <c r="I98" s="75">
        <v>6</v>
      </c>
      <c r="J98" s="75">
        <v>6</v>
      </c>
      <c r="K98" s="189">
        <v>6</v>
      </c>
      <c r="L98" s="210">
        <v>6</v>
      </c>
      <c r="M98" s="211">
        <f>757.9+551.2+895.7+290</f>
        <v>2494.8000000000002</v>
      </c>
      <c r="N98" s="211">
        <f>757.9+551.2+895.7+290</f>
        <v>2494.8000000000002</v>
      </c>
      <c r="O98" s="212">
        <f t="shared" si="4"/>
        <v>0</v>
      </c>
      <c r="P98" s="213">
        <v>10</v>
      </c>
      <c r="Q98" s="194">
        <v>10</v>
      </c>
      <c r="R98" s="215">
        <v>10</v>
      </c>
      <c r="S98" s="97">
        <f>8034.56+3466.13</f>
        <v>11500.69</v>
      </c>
      <c r="T98" s="97">
        <v>8034.56</v>
      </c>
      <c r="U98" s="97">
        <f t="shared" si="5"/>
        <v>3466.13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22</v>
      </c>
      <c r="I99" s="75">
        <v>13</v>
      </c>
      <c r="J99" s="75">
        <v>14</v>
      </c>
      <c r="K99" s="189">
        <v>14</v>
      </c>
      <c r="L99" s="210">
        <v>11</v>
      </c>
      <c r="M99" s="211">
        <f>4782.23+1353.89+2195.41+1197.7</f>
        <v>9529.23</v>
      </c>
      <c r="N99" s="211">
        <f>4782.23+1353.89+2195.41+1197.7</f>
        <v>9529.23</v>
      </c>
      <c r="O99" s="212">
        <f t="shared" si="4"/>
        <v>0</v>
      </c>
      <c r="P99" s="213">
        <v>11</v>
      </c>
      <c r="Q99" s="194">
        <v>11</v>
      </c>
      <c r="R99" s="215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18</v>
      </c>
      <c r="I100" s="75">
        <v>12</v>
      </c>
      <c r="J100" s="75">
        <v>17</v>
      </c>
      <c r="K100" s="189">
        <v>17</v>
      </c>
      <c r="L100" s="210">
        <v>17</v>
      </c>
      <c r="M100" s="211">
        <f>10862.96+2375.03+5632.11</f>
        <v>18870.099999999999</v>
      </c>
      <c r="N100" s="211">
        <f>10862.96+2375.03+5632.11</f>
        <v>18870.099999999999</v>
      </c>
      <c r="O100" s="212">
        <f t="shared" si="4"/>
        <v>0</v>
      </c>
      <c r="P100" s="213">
        <v>10</v>
      </c>
      <c r="Q100" s="194">
        <v>10</v>
      </c>
      <c r="R100" s="215">
        <v>10</v>
      </c>
      <c r="S100" s="97">
        <v>4780.1000000000004</v>
      </c>
      <c r="T100" s="97">
        <v>4780.1000000000004</v>
      </c>
      <c r="U100" s="97">
        <f t="shared" si="5"/>
        <v>0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61</v>
      </c>
      <c r="I101" s="75">
        <v>27</v>
      </c>
      <c r="J101" s="75">
        <v>30</v>
      </c>
      <c r="K101" s="189">
        <v>30</v>
      </c>
      <c r="L101" s="210">
        <v>30</v>
      </c>
      <c r="M101" s="211">
        <f>16276.16+4466.66+1078.5+4011.53+435</f>
        <v>26267.85</v>
      </c>
      <c r="N101" s="211">
        <f>16276.16+4466.66+1078.5+4011.53</f>
        <v>25832.85</v>
      </c>
      <c r="O101" s="212">
        <f t="shared" si="4"/>
        <v>435</v>
      </c>
      <c r="P101" s="213">
        <v>27</v>
      </c>
      <c r="Q101" s="194">
        <v>27</v>
      </c>
      <c r="R101" s="215">
        <v>27</v>
      </c>
      <c r="S101" s="97">
        <f>21329.45-2252.12+532.3+345.99+26455.28+1.67</f>
        <v>46412.57</v>
      </c>
      <c r="T101" s="97">
        <f>21329.45-2252.12+532.3+345.98</f>
        <v>19955.61</v>
      </c>
      <c r="U101" s="97">
        <f t="shared" si="5"/>
        <v>26456.959999999999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8</v>
      </c>
      <c r="I102" s="114">
        <v>7</v>
      </c>
      <c r="J102" s="114">
        <v>10</v>
      </c>
      <c r="K102" s="190">
        <v>10</v>
      </c>
      <c r="L102" s="217">
        <v>8</v>
      </c>
      <c r="M102" s="218">
        <f>3259.83+1328.19</f>
        <v>4588.0200000000004</v>
      </c>
      <c r="N102" s="218">
        <v>3259.83</v>
      </c>
      <c r="O102" s="212">
        <f t="shared" si="4"/>
        <v>1328.1900000000005</v>
      </c>
      <c r="P102" s="219">
        <v>4</v>
      </c>
      <c r="Q102" s="195">
        <v>4</v>
      </c>
      <c r="R102" s="221">
        <v>3</v>
      </c>
      <c r="S102" s="147">
        <v>1193.3</v>
      </c>
      <c r="T102" s="147">
        <v>1193.3</v>
      </c>
      <c r="U102" s="147">
        <f t="shared" si="5"/>
        <v>0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12</v>
      </c>
      <c r="I103" s="75">
        <v>3</v>
      </c>
      <c r="J103" s="75">
        <v>3</v>
      </c>
      <c r="K103" s="189">
        <v>3</v>
      </c>
      <c r="L103" s="210">
        <v>3</v>
      </c>
      <c r="M103" s="211">
        <f>699.33+580</f>
        <v>1279.33</v>
      </c>
      <c r="N103" s="211">
        <f>699.33+580</f>
        <v>1279.33</v>
      </c>
      <c r="O103" s="212">
        <f t="shared" si="4"/>
        <v>0</v>
      </c>
      <c r="P103" s="215"/>
      <c r="Q103" s="194"/>
      <c r="R103" s="215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18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194"/>
      <c r="R104" s="215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1807</v>
      </c>
      <c r="I105" s="119">
        <f t="shared" si="7"/>
        <v>1059</v>
      </c>
      <c r="J105" s="119">
        <f t="shared" si="7"/>
        <v>1416</v>
      </c>
      <c r="K105" s="191">
        <f t="shared" si="7"/>
        <v>1380</v>
      </c>
      <c r="L105" s="223">
        <f t="shared" si="7"/>
        <v>1257</v>
      </c>
      <c r="M105" s="224">
        <f t="shared" si="7"/>
        <v>1090803.3900000006</v>
      </c>
      <c r="N105" s="224">
        <f t="shared" si="7"/>
        <v>964298.10000000021</v>
      </c>
      <c r="O105" s="224">
        <f t="shared" si="7"/>
        <v>126505.29000000004</v>
      </c>
      <c r="P105" s="225">
        <f t="shared" si="7"/>
        <v>696</v>
      </c>
      <c r="Q105" s="226">
        <f>SUM(Q10:Q104)</f>
        <v>687</v>
      </c>
      <c r="R105" s="225">
        <f>SUM(R11:R104)</f>
        <v>667</v>
      </c>
      <c r="S105" s="151">
        <f>SUM(S10:S104)</f>
        <v>895040.52</v>
      </c>
      <c r="T105" s="151">
        <f>SUM(T10:T104)</f>
        <v>848654.08000000007</v>
      </c>
      <c r="U105" s="151">
        <f>SUM(U10:U104)</f>
        <v>46386.44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59">
        <f>M105+S105</f>
        <v>1985843.9100000006</v>
      </c>
      <c r="AG105" s="159">
        <f>N105+T105</f>
        <v>1812952.1800000002</v>
      </c>
      <c r="AH105" s="159">
        <f>O105+U105</f>
        <v>172891.73000000004</v>
      </c>
    </row>
    <row r="106" spans="1:35" x14ac:dyDescent="0.25">
      <c r="V106" s="160"/>
      <c r="W106" s="159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</row>
    <row r="107" spans="1:35" x14ac:dyDescent="0.25">
      <c r="V107" s="145"/>
      <c r="W107" s="145"/>
      <c r="AF107" s="159"/>
      <c r="AG107" s="159"/>
      <c r="AH107" s="159"/>
      <c r="AI107" s="145"/>
    </row>
    <row r="108" spans="1:35" x14ac:dyDescent="0.25">
      <c r="W108" s="145"/>
      <c r="AF108" s="159">
        <f>1812952.19-AF105</f>
        <v>-172891.72000000067</v>
      </c>
      <c r="AG108" s="160"/>
      <c r="AH108" s="160"/>
    </row>
    <row r="109" spans="1:35" x14ac:dyDescent="0.25">
      <c r="AF109" s="163"/>
      <c r="AG109" s="163"/>
      <c r="AH109" s="163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348" priority="10" stopIfTrue="1" operator="equal">
      <formula>0</formula>
    </cfRule>
  </conditionalFormatting>
  <conditionalFormatting sqref="AL45">
    <cfRule type="cellIs" dxfId="347" priority="9" stopIfTrue="1" operator="equal">
      <formula>0</formula>
    </cfRule>
  </conditionalFormatting>
  <conditionalFormatting sqref="T45">
    <cfRule type="cellIs" dxfId="346" priority="8" stopIfTrue="1" operator="equal">
      <formula>0</formula>
    </cfRule>
  </conditionalFormatting>
  <conditionalFormatting sqref="T45">
    <cfRule type="cellIs" dxfId="345" priority="7" stopIfTrue="1" operator="equal">
      <formula>0</formula>
    </cfRule>
  </conditionalFormatting>
  <conditionalFormatting sqref="T45">
    <cfRule type="cellIs" dxfId="344" priority="6" stopIfTrue="1" operator="equal">
      <formula>0</formula>
    </cfRule>
  </conditionalFormatting>
  <conditionalFormatting sqref="T45">
    <cfRule type="cellIs" dxfId="343" priority="5" stopIfTrue="1" operator="equal">
      <formula>0</formula>
    </cfRule>
  </conditionalFormatting>
  <conditionalFormatting sqref="T45">
    <cfRule type="cellIs" dxfId="342" priority="4" stopIfTrue="1" operator="equal">
      <formula>0</formula>
    </cfRule>
  </conditionalFormatting>
  <conditionalFormatting sqref="T45">
    <cfRule type="cellIs" dxfId="341" priority="3" stopIfTrue="1" operator="equal">
      <formula>0</formula>
    </cfRule>
  </conditionalFormatting>
  <conditionalFormatting sqref="T45">
    <cfRule type="cellIs" dxfId="340" priority="2" stopIfTrue="1" operator="equal">
      <formula>0</formula>
    </cfRule>
  </conditionalFormatting>
  <conditionalFormatting sqref="T45">
    <cfRule type="cellIs" dxfId="339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9"/>
  <sheetViews>
    <sheetView topLeftCell="B1" zoomScale="75" zoomScaleNormal="75" workbookViewId="0">
      <selection activeCell="O8" sqref="O8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4.42578125" style="184" customWidth="1"/>
    <col min="4" max="4" width="9.140625" style="184" customWidth="1"/>
    <col min="5" max="5" width="14.5703125" style="184" customWidth="1"/>
    <col min="6" max="6" width="25.140625" style="184" customWidth="1"/>
    <col min="7" max="7" width="20.42578125" style="184" customWidth="1"/>
    <col min="8" max="10" width="9.140625" style="184" customWidth="1"/>
    <col min="11" max="12" width="9.140625" style="227" customWidth="1"/>
    <col min="13" max="13" width="14.5703125" style="228" customWidth="1"/>
    <col min="14" max="14" width="12.42578125" style="228" customWidth="1"/>
    <col min="15" max="15" width="12.28515625" style="228" customWidth="1"/>
    <col min="16" max="18" width="9.140625" style="228" customWidth="1"/>
    <col min="19" max="19" width="16.85546875" style="185" customWidth="1"/>
    <col min="20" max="20" width="10.7109375" style="185" customWidth="1"/>
    <col min="21" max="21" width="10.7109375" style="186" customWidth="1"/>
    <col min="22" max="22" width="15" style="134" customWidth="1"/>
    <col min="23" max="23" width="14" style="134" customWidth="1"/>
    <col min="24" max="24" width="9.140625" style="134" customWidth="1"/>
    <col min="25" max="25" width="9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3" style="134" customWidth="1"/>
    <col min="35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295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296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35</v>
      </c>
      <c r="I10" s="75">
        <v>20</v>
      </c>
      <c r="J10" s="75">
        <v>23</v>
      </c>
      <c r="K10" s="209">
        <v>23</v>
      </c>
      <c r="L10" s="210">
        <v>22</v>
      </c>
      <c r="M10" s="211">
        <f>8818.63+2629.32+1661.28+2228.94</f>
        <v>15338.17</v>
      </c>
      <c r="N10" s="211">
        <f>8818.63+2629.32+1661.28</f>
        <v>13109.23</v>
      </c>
      <c r="O10" s="212">
        <f xml:space="preserve"> (M10-N10)</f>
        <v>2228.9400000000005</v>
      </c>
      <c r="P10" s="213">
        <v>8</v>
      </c>
      <c r="Q10" s="214">
        <v>8</v>
      </c>
      <c r="R10" s="215">
        <v>8</v>
      </c>
      <c r="S10" s="97">
        <f>4246.75+895.7+2557.8</f>
        <v>7700.25</v>
      </c>
      <c r="T10" s="97">
        <f>4246.75+895.7</f>
        <v>5142.45</v>
      </c>
      <c r="U10" s="97">
        <f xml:space="preserve"> (S10-T10)</f>
        <v>2557.8000000000002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12</v>
      </c>
      <c r="I11" s="75">
        <v>12</v>
      </c>
      <c r="J11" s="75">
        <v>12</v>
      </c>
      <c r="K11" s="209">
        <v>12</v>
      </c>
      <c r="L11" s="210">
        <v>11</v>
      </c>
      <c r="M11" s="211">
        <f>1778.86+580+1740+464</f>
        <v>4562.8599999999997</v>
      </c>
      <c r="N11" s="211">
        <f>1778.86+580+1740</f>
        <v>4098.8599999999997</v>
      </c>
      <c r="O11" s="212">
        <f t="shared" ref="O11:O74" si="1" xml:space="preserve"> (M11-N11)</f>
        <v>464</v>
      </c>
      <c r="P11" s="213">
        <v>2</v>
      </c>
      <c r="Q11" s="21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75"/>
      <c r="J12" s="75"/>
      <c r="K12" s="209"/>
      <c r="L12" s="210"/>
      <c r="M12" s="211"/>
      <c r="N12" s="211"/>
      <c r="O12" s="212">
        <f t="shared" si="1"/>
        <v>0</v>
      </c>
      <c r="P12" s="213">
        <v>3</v>
      </c>
      <c r="Q12" s="21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23</v>
      </c>
      <c r="I13" s="75">
        <v>8</v>
      </c>
      <c r="J13" s="75">
        <v>11</v>
      </c>
      <c r="K13" s="209">
        <v>11</v>
      </c>
      <c r="L13" s="210">
        <v>11</v>
      </c>
      <c r="M13" s="211">
        <f>272.84+2699.54+4096.17</f>
        <v>7068.55</v>
      </c>
      <c r="N13" s="211">
        <f>272.84+2699.54+4096.17</f>
        <v>7068.55</v>
      </c>
      <c r="O13" s="212">
        <f t="shared" si="1"/>
        <v>0</v>
      </c>
      <c r="P13" s="213">
        <v>5</v>
      </c>
      <c r="Q13" s="214">
        <v>5</v>
      </c>
      <c r="R13" s="215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29</v>
      </c>
      <c r="I14" s="75">
        <v>18</v>
      </c>
      <c r="J14" s="75">
        <v>20</v>
      </c>
      <c r="K14" s="209">
        <v>19</v>
      </c>
      <c r="L14" s="210">
        <v>17</v>
      </c>
      <c r="M14" s="211">
        <f>4932.74+3257.04+137</f>
        <v>8326.7799999999988</v>
      </c>
      <c r="N14" s="211">
        <f>4932.74+3257.04</f>
        <v>8189.78</v>
      </c>
      <c r="O14" s="212">
        <f t="shared" si="1"/>
        <v>136.99999999999909</v>
      </c>
      <c r="P14" s="213">
        <v>7</v>
      </c>
      <c r="Q14" s="214">
        <v>7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25</v>
      </c>
      <c r="I15" s="75">
        <v>17</v>
      </c>
      <c r="J15" s="75">
        <v>23</v>
      </c>
      <c r="K15" s="209">
        <v>23</v>
      </c>
      <c r="L15" s="210">
        <v>23</v>
      </c>
      <c r="M15" s="211">
        <f>16942.87+1278.76</f>
        <v>18221.629999999997</v>
      </c>
      <c r="N15" s="211">
        <f>16942.87+1278.76</f>
        <v>18221.629999999997</v>
      </c>
      <c r="O15" s="212">
        <f t="shared" si="1"/>
        <v>0</v>
      </c>
      <c r="P15" s="213">
        <v>13</v>
      </c>
      <c r="Q15" s="214">
        <v>13</v>
      </c>
      <c r="R15" s="215">
        <v>13</v>
      </c>
      <c r="S15" s="97">
        <v>13813.9</v>
      </c>
      <c r="T15" s="97">
        <v>13813.9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75"/>
      <c r="J16" s="75"/>
      <c r="K16" s="209"/>
      <c r="L16" s="210"/>
      <c r="M16" s="211"/>
      <c r="N16" s="211"/>
      <c r="O16" s="212">
        <f t="shared" si="1"/>
        <v>0</v>
      </c>
      <c r="P16" s="213"/>
      <c r="Q16" s="21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27</v>
      </c>
      <c r="I17" s="75">
        <v>11</v>
      </c>
      <c r="J17" s="75">
        <v>15</v>
      </c>
      <c r="K17" s="209">
        <v>15</v>
      </c>
      <c r="L17" s="210">
        <v>14</v>
      </c>
      <c r="M17" s="211">
        <f>7235.14+4416.12+1559.66</f>
        <v>13210.92</v>
      </c>
      <c r="N17" s="211">
        <f>7235.14+4416.12+1559.66</f>
        <v>13210.92</v>
      </c>
      <c r="O17" s="212">
        <f t="shared" si="1"/>
        <v>0</v>
      </c>
      <c r="P17" s="213">
        <v>1</v>
      </c>
      <c r="Q17" s="21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30</v>
      </c>
      <c r="I18" s="75">
        <v>6</v>
      </c>
      <c r="J18" s="75">
        <v>7</v>
      </c>
      <c r="K18" s="210">
        <v>7</v>
      </c>
      <c r="L18" s="210"/>
      <c r="M18" s="211">
        <v>2118.92</v>
      </c>
      <c r="N18" s="211">
        <v>2118.92</v>
      </c>
      <c r="O18" s="212">
        <f t="shared" si="1"/>
        <v>0</v>
      </c>
      <c r="P18" s="213">
        <v>6</v>
      </c>
      <c r="Q18" s="215">
        <v>6</v>
      </c>
      <c r="R18" s="215">
        <v>6</v>
      </c>
      <c r="S18" s="97">
        <v>14748.55</v>
      </c>
      <c r="T18" s="97">
        <v>14748.55</v>
      </c>
      <c r="U18" s="97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25</v>
      </c>
      <c r="I19" s="75">
        <v>13</v>
      </c>
      <c r="J19" s="75">
        <v>24</v>
      </c>
      <c r="K19" s="209">
        <v>23</v>
      </c>
      <c r="L19" s="210">
        <v>23</v>
      </c>
      <c r="M19" s="211">
        <f>5345.36+3385.2+4242.79+7468.83</f>
        <v>20442.18</v>
      </c>
      <c r="N19" s="211">
        <f>5345.36+3385.2+4242.79</f>
        <v>12973.349999999999</v>
      </c>
      <c r="O19" s="212">
        <f t="shared" si="1"/>
        <v>7468.8300000000017</v>
      </c>
      <c r="P19" s="213">
        <v>15</v>
      </c>
      <c r="Q19" s="21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30</v>
      </c>
      <c r="I20" s="75">
        <v>13</v>
      </c>
      <c r="J20" s="75">
        <v>17</v>
      </c>
      <c r="K20" s="210">
        <v>17</v>
      </c>
      <c r="L20" s="210">
        <v>16</v>
      </c>
      <c r="M20" s="211">
        <f>5728.14+3727.02+315.94+2507.59</f>
        <v>12278.69</v>
      </c>
      <c r="N20" s="211">
        <f>5728.14+3727.02+315.94</f>
        <v>9771.1</v>
      </c>
      <c r="O20" s="212">
        <f t="shared" si="1"/>
        <v>2507.59</v>
      </c>
      <c r="P20" s="213">
        <v>25</v>
      </c>
      <c r="Q20" s="215">
        <v>25</v>
      </c>
      <c r="R20" s="215">
        <v>25</v>
      </c>
      <c r="S20" s="97">
        <f>36404.57+1488.24+1902.09</f>
        <v>39794.899999999994</v>
      </c>
      <c r="T20" s="97">
        <f>36404.57+1488.24</f>
        <v>37892.81</v>
      </c>
      <c r="U20" s="97">
        <f t="shared" si="2"/>
        <v>1902.0899999999965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16</v>
      </c>
      <c r="I21" s="75">
        <v>7</v>
      </c>
      <c r="J21" s="75">
        <v>10</v>
      </c>
      <c r="K21" s="209">
        <v>10</v>
      </c>
      <c r="L21" s="210">
        <v>10</v>
      </c>
      <c r="M21" s="211">
        <f>3586.84+1791.4+1337.88+413.4</f>
        <v>7129.5199999999995</v>
      </c>
      <c r="N21" s="211">
        <f>3586.84+1791.4+1337.88</f>
        <v>6716.12</v>
      </c>
      <c r="O21" s="212">
        <f t="shared" si="1"/>
        <v>413.39999999999964</v>
      </c>
      <c r="P21" s="213">
        <v>6</v>
      </c>
      <c r="Q21" s="214">
        <v>6</v>
      </c>
      <c r="R21" s="215">
        <v>6</v>
      </c>
      <c r="S21" s="97">
        <f>7288.02+447.62+2487.39</f>
        <v>10223.030000000001</v>
      </c>
      <c r="T21" s="97">
        <f>7288.02+447.62</f>
        <v>7735.64</v>
      </c>
      <c r="U21" s="97">
        <f t="shared" si="2"/>
        <v>2487.3900000000003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89</v>
      </c>
      <c r="I22" s="75">
        <v>32</v>
      </c>
      <c r="J22" s="75">
        <v>43</v>
      </c>
      <c r="K22" s="210">
        <v>43</v>
      </c>
      <c r="L22" s="210">
        <v>34</v>
      </c>
      <c r="M22" s="211">
        <f>19787.02+2513.73+2255.05</f>
        <v>24555.8</v>
      </c>
      <c r="N22" s="211">
        <f>19787.02+2513.73</f>
        <v>22300.75</v>
      </c>
      <c r="O22" s="212">
        <f t="shared" si="1"/>
        <v>2255.0499999999993</v>
      </c>
      <c r="P22" s="213">
        <v>20</v>
      </c>
      <c r="Q22" s="215">
        <v>20</v>
      </c>
      <c r="R22" s="215">
        <v>20</v>
      </c>
      <c r="S22" s="97">
        <v>24103.23</v>
      </c>
      <c r="T22" s="97">
        <v>24103.23</v>
      </c>
      <c r="U22" s="97">
        <f t="shared" si="2"/>
        <v>0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13</v>
      </c>
      <c r="I23" s="75">
        <v>8</v>
      </c>
      <c r="J23" s="75">
        <v>11</v>
      </c>
      <c r="K23" s="209">
        <v>11</v>
      </c>
      <c r="L23" s="210">
        <v>10</v>
      </c>
      <c r="M23" s="211">
        <f>5739.04+1828.05+1440.72+631.62</f>
        <v>9639.43</v>
      </c>
      <c r="N23" s="211">
        <f>5739.04+1828.05+1440.72</f>
        <v>9007.81</v>
      </c>
      <c r="O23" s="212">
        <f t="shared" si="1"/>
        <v>631.6200000000008</v>
      </c>
      <c r="P23" s="213">
        <v>11</v>
      </c>
      <c r="Q23" s="214">
        <v>11</v>
      </c>
      <c r="R23" s="215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18</v>
      </c>
      <c r="I24" s="75">
        <v>11</v>
      </c>
      <c r="J24" s="75">
        <v>15</v>
      </c>
      <c r="K24" s="209">
        <v>15</v>
      </c>
      <c r="L24" s="210">
        <v>15</v>
      </c>
      <c r="M24" s="211">
        <f>1515.11+3525.12</f>
        <v>5040.2299999999996</v>
      </c>
      <c r="N24" s="211">
        <f>1515.11+3525.12</f>
        <v>5040.2299999999996</v>
      </c>
      <c r="O24" s="212">
        <f t="shared" si="1"/>
        <v>0</v>
      </c>
      <c r="P24" s="213">
        <v>8</v>
      </c>
      <c r="Q24" s="21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26</v>
      </c>
      <c r="I25" s="75">
        <v>9</v>
      </c>
      <c r="J25" s="75">
        <v>26</v>
      </c>
      <c r="K25" s="210">
        <v>26</v>
      </c>
      <c r="L25" s="210">
        <v>23</v>
      </c>
      <c r="M25" s="211">
        <f>9005.69+15068.32</f>
        <v>24074.010000000002</v>
      </c>
      <c r="N25" s="211">
        <f>9005.69+15068.32</f>
        <v>24074.010000000002</v>
      </c>
      <c r="O25" s="212">
        <f t="shared" si="1"/>
        <v>0</v>
      </c>
      <c r="P25" s="213">
        <v>21</v>
      </c>
      <c r="Q25" s="215">
        <v>21</v>
      </c>
      <c r="R25" s="215">
        <v>20</v>
      </c>
      <c r="S25" s="97">
        <v>24213.05</v>
      </c>
      <c r="T25" s="97">
        <v>24213.05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20</v>
      </c>
      <c r="I26" s="75">
        <v>8</v>
      </c>
      <c r="J26" s="75">
        <v>13</v>
      </c>
      <c r="K26" s="209">
        <v>13</v>
      </c>
      <c r="L26" s="210">
        <v>13</v>
      </c>
      <c r="M26" s="211">
        <f>3777.1+6399.51</f>
        <v>10176.61</v>
      </c>
      <c r="N26" s="211">
        <f>3777.1+6399.51</f>
        <v>10176.61</v>
      </c>
      <c r="O26" s="212">
        <f t="shared" si="1"/>
        <v>0</v>
      </c>
      <c r="P26" s="213">
        <v>10</v>
      </c>
      <c r="Q26" s="214">
        <v>10</v>
      </c>
      <c r="R26" s="215">
        <v>10</v>
      </c>
      <c r="S26" s="97">
        <v>3386.7</v>
      </c>
      <c r="T26" s="97">
        <v>3386.7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24</v>
      </c>
      <c r="I27" s="75">
        <v>13</v>
      </c>
      <c r="J27" s="75">
        <v>25</v>
      </c>
      <c r="K27" s="209">
        <v>25</v>
      </c>
      <c r="L27" s="210">
        <v>24</v>
      </c>
      <c r="M27" s="211">
        <f>6801.73+4254.18+3948.81</f>
        <v>15004.72</v>
      </c>
      <c r="N27" s="211">
        <f>6801.73+4254.18+3948.81</f>
        <v>15004.72</v>
      </c>
      <c r="O27" s="212">
        <f t="shared" si="1"/>
        <v>0</v>
      </c>
      <c r="P27" s="213">
        <v>14</v>
      </c>
      <c r="Q27" s="21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75"/>
      <c r="J28" s="75"/>
      <c r="K28" s="209"/>
      <c r="L28" s="210"/>
      <c r="M28" s="211"/>
      <c r="N28" s="211"/>
      <c r="O28" s="212">
        <f t="shared" si="1"/>
        <v>0</v>
      </c>
      <c r="P28" s="213"/>
      <c r="Q28" s="21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21</v>
      </c>
      <c r="I29" s="75">
        <v>18</v>
      </c>
      <c r="J29" s="75">
        <v>25</v>
      </c>
      <c r="K29" s="209">
        <v>25</v>
      </c>
      <c r="L29" s="210">
        <v>25</v>
      </c>
      <c r="M29" s="211">
        <f>7765.28+1107.91+3282.4+1320.23+1580.98</f>
        <v>15056.8</v>
      </c>
      <c r="N29" s="211">
        <f>7765.28+1107.91+3282.4+1320.23</f>
        <v>13475.82</v>
      </c>
      <c r="O29" s="212">
        <f t="shared" si="1"/>
        <v>1580.9799999999996</v>
      </c>
      <c r="P29" s="213">
        <v>14</v>
      </c>
      <c r="Q29" s="21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29</v>
      </c>
      <c r="I30" s="75">
        <v>25</v>
      </c>
      <c r="J30" s="75">
        <v>32</v>
      </c>
      <c r="K30" s="210">
        <v>32</v>
      </c>
      <c r="L30" s="210">
        <v>28</v>
      </c>
      <c r="M30" s="211">
        <f>5246.17+4965.96+1939.12+3762.43+2342.38</f>
        <v>18256.060000000001</v>
      </c>
      <c r="N30" s="211">
        <f>5246.17+4965.96+1939.12</f>
        <v>12151.25</v>
      </c>
      <c r="O30" s="212">
        <f t="shared" si="1"/>
        <v>6104.8100000000013</v>
      </c>
      <c r="P30" s="213">
        <v>22</v>
      </c>
      <c r="Q30" s="215">
        <v>22</v>
      </c>
      <c r="R30" s="215">
        <v>22</v>
      </c>
      <c r="S30" s="97">
        <f>39414.6+4786.67+1562.33+638.43+2216.93</f>
        <v>48618.96</v>
      </c>
      <c r="T30" s="97">
        <f>39414.6+4786.67+1562.33+638.43</f>
        <v>46402.03</v>
      </c>
      <c r="U30" s="97">
        <f t="shared" si="2"/>
        <v>2216.9300000000003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75">
        <v>1</v>
      </c>
      <c r="J31" s="75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21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75"/>
      <c r="J32" s="75"/>
      <c r="K32" s="209"/>
      <c r="L32" s="210"/>
      <c r="M32" s="211"/>
      <c r="N32" s="211"/>
      <c r="O32" s="212">
        <f t="shared" si="1"/>
        <v>0</v>
      </c>
      <c r="P32" s="213"/>
      <c r="Q32" s="21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11</v>
      </c>
      <c r="I33" s="75">
        <v>9</v>
      </c>
      <c r="J33" s="75">
        <v>11</v>
      </c>
      <c r="K33" s="209">
        <v>11</v>
      </c>
      <c r="L33" s="210">
        <v>11</v>
      </c>
      <c r="M33" s="211">
        <f>4065+2226.4+2915.4+290</f>
        <v>9496.7999999999993</v>
      </c>
      <c r="N33" s="211">
        <f>4065+2226.4+2915.4</f>
        <v>9206.7999999999993</v>
      </c>
      <c r="O33" s="212">
        <f t="shared" si="1"/>
        <v>290</v>
      </c>
      <c r="P33" s="213"/>
      <c r="Q33" s="21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75">
        <v>14</v>
      </c>
      <c r="J34" s="75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11</v>
      </c>
      <c r="I35" s="75">
        <v>6</v>
      </c>
      <c r="J35" s="75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16</v>
      </c>
      <c r="I36" s="75">
        <v>10</v>
      </c>
      <c r="J36" s="75">
        <v>11</v>
      </c>
      <c r="K36" s="209">
        <v>11</v>
      </c>
      <c r="L36" s="210">
        <v>11</v>
      </c>
      <c r="M36" s="211">
        <f>2360+2665.25+2800.06</f>
        <v>7825.3099999999995</v>
      </c>
      <c r="N36" s="211">
        <f>2360+2665.25</f>
        <v>5025.25</v>
      </c>
      <c r="O36" s="212">
        <f t="shared" si="1"/>
        <v>2800.0599999999995</v>
      </c>
      <c r="P36" s="213">
        <v>6</v>
      </c>
      <c r="Q36" s="214">
        <v>6</v>
      </c>
      <c r="R36" s="215">
        <v>6</v>
      </c>
      <c r="S36" s="97">
        <f>1436.08+3433.93+5939.33+1723.52</f>
        <v>12532.86</v>
      </c>
      <c r="T36" s="97">
        <f>1436.08+3433.93+5939.33</f>
        <v>10809.34</v>
      </c>
      <c r="U36" s="97">
        <f t="shared" si="2"/>
        <v>1723.5200000000004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15</v>
      </c>
      <c r="I37" s="75">
        <v>11</v>
      </c>
      <c r="J37" s="75">
        <v>12</v>
      </c>
      <c r="K37" s="209">
        <v>12</v>
      </c>
      <c r="L37" s="210">
        <v>12</v>
      </c>
      <c r="M37" s="211">
        <f>4126.56+990.2+862.75+145+358.88</f>
        <v>6483.39</v>
      </c>
      <c r="N37" s="211">
        <f>4126.56+990.2+862.75</f>
        <v>5979.51</v>
      </c>
      <c r="O37" s="212">
        <f t="shared" si="1"/>
        <v>503.88000000000011</v>
      </c>
      <c r="P37" s="213">
        <v>2</v>
      </c>
      <c r="Q37" s="214">
        <v>1</v>
      </c>
      <c r="R37" s="215">
        <v>1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58</v>
      </c>
      <c r="I38" s="75">
        <v>27</v>
      </c>
      <c r="J38" s="75">
        <v>44</v>
      </c>
      <c r="K38" s="209">
        <v>44</v>
      </c>
      <c r="L38" s="210">
        <v>39</v>
      </c>
      <c r="M38" s="211">
        <f>18043.85+1739.74+12219.36+4084.73+2867.69</f>
        <v>38955.370000000003</v>
      </c>
      <c r="N38" s="211">
        <f>18043.85+1739.74+12219.36</f>
        <v>32002.95</v>
      </c>
      <c r="O38" s="212">
        <f t="shared" si="1"/>
        <v>6952.4200000000019</v>
      </c>
      <c r="P38" s="213">
        <v>20</v>
      </c>
      <c r="Q38" s="214">
        <v>20</v>
      </c>
      <c r="R38" s="215">
        <v>20</v>
      </c>
      <c r="S38" s="97">
        <f>22326.77+417.74+1031.26</f>
        <v>23775.77</v>
      </c>
      <c r="T38" s="97">
        <f>22326.77+417.74</f>
        <v>22744.510000000002</v>
      </c>
      <c r="U38" s="97">
        <f t="shared" si="2"/>
        <v>1031.2599999999984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26</v>
      </c>
      <c r="I39" s="75">
        <v>10</v>
      </c>
      <c r="J39" s="75">
        <v>13</v>
      </c>
      <c r="K39" s="209">
        <v>13</v>
      </c>
      <c r="L39" s="210">
        <v>13</v>
      </c>
      <c r="M39" s="211">
        <f>4309.67+3353.38+84.05+2832.72</f>
        <v>10579.82</v>
      </c>
      <c r="N39" s="211">
        <f>4309.67+3353.38</f>
        <v>7663.05</v>
      </c>
      <c r="O39" s="212">
        <f t="shared" si="1"/>
        <v>2916.7699999999995</v>
      </c>
      <c r="P39" s="213">
        <v>3</v>
      </c>
      <c r="Q39" s="214">
        <v>3</v>
      </c>
      <c r="R39" s="215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8</v>
      </c>
      <c r="I40" s="75">
        <v>5</v>
      </c>
      <c r="J40" s="75">
        <v>5</v>
      </c>
      <c r="K40" s="209">
        <v>5</v>
      </c>
      <c r="L40" s="210">
        <v>5</v>
      </c>
      <c r="M40" s="211">
        <v>5430.01</v>
      </c>
      <c r="N40" s="211">
        <v>5430.01</v>
      </c>
      <c r="O40" s="212">
        <f t="shared" si="1"/>
        <v>0</v>
      </c>
      <c r="P40" s="213">
        <v>4</v>
      </c>
      <c r="Q40" s="214">
        <v>3</v>
      </c>
      <c r="R40" s="215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16</v>
      </c>
      <c r="I41" s="75">
        <v>8</v>
      </c>
      <c r="J41" s="75">
        <v>10</v>
      </c>
      <c r="K41" s="209">
        <v>10</v>
      </c>
      <c r="L41" s="210">
        <v>9</v>
      </c>
      <c r="M41" s="211">
        <f>4892.78+1033.5</f>
        <v>5926.28</v>
      </c>
      <c r="N41" s="211">
        <f>4892.78+1033.5</f>
        <v>5926.28</v>
      </c>
      <c r="O41" s="212">
        <f t="shared" si="1"/>
        <v>0</v>
      </c>
      <c r="P41" s="213">
        <v>3</v>
      </c>
      <c r="Q41" s="214">
        <v>3</v>
      </c>
      <c r="R41" s="215">
        <v>3</v>
      </c>
      <c r="S41" s="97">
        <f>1842.88</f>
        <v>1842.88</v>
      </c>
      <c r="T41" s="97">
        <f>1842.88</f>
        <v>1842.88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77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12</v>
      </c>
      <c r="I42" s="75">
        <v>6</v>
      </c>
      <c r="J42" s="75">
        <v>7</v>
      </c>
      <c r="K42" s="209">
        <v>7</v>
      </c>
      <c r="L42" s="210">
        <v>7</v>
      </c>
      <c r="M42" s="211">
        <f>5095.29+1605.75</f>
        <v>6701.04</v>
      </c>
      <c r="N42" s="211">
        <v>5095.29</v>
      </c>
      <c r="O42" s="212">
        <f t="shared" si="1"/>
        <v>1605.75</v>
      </c>
      <c r="P42" s="213">
        <v>5</v>
      </c>
      <c r="Q42" s="21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15</v>
      </c>
      <c r="I43" s="75">
        <v>8</v>
      </c>
      <c r="J43" s="75">
        <v>11</v>
      </c>
      <c r="K43" s="209">
        <v>11</v>
      </c>
      <c r="L43" s="210">
        <v>10</v>
      </c>
      <c r="M43" s="211">
        <f>1949.94+11241.95+1670.56+979</f>
        <v>15841.45</v>
      </c>
      <c r="N43" s="211">
        <f>1949.94+11241.95+1670.56+979</f>
        <v>15841.45</v>
      </c>
      <c r="O43" s="212">
        <f t="shared" si="1"/>
        <v>0</v>
      </c>
      <c r="P43" s="213">
        <v>7</v>
      </c>
      <c r="Q43" s="214">
        <v>6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7</v>
      </c>
      <c r="I44" s="75">
        <v>5</v>
      </c>
      <c r="J44" s="75">
        <v>10</v>
      </c>
      <c r="K44" s="209">
        <v>10</v>
      </c>
      <c r="L44" s="210">
        <v>9</v>
      </c>
      <c r="M44" s="211">
        <f>9600.95+145+2182.75</f>
        <v>11928.7</v>
      </c>
      <c r="N44" s="211">
        <f>9600.95+145</f>
        <v>9745.9500000000007</v>
      </c>
      <c r="O44" s="212">
        <f t="shared" si="1"/>
        <v>2182.75</v>
      </c>
      <c r="P44" s="213">
        <v>7</v>
      </c>
      <c r="Q44" s="214">
        <v>7</v>
      </c>
      <c r="R44" s="215">
        <v>7</v>
      </c>
      <c r="S44" s="97">
        <f>3997.92+850.65+4367.7+2262.73</f>
        <v>11479</v>
      </c>
      <c r="T44" s="97">
        <f>3997.92+850.65+4367.7</f>
        <v>9216.27</v>
      </c>
      <c r="U44" s="97">
        <f t="shared" si="2"/>
        <v>2262.7299999999996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75"/>
      <c r="J45" s="75"/>
      <c r="K45" s="209"/>
      <c r="L45" s="210"/>
      <c r="M45" s="211"/>
      <c r="N45" s="211"/>
      <c r="O45" s="212">
        <f t="shared" si="1"/>
        <v>0</v>
      </c>
      <c r="P45" s="213"/>
      <c r="Q45" s="21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12</v>
      </c>
      <c r="I46" s="75">
        <v>8</v>
      </c>
      <c r="J46" s="75">
        <v>9</v>
      </c>
      <c r="K46" s="209">
        <v>9</v>
      </c>
      <c r="L46" s="210">
        <v>9</v>
      </c>
      <c r="M46" s="211">
        <f>1290.6+2343.84</f>
        <v>3634.44</v>
      </c>
      <c r="N46" s="211">
        <f>1290.6</f>
        <v>1290.5999999999999</v>
      </c>
      <c r="O46" s="212">
        <f t="shared" si="1"/>
        <v>2343.84</v>
      </c>
      <c r="P46" s="213">
        <v>2</v>
      </c>
      <c r="Q46" s="21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29</v>
      </c>
      <c r="I47" s="75">
        <v>17</v>
      </c>
      <c r="J47" s="75">
        <v>26</v>
      </c>
      <c r="K47" s="209">
        <v>26</v>
      </c>
      <c r="L47" s="210">
        <v>21</v>
      </c>
      <c r="M47" s="211">
        <f>9335.56+3507.6+826.8</f>
        <v>13669.96</v>
      </c>
      <c r="N47" s="211">
        <f>9335.56+3507.6+826.8</f>
        <v>13669.96</v>
      </c>
      <c r="O47" s="212">
        <f t="shared" si="1"/>
        <v>0</v>
      </c>
      <c r="P47" s="213">
        <v>2</v>
      </c>
      <c r="Q47" s="21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12</v>
      </c>
      <c r="I48" s="75">
        <v>6</v>
      </c>
      <c r="J48" s="75">
        <v>9</v>
      </c>
      <c r="K48" s="209">
        <v>9</v>
      </c>
      <c r="L48" s="210">
        <v>9</v>
      </c>
      <c r="M48" s="211">
        <f>8890.84+1828.05+435</f>
        <v>11153.89</v>
      </c>
      <c r="N48" s="211">
        <f>8890.84+1828.05</f>
        <v>10718.89</v>
      </c>
      <c r="O48" s="212">
        <f t="shared" si="1"/>
        <v>435</v>
      </c>
      <c r="P48" s="213">
        <v>3</v>
      </c>
      <c r="Q48" s="21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17</v>
      </c>
      <c r="I49" s="75">
        <v>9</v>
      </c>
      <c r="J49" s="75">
        <v>10</v>
      </c>
      <c r="K49" s="209">
        <v>10</v>
      </c>
      <c r="L49" s="210">
        <v>10</v>
      </c>
      <c r="M49" s="211">
        <f>1831.71+137.8+1816.78</f>
        <v>3786.29</v>
      </c>
      <c r="N49" s="211">
        <f>1831.71+137.8+1816.78</f>
        <v>3786.29</v>
      </c>
      <c r="O49" s="212">
        <f t="shared" si="1"/>
        <v>0</v>
      </c>
      <c r="P49" s="213">
        <v>9</v>
      </c>
      <c r="Q49" s="214">
        <v>9</v>
      </c>
      <c r="R49" s="215">
        <v>9</v>
      </c>
      <c r="S49" s="97">
        <f>8296.23+1378+5368</f>
        <v>15042.23</v>
      </c>
      <c r="T49" s="97">
        <f>8296.23+1378</f>
        <v>9674.23</v>
      </c>
      <c r="U49" s="97">
        <f t="shared" si="2"/>
        <v>5368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15</v>
      </c>
      <c r="I50" s="75">
        <v>12</v>
      </c>
      <c r="J50" s="75">
        <v>14</v>
      </c>
      <c r="K50" s="209">
        <v>14</v>
      </c>
      <c r="L50" s="210">
        <v>14</v>
      </c>
      <c r="M50" s="211">
        <f>8308.92+786.44+453+302</f>
        <v>9850.36</v>
      </c>
      <c r="N50" s="211">
        <f>8308.92+786.44+453+302</f>
        <v>9850.36</v>
      </c>
      <c r="O50" s="212">
        <f t="shared" si="1"/>
        <v>0</v>
      </c>
      <c r="P50" s="213">
        <v>6</v>
      </c>
      <c r="Q50" s="214">
        <v>6</v>
      </c>
      <c r="R50" s="215">
        <v>6</v>
      </c>
      <c r="S50" s="97">
        <f>2457.28+1725.6+5017.9</f>
        <v>9200.7799999999988</v>
      </c>
      <c r="T50" s="97">
        <f>2457.28+1725.6+5017.9</f>
        <v>9200.7799999999988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19</v>
      </c>
      <c r="I51" s="75">
        <v>10</v>
      </c>
      <c r="J51" s="75">
        <v>12</v>
      </c>
      <c r="K51" s="209">
        <v>12</v>
      </c>
      <c r="L51" s="210">
        <v>11</v>
      </c>
      <c r="M51" s="211">
        <f>5580.75+571.11+696.2+574.2</f>
        <v>7422.2599999999993</v>
      </c>
      <c r="N51" s="211">
        <f>5580.75+571.11+696.2+574.2</f>
        <v>7422.2599999999993</v>
      </c>
      <c r="O51" s="212">
        <f t="shared" si="1"/>
        <v>0</v>
      </c>
      <c r="P51" s="213">
        <v>1</v>
      </c>
      <c r="Q51" s="214">
        <v>1</v>
      </c>
      <c r="R51" s="215">
        <v>1</v>
      </c>
      <c r="S51" s="97"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17</v>
      </c>
      <c r="I52" s="75">
        <v>8</v>
      </c>
      <c r="J52" s="75">
        <v>14</v>
      </c>
      <c r="K52" s="209">
        <v>14</v>
      </c>
      <c r="L52" s="210">
        <v>10</v>
      </c>
      <c r="M52" s="211">
        <f>3782.6+430.65+1221.61</f>
        <v>5434.86</v>
      </c>
      <c r="N52" s="211">
        <f>3782.6+430.65+1221.61</f>
        <v>5434.86</v>
      </c>
      <c r="O52" s="212">
        <f t="shared" si="1"/>
        <v>0</v>
      </c>
      <c r="P52" s="213">
        <v>8</v>
      </c>
      <c r="Q52" s="214">
        <v>8</v>
      </c>
      <c r="R52" s="215">
        <v>5</v>
      </c>
      <c r="S52" s="97">
        <f>1535.39+1035.3+828.82</f>
        <v>3399.51</v>
      </c>
      <c r="T52" s="97">
        <f>1535.39+1035.3+828.82</f>
        <v>3399.51</v>
      </c>
      <c r="U52" s="97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8</v>
      </c>
      <c r="I53" s="75">
        <v>3</v>
      </c>
      <c r="J53" s="75">
        <v>3</v>
      </c>
      <c r="K53" s="209">
        <v>3</v>
      </c>
      <c r="L53" s="210">
        <v>3</v>
      </c>
      <c r="M53" s="211">
        <f>1102.4+328.37</f>
        <v>1430.77</v>
      </c>
      <c r="N53" s="211">
        <v>1102.4000000000001</v>
      </c>
      <c r="O53" s="212">
        <f t="shared" si="1"/>
        <v>328.36999999999989</v>
      </c>
      <c r="P53" s="213">
        <v>2</v>
      </c>
      <c r="Q53" s="21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78</v>
      </c>
      <c r="I54" s="75">
        <v>43</v>
      </c>
      <c r="J54" s="75">
        <v>55</v>
      </c>
      <c r="K54" s="209">
        <v>55</v>
      </c>
      <c r="L54" s="210">
        <v>51</v>
      </c>
      <c r="M54" s="211">
        <f>12031.27+4728.85+7137.01</f>
        <v>23897.130000000005</v>
      </c>
      <c r="N54" s="211">
        <f>12031.27+4728.85+7137.01</f>
        <v>23897.130000000005</v>
      </c>
      <c r="O54" s="212">
        <f t="shared" si="1"/>
        <v>0</v>
      </c>
      <c r="P54" s="213">
        <v>17</v>
      </c>
      <c r="Q54" s="21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6</v>
      </c>
      <c r="I55" s="75">
        <v>2</v>
      </c>
      <c r="J55" s="75">
        <v>2</v>
      </c>
      <c r="K55" s="209">
        <v>2</v>
      </c>
      <c r="L55" s="210">
        <v>2</v>
      </c>
      <c r="M55" s="211">
        <v>5677.4</v>
      </c>
      <c r="N55" s="211">
        <v>5677.4</v>
      </c>
      <c r="O55" s="212">
        <f t="shared" si="1"/>
        <v>0</v>
      </c>
      <c r="P55" s="213">
        <v>3</v>
      </c>
      <c r="Q55" s="21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47</v>
      </c>
      <c r="I56" s="75">
        <v>29</v>
      </c>
      <c r="J56" s="75">
        <v>43</v>
      </c>
      <c r="K56" s="209">
        <v>43</v>
      </c>
      <c r="L56" s="210">
        <v>38</v>
      </c>
      <c r="M56" s="211">
        <f>13145.7+14183.3+726.22+3195.47+5181.98</f>
        <v>36432.67</v>
      </c>
      <c r="N56" s="211">
        <f>13145.7+14183.3+726.22</f>
        <v>28055.22</v>
      </c>
      <c r="O56" s="212">
        <f t="shared" si="1"/>
        <v>8377.4499999999971</v>
      </c>
      <c r="P56" s="213">
        <v>33</v>
      </c>
      <c r="Q56" s="214">
        <v>33</v>
      </c>
      <c r="R56" s="215">
        <v>31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21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75"/>
      <c r="J58" s="75"/>
      <c r="K58" s="209"/>
      <c r="L58" s="210"/>
      <c r="M58" s="211"/>
      <c r="N58" s="211"/>
      <c r="O58" s="212">
        <f t="shared" si="1"/>
        <v>0</v>
      </c>
      <c r="P58" s="213">
        <v>1</v>
      </c>
      <c r="Q58" s="214">
        <v>1</v>
      </c>
      <c r="R58" s="215"/>
      <c r="S58" s="97"/>
      <c r="T58" s="97"/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75"/>
      <c r="J59" s="75"/>
      <c r="K59" s="209"/>
      <c r="L59" s="210"/>
      <c r="M59" s="211"/>
      <c r="N59" s="211"/>
      <c r="O59" s="212">
        <f t="shared" si="1"/>
        <v>0</v>
      </c>
      <c r="P59" s="213"/>
      <c r="Q59" s="21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40</v>
      </c>
      <c r="I60" s="75">
        <v>25</v>
      </c>
      <c r="J60" s="75">
        <v>39</v>
      </c>
      <c r="K60" s="209">
        <v>39</v>
      </c>
      <c r="L60" s="210">
        <v>37</v>
      </c>
      <c r="M60" s="211">
        <f>19657.67+3859.57+3638.88+11285.84</f>
        <v>38441.96</v>
      </c>
      <c r="N60" s="211">
        <f>19657.67+3859.57+3638.88</f>
        <v>27156.12</v>
      </c>
      <c r="O60" s="212">
        <f t="shared" si="1"/>
        <v>11285.84</v>
      </c>
      <c r="P60" s="213">
        <v>6</v>
      </c>
      <c r="Q60" s="214">
        <v>6</v>
      </c>
      <c r="R60" s="215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23</v>
      </c>
      <c r="I61" s="75">
        <v>9</v>
      </c>
      <c r="J61" s="75">
        <v>11</v>
      </c>
      <c r="K61" s="209">
        <v>11</v>
      </c>
      <c r="L61" s="210">
        <v>10</v>
      </c>
      <c r="M61" s="211">
        <f>3986.21+989.8+3814.75</f>
        <v>8790.76</v>
      </c>
      <c r="N61" s="211">
        <f>3986.21+989.8+3814.75</f>
        <v>8790.76</v>
      </c>
      <c r="O61" s="212">
        <f t="shared" si="1"/>
        <v>0</v>
      </c>
      <c r="P61" s="213"/>
      <c r="Q61" s="21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77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16</v>
      </c>
      <c r="I62" s="75">
        <v>11</v>
      </c>
      <c r="J62" s="75">
        <v>14</v>
      </c>
      <c r="K62" s="209">
        <v>14</v>
      </c>
      <c r="L62" s="210">
        <v>14</v>
      </c>
      <c r="M62" s="211">
        <f>1263.45+2111.32+5011.35+4260.64</f>
        <v>12646.760000000002</v>
      </c>
      <c r="N62" s="211">
        <f>1263.45+2111.32+5011.35</f>
        <v>8386.1200000000008</v>
      </c>
      <c r="O62" s="212">
        <f t="shared" si="1"/>
        <v>4260.6400000000012</v>
      </c>
      <c r="P62" s="213">
        <v>7</v>
      </c>
      <c r="Q62" s="214">
        <v>7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75"/>
      <c r="J63" s="75"/>
      <c r="K63" s="209"/>
      <c r="L63" s="210"/>
      <c r="M63" s="211"/>
      <c r="N63" s="211"/>
      <c r="O63" s="212">
        <f t="shared" si="1"/>
        <v>0</v>
      </c>
      <c r="P63" s="213">
        <v>29</v>
      </c>
      <c r="Q63" s="214">
        <v>29</v>
      </c>
      <c r="R63" s="215">
        <v>29</v>
      </c>
      <c r="S63" s="97">
        <f>9392.68+482.3+2027.39</f>
        <v>11902.369999999999</v>
      </c>
      <c r="T63" s="97">
        <f>9392.68+482.3</f>
        <v>9874.98</v>
      </c>
      <c r="U63" s="97">
        <f t="shared" si="2"/>
        <v>2027.3899999999994</v>
      </c>
      <c r="V63" s="161"/>
    </row>
    <row r="64" spans="1:40" ht="17.25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20</v>
      </c>
      <c r="I64" s="75">
        <v>13</v>
      </c>
      <c r="J64" s="75">
        <v>15</v>
      </c>
      <c r="K64" s="209">
        <v>15</v>
      </c>
      <c r="L64" s="210">
        <v>15</v>
      </c>
      <c r="M64" s="211">
        <f>6496.16+4335.01+2477.65</f>
        <v>13308.82</v>
      </c>
      <c r="N64" s="211">
        <f>6496.16+4335.01</f>
        <v>10831.17</v>
      </c>
      <c r="O64" s="212">
        <f t="shared" si="1"/>
        <v>2477.6499999999996</v>
      </c>
      <c r="P64" s="213">
        <v>10</v>
      </c>
      <c r="Q64" s="214">
        <v>10</v>
      </c>
      <c r="R64" s="215">
        <v>10</v>
      </c>
      <c r="S64" s="97">
        <v>6866.56</v>
      </c>
      <c r="T64" s="97">
        <v>6866.56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42</v>
      </c>
      <c r="I65" s="75">
        <v>35</v>
      </c>
      <c r="J65" s="75">
        <v>42</v>
      </c>
      <c r="K65" s="209">
        <v>41</v>
      </c>
      <c r="L65" s="210">
        <v>33</v>
      </c>
      <c r="M65" s="211">
        <f>21561.61+5719.7+1305+4149.27+2397.37</f>
        <v>35132.950000000004</v>
      </c>
      <c r="N65" s="211">
        <f>21561.61+5719.7+1305+4149.27</f>
        <v>32735.58</v>
      </c>
      <c r="O65" s="212">
        <f t="shared" si="1"/>
        <v>2397.3700000000026</v>
      </c>
      <c r="P65" s="213">
        <v>11</v>
      </c>
      <c r="Q65" s="214">
        <v>11</v>
      </c>
      <c r="R65" s="215">
        <v>10</v>
      </c>
      <c r="S65" s="97">
        <v>7456.7</v>
      </c>
      <c r="T65" s="97">
        <v>7456.7</v>
      </c>
      <c r="U65" s="97">
        <f t="shared" si="2"/>
        <v>0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75">
        <v>2</v>
      </c>
      <c r="J66" s="75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46</v>
      </c>
      <c r="I67" s="75">
        <v>30</v>
      </c>
      <c r="J67" s="75">
        <v>41</v>
      </c>
      <c r="K67" s="209">
        <v>41</v>
      </c>
      <c r="L67" s="210">
        <v>38</v>
      </c>
      <c r="M67" s="211">
        <f>19710.93+7009.96+ 8900.54+165.98</f>
        <v>35787.410000000003</v>
      </c>
      <c r="N67" s="211">
        <f>19710.93+7009.96+ 8900.54+165.98</f>
        <v>35787.410000000003</v>
      </c>
      <c r="O67" s="212">
        <f t="shared" si="1"/>
        <v>0</v>
      </c>
      <c r="P67" s="213">
        <v>11</v>
      </c>
      <c r="Q67" s="21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32</v>
      </c>
      <c r="I68" s="75">
        <v>26</v>
      </c>
      <c r="J68" s="75">
        <v>45</v>
      </c>
      <c r="K68" s="209">
        <v>45</v>
      </c>
      <c r="L68" s="210">
        <v>45</v>
      </c>
      <c r="M68" s="211">
        <f>18750.75+2683.13</f>
        <v>21433.88</v>
      </c>
      <c r="N68" s="211">
        <f>18750.75</f>
        <v>18750.75</v>
      </c>
      <c r="O68" s="212">
        <f t="shared" si="1"/>
        <v>2683.130000000001</v>
      </c>
      <c r="P68" s="213">
        <v>10</v>
      </c>
      <c r="Q68" s="214">
        <v>10</v>
      </c>
      <c r="R68" s="215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125</v>
      </c>
      <c r="E69" s="106" t="s">
        <v>126</v>
      </c>
      <c r="F69" s="170" t="s">
        <v>106</v>
      </c>
      <c r="G69" s="72" t="s">
        <v>188</v>
      </c>
      <c r="H69" s="77">
        <v>9</v>
      </c>
      <c r="I69" s="75">
        <v>5</v>
      </c>
      <c r="J69" s="75">
        <v>5</v>
      </c>
      <c r="K69" s="209">
        <v>5</v>
      </c>
      <c r="L69" s="210">
        <v>5</v>
      </c>
      <c r="M69" s="211">
        <f>2756+1240.2+1305</f>
        <v>5301.2</v>
      </c>
      <c r="N69" s="211">
        <f>2756+1240.2</f>
        <v>3996.2</v>
      </c>
      <c r="O69" s="212">
        <f t="shared" si="1"/>
        <v>1305</v>
      </c>
      <c r="P69" s="213"/>
      <c r="Q69" s="214"/>
      <c r="R69" s="215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11</v>
      </c>
      <c r="I70" s="75">
        <v>6</v>
      </c>
      <c r="J70" s="75">
        <v>6</v>
      </c>
      <c r="K70" s="209">
        <v>6</v>
      </c>
      <c r="L70" s="210">
        <v>6</v>
      </c>
      <c r="M70" s="211">
        <f>2039.44+3242.32+2027.39+3567</f>
        <v>10876.150000000001</v>
      </c>
      <c r="N70" s="211">
        <f>2039.44+3242.32</f>
        <v>5281.76</v>
      </c>
      <c r="O70" s="212">
        <f t="shared" si="1"/>
        <v>5594.3900000000012</v>
      </c>
      <c r="P70" s="213">
        <v>6</v>
      </c>
      <c r="Q70" s="214">
        <v>6</v>
      </c>
      <c r="R70" s="215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19</v>
      </c>
      <c r="I71" s="75">
        <v>13</v>
      </c>
      <c r="J71" s="75">
        <v>14</v>
      </c>
      <c r="K71" s="209">
        <v>14</v>
      </c>
      <c r="L71" s="210">
        <v>13</v>
      </c>
      <c r="M71" s="211">
        <f>2383.53+3781.9+7505.17+507.5</f>
        <v>14178.1</v>
      </c>
      <c r="N71" s="211">
        <f>2383.53+3781.9</f>
        <v>6165.43</v>
      </c>
      <c r="O71" s="212">
        <f t="shared" si="1"/>
        <v>8012.67</v>
      </c>
      <c r="P71" s="213">
        <v>23</v>
      </c>
      <c r="Q71" s="214">
        <v>23</v>
      </c>
      <c r="R71" s="215">
        <v>22</v>
      </c>
      <c r="S71" s="97">
        <v>52337.46</v>
      </c>
      <c r="T71" s="97">
        <v>52337.46</v>
      </c>
      <c r="U71" s="97">
        <f t="shared" si="2"/>
        <v>0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12</v>
      </c>
      <c r="I72" s="75">
        <v>5</v>
      </c>
      <c r="J72" s="75">
        <v>7</v>
      </c>
      <c r="K72" s="209">
        <v>7</v>
      </c>
      <c r="L72" s="210">
        <v>5</v>
      </c>
      <c r="M72" s="211">
        <f>4703.53+544.32</f>
        <v>5247.8499999999995</v>
      </c>
      <c r="N72" s="211">
        <v>4703.53</v>
      </c>
      <c r="O72" s="212">
        <f t="shared" si="1"/>
        <v>544.31999999999971</v>
      </c>
      <c r="P72" s="213">
        <v>7</v>
      </c>
      <c r="Q72" s="21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30</v>
      </c>
      <c r="I73" s="75">
        <v>18</v>
      </c>
      <c r="J73" s="75">
        <v>18</v>
      </c>
      <c r="K73" s="209">
        <v>18</v>
      </c>
      <c r="L73" s="210">
        <v>18</v>
      </c>
      <c r="M73" s="211">
        <f>2095.52+746.9+4941.1</f>
        <v>7783.52</v>
      </c>
      <c r="N73" s="211">
        <f>2095.52+746.9</f>
        <v>2842.42</v>
      </c>
      <c r="O73" s="212">
        <f t="shared" si="1"/>
        <v>4941.1000000000004</v>
      </c>
      <c r="P73" s="213">
        <v>5</v>
      </c>
      <c r="Q73" s="214">
        <v>5</v>
      </c>
      <c r="R73" s="215">
        <v>5</v>
      </c>
      <c r="S73" s="97">
        <f>1821.06+4580.19</f>
        <v>6401.25</v>
      </c>
      <c r="T73" s="97">
        <f>1821.06+4580.19</f>
        <v>6401.25</v>
      </c>
      <c r="U73" s="97">
        <f t="shared" si="2"/>
        <v>0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75"/>
      <c r="J74" s="75"/>
      <c r="K74" s="209"/>
      <c r="L74" s="210"/>
      <c r="M74" s="211"/>
      <c r="N74" s="211"/>
      <c r="O74" s="212">
        <f t="shared" si="1"/>
        <v>0</v>
      </c>
      <c r="P74" s="213">
        <v>1</v>
      </c>
      <c r="Q74" s="21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7</v>
      </c>
      <c r="I75" s="75">
        <v>5</v>
      </c>
      <c r="J75" s="75">
        <v>6</v>
      </c>
      <c r="K75" s="209">
        <v>6</v>
      </c>
      <c r="L75" s="210">
        <v>6</v>
      </c>
      <c r="M75" s="211">
        <f>275.6+741.36+14287.26</f>
        <v>15304.220000000001</v>
      </c>
      <c r="N75" s="211">
        <f>275.6+741.36+14287.26</f>
        <v>15304.220000000001</v>
      </c>
      <c r="O75" s="212">
        <f t="shared" ref="O75:O104" si="4" xml:space="preserve"> (M75-N75)</f>
        <v>0</v>
      </c>
      <c r="P75" s="213">
        <v>3</v>
      </c>
      <c r="Q75" s="21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23</v>
      </c>
      <c r="I76" s="75">
        <v>18</v>
      </c>
      <c r="J76" s="75">
        <v>26</v>
      </c>
      <c r="K76" s="209">
        <v>26</v>
      </c>
      <c r="L76" s="210">
        <v>25</v>
      </c>
      <c r="M76" s="211">
        <f>11803.63+1320.23+3132.15+12104.63</f>
        <v>28360.639999999999</v>
      </c>
      <c r="N76" s="211">
        <f>11803.63+1320.23+3132.15</f>
        <v>16256.009999999998</v>
      </c>
      <c r="O76" s="212">
        <f t="shared" si="4"/>
        <v>12104.630000000001</v>
      </c>
      <c r="P76" s="213">
        <v>5</v>
      </c>
      <c r="Q76" s="214">
        <v>5</v>
      </c>
      <c r="R76" s="215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20</v>
      </c>
      <c r="I77" s="75">
        <v>11</v>
      </c>
      <c r="J77" s="75">
        <v>12</v>
      </c>
      <c r="K77" s="209">
        <v>12</v>
      </c>
      <c r="L77" s="210">
        <v>11</v>
      </c>
      <c r="M77" s="211">
        <f>4234.67+4498.63+1428.26+1766.87</f>
        <v>11928.43</v>
      </c>
      <c r="N77" s="211">
        <f>4234.67+4498.63+1428.26</f>
        <v>10161.56</v>
      </c>
      <c r="O77" s="212">
        <f t="shared" si="4"/>
        <v>1766.8700000000008</v>
      </c>
      <c r="P77" s="213"/>
      <c r="Q77" s="214"/>
      <c r="R77" s="215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80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75"/>
      <c r="J78" s="75"/>
      <c r="K78" s="209"/>
      <c r="L78" s="210"/>
      <c r="M78" s="211"/>
      <c r="N78" s="211"/>
      <c r="O78" s="212">
        <f t="shared" si="4"/>
        <v>0</v>
      </c>
      <c r="P78" s="213">
        <v>8</v>
      </c>
      <c r="Q78" s="214">
        <v>8</v>
      </c>
      <c r="R78" s="215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18</v>
      </c>
      <c r="I79" s="75">
        <v>15</v>
      </c>
      <c r="J79" s="75">
        <v>21</v>
      </c>
      <c r="K79" s="209">
        <v>21</v>
      </c>
      <c r="L79" s="210">
        <v>21</v>
      </c>
      <c r="M79" s="211">
        <f>8913.81+7027.61+1244.33+15395.91+4278.3</f>
        <v>36859.96</v>
      </c>
      <c r="N79" s="211">
        <f>8913.81+7027.61+1244.33+15395.91</f>
        <v>32581.66</v>
      </c>
      <c r="O79" s="212">
        <f t="shared" si="4"/>
        <v>4278.2999999999993</v>
      </c>
      <c r="P79" s="213">
        <v>4</v>
      </c>
      <c r="Q79" s="21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17</v>
      </c>
      <c r="I80" s="75">
        <v>14</v>
      </c>
      <c r="J80" s="75">
        <v>20</v>
      </c>
      <c r="K80" s="209">
        <v>20</v>
      </c>
      <c r="L80" s="210">
        <v>20</v>
      </c>
      <c r="M80" s="211">
        <f>14959.64+7384.39+14758.51</f>
        <v>37102.54</v>
      </c>
      <c r="N80" s="211">
        <f>14959.64+7384.39</f>
        <v>22344.03</v>
      </c>
      <c r="O80" s="212">
        <f t="shared" si="4"/>
        <v>14758.510000000002</v>
      </c>
      <c r="P80" s="213">
        <v>9</v>
      </c>
      <c r="Q80" s="214">
        <v>9</v>
      </c>
      <c r="R80" s="215">
        <v>9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3</v>
      </c>
      <c r="I81" s="75"/>
      <c r="J81" s="75"/>
      <c r="K81" s="209"/>
      <c r="L81" s="210"/>
      <c r="M81" s="211"/>
      <c r="N81" s="211"/>
      <c r="O81" s="212">
        <f t="shared" si="4"/>
        <v>0</v>
      </c>
      <c r="P81" s="213">
        <v>1</v>
      </c>
      <c r="Q81" s="214">
        <v>1</v>
      </c>
      <c r="R81" s="215"/>
      <c r="S81" s="97"/>
      <c r="T81" s="97"/>
      <c r="U81" s="97">
        <f t="shared" si="5"/>
        <v>0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17</v>
      </c>
      <c r="I82" s="75">
        <v>14</v>
      </c>
      <c r="J82" s="75">
        <v>15</v>
      </c>
      <c r="K82" s="209">
        <v>15</v>
      </c>
      <c r="L82" s="210">
        <v>15</v>
      </c>
      <c r="M82" s="211">
        <f>2626.75+8084.46+600.05+7445.83</f>
        <v>18757.089999999997</v>
      </c>
      <c r="N82" s="211">
        <f>2626.75+8084.46+600.05</f>
        <v>11311.259999999998</v>
      </c>
      <c r="O82" s="212">
        <f t="shared" si="4"/>
        <v>7445.8299999999981</v>
      </c>
      <c r="P82" s="213">
        <v>9</v>
      </c>
      <c r="Q82" s="214">
        <v>9</v>
      </c>
      <c r="R82" s="215">
        <v>9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18</v>
      </c>
      <c r="I83" s="75">
        <v>11</v>
      </c>
      <c r="J83" s="75">
        <v>19</v>
      </c>
      <c r="K83" s="209">
        <v>19</v>
      </c>
      <c r="L83" s="210">
        <v>19</v>
      </c>
      <c r="M83" s="211">
        <f>11232.31+3440.1+14435.12-1360.99</f>
        <v>27746.539999999997</v>
      </c>
      <c r="N83" s="211">
        <f>11232.31+3440.1+14435.12-1360.99</f>
        <v>27746.539999999997</v>
      </c>
      <c r="O83" s="212">
        <f t="shared" si="4"/>
        <v>0</v>
      </c>
      <c r="P83" s="213">
        <v>9</v>
      </c>
      <c r="Q83" s="21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17</v>
      </c>
      <c r="I84" s="75">
        <v>9</v>
      </c>
      <c r="J84" s="75">
        <v>15</v>
      </c>
      <c r="K84" s="209">
        <v>15</v>
      </c>
      <c r="L84" s="210">
        <v>14</v>
      </c>
      <c r="M84" s="211">
        <f>5429.56+2272.28+2029.9+2976.46</f>
        <v>12708.2</v>
      </c>
      <c r="N84" s="211">
        <f>5429.56+2272.28+2029.9</f>
        <v>9731.74</v>
      </c>
      <c r="O84" s="212">
        <f t="shared" si="4"/>
        <v>2976.4600000000009</v>
      </c>
      <c r="P84" s="213">
        <v>1</v>
      </c>
      <c r="Q84" s="21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29</v>
      </c>
      <c r="I85" s="75">
        <v>26</v>
      </c>
      <c r="J85" s="75">
        <v>49</v>
      </c>
      <c r="K85" s="209">
        <v>49</v>
      </c>
      <c r="L85" s="210">
        <v>46</v>
      </c>
      <c r="M85" s="211">
        <f>15506.09+4089.12+1924.78+1267.55+6546.86+1962.04</f>
        <v>31296.44</v>
      </c>
      <c r="N85" s="211">
        <f>15506.09+4089.12+1924.78+1267.55</f>
        <v>22787.539999999997</v>
      </c>
      <c r="O85" s="212">
        <f t="shared" si="4"/>
        <v>8508.9000000000015</v>
      </c>
      <c r="P85" s="213">
        <v>6</v>
      </c>
      <c r="Q85" s="21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12</v>
      </c>
      <c r="I86" s="75">
        <v>6</v>
      </c>
      <c r="J86" s="75">
        <v>7</v>
      </c>
      <c r="K86" s="209">
        <v>7</v>
      </c>
      <c r="L86" s="210">
        <v>4</v>
      </c>
      <c r="M86" s="211">
        <v>1956.76</v>
      </c>
      <c r="N86" s="211">
        <v>1956.76</v>
      </c>
      <c r="O86" s="212">
        <f t="shared" si="4"/>
        <v>0</v>
      </c>
      <c r="P86" s="213">
        <v>2</v>
      </c>
      <c r="Q86" s="21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100000000000001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8</v>
      </c>
      <c r="I87" s="75">
        <v>5</v>
      </c>
      <c r="J87" s="75">
        <v>6</v>
      </c>
      <c r="K87" s="209">
        <v>6</v>
      </c>
      <c r="L87" s="210">
        <v>6</v>
      </c>
      <c r="M87" s="211">
        <f>795.8+4099.92+1305</f>
        <v>6200.72</v>
      </c>
      <c r="N87" s="211">
        <f>795.8+4099.92+1305</f>
        <v>6200.72</v>
      </c>
      <c r="O87" s="212">
        <f t="shared" si="4"/>
        <v>0</v>
      </c>
      <c r="P87" s="213">
        <v>5</v>
      </c>
      <c r="Q87" s="214">
        <v>4</v>
      </c>
      <c r="R87" s="215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75"/>
      <c r="J88" s="75"/>
      <c r="K88" s="209"/>
      <c r="L88" s="210"/>
      <c r="M88" s="211"/>
      <c r="N88" s="211"/>
      <c r="O88" s="212">
        <f t="shared" si="4"/>
        <v>0</v>
      </c>
      <c r="P88" s="213">
        <v>6</v>
      </c>
      <c r="Q88" s="21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10</v>
      </c>
      <c r="I89" s="75">
        <v>7</v>
      </c>
      <c r="J89" s="75">
        <v>8</v>
      </c>
      <c r="K89" s="209">
        <v>8</v>
      </c>
      <c r="L89" s="210">
        <v>8</v>
      </c>
      <c r="M89" s="211">
        <f>2874.33+1509.2+1943</f>
        <v>6326.53</v>
      </c>
      <c r="N89" s="211">
        <f>2874.33+1509.2</f>
        <v>4383.53</v>
      </c>
      <c r="O89" s="212">
        <f t="shared" si="4"/>
        <v>1943</v>
      </c>
      <c r="P89" s="213">
        <v>5</v>
      </c>
      <c r="Q89" s="214">
        <v>5</v>
      </c>
      <c r="R89" s="215">
        <v>5</v>
      </c>
      <c r="S89" s="97">
        <f>8161.92+1118.75+3779.58</f>
        <v>13060.25</v>
      </c>
      <c r="T89" s="97">
        <f>8161.92+1118.75+3779.58</f>
        <v>13060.25</v>
      </c>
      <c r="U89" s="97">
        <f t="shared" si="5"/>
        <v>0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40</v>
      </c>
      <c r="I90" s="75">
        <v>31</v>
      </c>
      <c r="J90" s="75">
        <v>55</v>
      </c>
      <c r="K90" s="209">
        <v>55</v>
      </c>
      <c r="L90" s="210">
        <v>55</v>
      </c>
      <c r="M90" s="211">
        <f>14303.46+6714.67+1828.05+13505.93</f>
        <v>36352.11</v>
      </c>
      <c r="N90" s="211">
        <f>14303.46+6714.67+1828.05</f>
        <v>22846.179999999997</v>
      </c>
      <c r="O90" s="212">
        <f t="shared" si="4"/>
        <v>13505.930000000004</v>
      </c>
      <c r="P90" s="213">
        <v>8</v>
      </c>
      <c r="Q90" s="214">
        <v>7</v>
      </c>
      <c r="R90" s="215">
        <v>7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21</v>
      </c>
      <c r="I91" s="75">
        <v>12</v>
      </c>
      <c r="J91" s="75">
        <v>18</v>
      </c>
      <c r="K91" s="209">
        <v>18</v>
      </c>
      <c r="L91" s="210">
        <v>18</v>
      </c>
      <c r="M91" s="211">
        <f>5384.83+3572.76</f>
        <v>8957.59</v>
      </c>
      <c r="N91" s="211">
        <v>5384.83</v>
      </c>
      <c r="O91" s="212">
        <f t="shared" si="4"/>
        <v>3572.76</v>
      </c>
      <c r="P91" s="213">
        <v>7</v>
      </c>
      <c r="Q91" s="214">
        <v>7</v>
      </c>
      <c r="R91" s="215">
        <v>7</v>
      </c>
      <c r="S91" s="97">
        <f>6219.66+748.35+1502.94</f>
        <v>8470.9500000000007</v>
      </c>
      <c r="T91" s="97">
        <f>6219.66+748.35</f>
        <v>6968.01</v>
      </c>
      <c r="U91" s="97">
        <f t="shared" si="5"/>
        <v>1502.9400000000005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16</v>
      </c>
      <c r="I92" s="75">
        <v>13</v>
      </c>
      <c r="J92" s="75">
        <v>18</v>
      </c>
      <c r="K92" s="209">
        <v>18</v>
      </c>
      <c r="L92" s="210">
        <v>17</v>
      </c>
      <c r="M92" s="211">
        <f>2301.54+4352.56+3555.69+1798.94+1481.14+763.69</f>
        <v>14253.560000000001</v>
      </c>
      <c r="N92" s="211">
        <f>2301.54+4352.56+3555.69+1798.94</f>
        <v>12008.730000000001</v>
      </c>
      <c r="O92" s="212">
        <f t="shared" si="4"/>
        <v>2244.83</v>
      </c>
      <c r="P92" s="213">
        <v>1</v>
      </c>
      <c r="Q92" s="21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75</v>
      </c>
      <c r="I93" s="75">
        <v>33</v>
      </c>
      <c r="J93" s="75">
        <v>41</v>
      </c>
      <c r="K93" s="209">
        <v>41</v>
      </c>
      <c r="L93" s="210">
        <v>38</v>
      </c>
      <c r="M93" s="211">
        <f>14656.12+3543.47+2420.25+2112.66</f>
        <v>22732.5</v>
      </c>
      <c r="N93" s="211">
        <f>14656.12+3543.47</f>
        <v>18199.59</v>
      </c>
      <c r="O93" s="212">
        <f t="shared" si="4"/>
        <v>4532.91</v>
      </c>
      <c r="P93" s="213">
        <v>9</v>
      </c>
      <c r="Q93" s="214">
        <v>9</v>
      </c>
      <c r="R93" s="215">
        <v>9</v>
      </c>
      <c r="S93" s="97">
        <f>11083.64+344.5</f>
        <v>11428.14</v>
      </c>
      <c r="T93" s="97">
        <v>11083.64</v>
      </c>
      <c r="U93" s="97">
        <f t="shared" si="5"/>
        <v>344.5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34</v>
      </c>
      <c r="I94" s="75">
        <v>16</v>
      </c>
      <c r="J94" s="75">
        <v>16</v>
      </c>
      <c r="K94" s="210">
        <v>16</v>
      </c>
      <c r="L94" s="210">
        <v>14</v>
      </c>
      <c r="M94" s="211">
        <f>6576.32+217.5+2898.52+939.6</f>
        <v>10631.94</v>
      </c>
      <c r="N94" s="211">
        <f>6576.32+217.5+2898.52</f>
        <v>9692.34</v>
      </c>
      <c r="O94" s="212">
        <f t="shared" si="4"/>
        <v>939.60000000000036</v>
      </c>
      <c r="P94" s="213">
        <v>24</v>
      </c>
      <c r="Q94" s="215">
        <v>24</v>
      </c>
      <c r="R94" s="215">
        <v>23</v>
      </c>
      <c r="S94" s="97">
        <f>18253.04+4245.2+858.65+1546.26</f>
        <v>24903.15</v>
      </c>
      <c r="T94" s="97">
        <f>18253.04+4245.2+858.65</f>
        <v>23356.890000000003</v>
      </c>
      <c r="U94" s="97">
        <f t="shared" si="5"/>
        <v>1546.2599999999984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27</v>
      </c>
      <c r="I95" s="75">
        <v>12</v>
      </c>
      <c r="J95" s="75">
        <v>15</v>
      </c>
      <c r="K95" s="209">
        <v>15</v>
      </c>
      <c r="L95" s="210">
        <v>15</v>
      </c>
      <c r="M95" s="211">
        <f>2362.32+22110.36+455.21+2039.58+953.22</f>
        <v>27920.690000000002</v>
      </c>
      <c r="N95" s="211">
        <f>2362.32+22110.36+455.21+2039.58</f>
        <v>26967.47</v>
      </c>
      <c r="O95" s="212">
        <f t="shared" si="4"/>
        <v>953.22000000000116</v>
      </c>
      <c r="P95" s="213">
        <v>16</v>
      </c>
      <c r="Q95" s="214">
        <v>16</v>
      </c>
      <c r="R95" s="215">
        <v>15</v>
      </c>
      <c r="S95" s="97">
        <f>24552.24+1001.28+122.46+1729.98</f>
        <v>27405.96</v>
      </c>
      <c r="T95" s="97">
        <f>24552.24+1001.28+122.46</f>
        <v>25675.98</v>
      </c>
      <c r="U95" s="97">
        <f t="shared" si="5"/>
        <v>1729.9799999999996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9</v>
      </c>
      <c r="I96" s="75">
        <v>7</v>
      </c>
      <c r="J96" s="75">
        <v>10</v>
      </c>
      <c r="K96" s="209">
        <v>10</v>
      </c>
      <c r="L96" s="210">
        <v>10</v>
      </c>
      <c r="M96" s="211">
        <f>826.8+2786.41+2401.3</f>
        <v>6014.51</v>
      </c>
      <c r="N96" s="211">
        <f>826.8+2786.41</f>
        <v>3613.21</v>
      </c>
      <c r="O96" s="212">
        <f t="shared" si="4"/>
        <v>2401.3000000000002</v>
      </c>
      <c r="P96" s="213"/>
      <c r="Q96" s="214"/>
      <c r="R96" s="215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11</v>
      </c>
      <c r="I97" s="75">
        <v>7</v>
      </c>
      <c r="J97" s="75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</f>
        <v>4629.18</v>
      </c>
      <c r="O97" s="212">
        <f t="shared" si="4"/>
        <v>380.63000000000011</v>
      </c>
      <c r="P97" s="213">
        <v>4</v>
      </c>
      <c r="Q97" s="21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16</v>
      </c>
      <c r="I98" s="75">
        <v>6</v>
      </c>
      <c r="J98" s="75">
        <v>6</v>
      </c>
      <c r="K98" s="209">
        <v>6</v>
      </c>
      <c r="L98" s="210">
        <v>6</v>
      </c>
      <c r="M98" s="211">
        <f>757.9+551.2+895.7+290</f>
        <v>2494.8000000000002</v>
      </c>
      <c r="N98" s="211">
        <f>757.9+551.2+895.7+290</f>
        <v>2494.8000000000002</v>
      </c>
      <c r="O98" s="212">
        <f t="shared" si="4"/>
        <v>0</v>
      </c>
      <c r="P98" s="213">
        <v>10</v>
      </c>
      <c r="Q98" s="214">
        <v>10</v>
      </c>
      <c r="R98" s="215">
        <v>10</v>
      </c>
      <c r="S98" s="97">
        <f>8034.56+3466.13</f>
        <v>11500.69</v>
      </c>
      <c r="T98" s="97">
        <v>8034.56</v>
      </c>
      <c r="U98" s="97">
        <f t="shared" si="5"/>
        <v>3466.13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23</v>
      </c>
      <c r="I99" s="75">
        <v>13</v>
      </c>
      <c r="J99" s="75">
        <v>14</v>
      </c>
      <c r="K99" s="209">
        <v>14</v>
      </c>
      <c r="L99" s="210">
        <v>14</v>
      </c>
      <c r="M99" s="211">
        <f>4782.23+1353.89+2195.41+1197.7+1340.79</f>
        <v>10870.02</v>
      </c>
      <c r="N99" s="211">
        <f>4782.23+1353.89+2195.41+1197.7</f>
        <v>9529.23</v>
      </c>
      <c r="O99" s="212">
        <f t="shared" si="4"/>
        <v>1340.7900000000009</v>
      </c>
      <c r="P99" s="213">
        <v>11</v>
      </c>
      <c r="Q99" s="214">
        <v>11</v>
      </c>
      <c r="R99" s="215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18</v>
      </c>
      <c r="I100" s="75">
        <v>12</v>
      </c>
      <c r="J100" s="75">
        <v>17</v>
      </c>
      <c r="K100" s="209">
        <v>17</v>
      </c>
      <c r="L100" s="210">
        <v>17</v>
      </c>
      <c r="M100" s="211">
        <f>10862.96+2375.03+5632.11</f>
        <v>18870.099999999999</v>
      </c>
      <c r="N100" s="211">
        <f>10862.96+2375.03+5632.11</f>
        <v>18870.099999999999</v>
      </c>
      <c r="O100" s="212">
        <f t="shared" si="4"/>
        <v>0</v>
      </c>
      <c r="P100" s="213">
        <v>10</v>
      </c>
      <c r="Q100" s="214">
        <v>10</v>
      </c>
      <c r="R100" s="215">
        <v>10</v>
      </c>
      <c r="S100" s="97">
        <v>4780.1000000000004</v>
      </c>
      <c r="T100" s="97">
        <v>4780.1000000000004</v>
      </c>
      <c r="U100" s="97">
        <f t="shared" si="5"/>
        <v>0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63</v>
      </c>
      <c r="I101" s="75">
        <v>27</v>
      </c>
      <c r="J101" s="75">
        <v>30</v>
      </c>
      <c r="K101" s="209">
        <v>30</v>
      </c>
      <c r="L101" s="210">
        <v>30</v>
      </c>
      <c r="M101" s="211">
        <f>16276.16+4466.66+1078.5+4011.53+435</f>
        <v>26267.85</v>
      </c>
      <c r="N101" s="211">
        <f>16276.16+4466.66+1078.5+4011.53</f>
        <v>25832.85</v>
      </c>
      <c r="O101" s="212">
        <f t="shared" si="4"/>
        <v>435</v>
      </c>
      <c r="P101" s="213">
        <v>28</v>
      </c>
      <c r="Q101" s="214">
        <v>28</v>
      </c>
      <c r="R101" s="215">
        <v>27</v>
      </c>
      <c r="S101" s="97">
        <f>21329.45-2252.12+532.3+345.99+26455.28+1.67</f>
        <v>46412.57</v>
      </c>
      <c r="T101" s="97">
        <f>21329.45-2252.12+532.3+345.98</f>
        <v>19955.61</v>
      </c>
      <c r="U101" s="97">
        <f t="shared" si="5"/>
        <v>26456.959999999999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9</v>
      </c>
      <c r="I102" s="114">
        <v>7</v>
      </c>
      <c r="J102" s="114">
        <v>11</v>
      </c>
      <c r="K102" s="216">
        <v>11</v>
      </c>
      <c r="L102" s="217">
        <v>10</v>
      </c>
      <c r="M102" s="218">
        <f>3259.83+1328.19+2964.21</f>
        <v>7552.2300000000005</v>
      </c>
      <c r="N102" s="218">
        <v>3259.83</v>
      </c>
      <c r="O102" s="212">
        <f t="shared" si="4"/>
        <v>4292.4000000000005</v>
      </c>
      <c r="P102" s="219">
        <v>4</v>
      </c>
      <c r="Q102" s="220">
        <v>4</v>
      </c>
      <c r="R102" s="221">
        <v>4</v>
      </c>
      <c r="S102" s="147">
        <f>1193.3+5843.89</f>
        <v>7037.1900000000005</v>
      </c>
      <c r="T102" s="147">
        <v>1193.3</v>
      </c>
      <c r="U102" s="147">
        <f t="shared" si="5"/>
        <v>5843.89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13</v>
      </c>
      <c r="I103" s="75">
        <v>3</v>
      </c>
      <c r="J103" s="75">
        <v>3</v>
      </c>
      <c r="K103" s="209">
        <v>3</v>
      </c>
      <c r="L103" s="210">
        <v>3</v>
      </c>
      <c r="M103" s="211">
        <f>699.33+580</f>
        <v>1279.33</v>
      </c>
      <c r="N103" s="211">
        <f>699.33+580</f>
        <v>1279.33</v>
      </c>
      <c r="O103" s="212">
        <f t="shared" si="4"/>
        <v>0</v>
      </c>
      <c r="P103" s="215"/>
      <c r="Q103" s="214"/>
      <c r="R103" s="215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214"/>
      <c r="R104" s="215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1865</v>
      </c>
      <c r="I105" s="119">
        <f t="shared" si="7"/>
        <v>1060</v>
      </c>
      <c r="J105" s="119">
        <f t="shared" si="7"/>
        <v>1451</v>
      </c>
      <c r="K105" s="222">
        <f t="shared" si="7"/>
        <v>1447</v>
      </c>
      <c r="L105" s="223">
        <f t="shared" si="7"/>
        <v>1356</v>
      </c>
      <c r="M105" s="224">
        <f t="shared" si="7"/>
        <v>1148710.5900000005</v>
      </c>
      <c r="N105" s="224">
        <f t="shared" si="7"/>
        <v>964298.10000000021</v>
      </c>
      <c r="O105" s="224">
        <f t="shared" si="7"/>
        <v>184412.49</v>
      </c>
      <c r="P105" s="225">
        <f t="shared" si="7"/>
        <v>704</v>
      </c>
      <c r="Q105" s="226">
        <f>SUM(Q10:Q104)</f>
        <v>695</v>
      </c>
      <c r="R105" s="225">
        <f>SUM(R11:R104)</f>
        <v>673</v>
      </c>
      <c r="S105" s="151">
        <f>SUM(S10:S104)</f>
        <v>911036.9299999997</v>
      </c>
      <c r="T105" s="151">
        <f>SUM(T10:T104)</f>
        <v>848569.16</v>
      </c>
      <c r="U105" s="151">
        <f>SUM(U10:U104)</f>
        <v>62467.76999999999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59">
        <f>M105+S105</f>
        <v>2059747.5200000003</v>
      </c>
      <c r="AG105" s="159">
        <f>N105+T105</f>
        <v>1812867.2600000002</v>
      </c>
      <c r="AH105" s="159">
        <f>O105+U105</f>
        <v>246880.25999999998</v>
      </c>
    </row>
    <row r="106" spans="1:35" x14ac:dyDescent="0.25">
      <c r="V106" s="160"/>
      <c r="W106" s="159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</row>
    <row r="107" spans="1:35" x14ac:dyDescent="0.25">
      <c r="V107" s="145"/>
      <c r="W107" s="145"/>
      <c r="AF107" s="159"/>
      <c r="AG107" s="159"/>
      <c r="AH107" s="159"/>
      <c r="AI107" s="145"/>
    </row>
    <row r="108" spans="1:35" x14ac:dyDescent="0.25">
      <c r="W108" s="145"/>
      <c r="AF108" s="159">
        <f>1812952.19-AF105</f>
        <v>-246795.33000000031</v>
      </c>
      <c r="AG108" s="160"/>
      <c r="AH108" s="160"/>
    </row>
    <row r="109" spans="1:35" x14ac:dyDescent="0.25">
      <c r="AF109" s="163"/>
      <c r="AG109" s="163"/>
      <c r="AH109" s="163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338" priority="10" stopIfTrue="1" operator="equal">
      <formula>0</formula>
    </cfRule>
  </conditionalFormatting>
  <conditionalFormatting sqref="AL45">
    <cfRule type="cellIs" dxfId="337" priority="9" stopIfTrue="1" operator="equal">
      <formula>0</formula>
    </cfRule>
  </conditionalFormatting>
  <conditionalFormatting sqref="T45">
    <cfRule type="cellIs" dxfId="336" priority="8" stopIfTrue="1" operator="equal">
      <formula>0</formula>
    </cfRule>
  </conditionalFormatting>
  <conditionalFormatting sqref="T45">
    <cfRule type="cellIs" dxfId="335" priority="7" stopIfTrue="1" operator="equal">
      <formula>0</formula>
    </cfRule>
  </conditionalFormatting>
  <conditionalFormatting sqref="T45">
    <cfRule type="cellIs" dxfId="334" priority="6" stopIfTrue="1" operator="equal">
      <formula>0</formula>
    </cfRule>
  </conditionalFormatting>
  <conditionalFormatting sqref="T45">
    <cfRule type="cellIs" dxfId="333" priority="5" stopIfTrue="1" operator="equal">
      <formula>0</formula>
    </cfRule>
  </conditionalFormatting>
  <conditionalFormatting sqref="T45">
    <cfRule type="cellIs" dxfId="332" priority="4" stopIfTrue="1" operator="equal">
      <formula>0</formula>
    </cfRule>
  </conditionalFormatting>
  <conditionalFormatting sqref="T45">
    <cfRule type="cellIs" dxfId="331" priority="3" stopIfTrue="1" operator="equal">
      <formula>0</formula>
    </cfRule>
  </conditionalFormatting>
  <conditionalFormatting sqref="T45">
    <cfRule type="cellIs" dxfId="330" priority="2" stopIfTrue="1" operator="equal">
      <formula>0</formula>
    </cfRule>
  </conditionalFormatting>
  <conditionalFormatting sqref="T45">
    <cfRule type="cellIs" dxfId="32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9"/>
  <sheetViews>
    <sheetView topLeftCell="C1" zoomScale="80" zoomScaleNormal="80" workbookViewId="0">
      <selection activeCell="O8" sqref="O8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4.42578125" style="184" customWidth="1"/>
    <col min="4" max="4" width="9.140625" style="184" customWidth="1"/>
    <col min="5" max="5" width="14.5703125" style="184" customWidth="1"/>
    <col min="6" max="6" width="25.140625" style="184" customWidth="1"/>
    <col min="7" max="7" width="20.42578125" style="184" customWidth="1"/>
    <col min="8" max="9" width="9.140625" style="184" customWidth="1"/>
    <col min="10" max="12" width="9.140625" style="227" customWidth="1"/>
    <col min="13" max="13" width="14.5703125" style="228" customWidth="1"/>
    <col min="14" max="14" width="12.42578125" style="228" customWidth="1"/>
    <col min="15" max="15" width="12.28515625" style="228" customWidth="1"/>
    <col min="16" max="17" width="9.140625" style="228" customWidth="1"/>
    <col min="18" max="18" width="9.140625" style="185" customWidth="1"/>
    <col min="19" max="19" width="16.85546875" style="185" customWidth="1"/>
    <col min="20" max="20" width="10.7109375" style="185" customWidth="1"/>
    <col min="21" max="21" width="10.7109375" style="186" customWidth="1"/>
    <col min="22" max="22" width="15" style="134" customWidth="1"/>
    <col min="23" max="23" width="14" style="134" customWidth="1"/>
    <col min="24" max="24" width="9.140625" style="134" customWidth="1"/>
    <col min="25" max="25" width="9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3" style="134" customWidth="1"/>
    <col min="35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297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298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35</v>
      </c>
      <c r="I10" s="75">
        <v>20</v>
      </c>
      <c r="J10" s="210">
        <v>23</v>
      </c>
      <c r="K10" s="209">
        <v>23</v>
      </c>
      <c r="L10" s="210">
        <v>22</v>
      </c>
      <c r="M10" s="211">
        <f>8818.63+2629.32+1661.28+2228.94</f>
        <v>15338.17</v>
      </c>
      <c r="N10" s="211">
        <f>8818.63+2629.32+1661.28</f>
        <v>13109.23</v>
      </c>
      <c r="O10" s="212">
        <f xml:space="preserve"> (M10-N10)</f>
        <v>2228.9400000000005</v>
      </c>
      <c r="P10" s="213">
        <v>8</v>
      </c>
      <c r="Q10" s="214">
        <v>8</v>
      </c>
      <c r="R10" s="124">
        <v>8</v>
      </c>
      <c r="S10" s="97">
        <f>4246.75+895.7+2557.8</f>
        <v>7700.25</v>
      </c>
      <c r="T10" s="97">
        <f>4246.75+895.7</f>
        <v>5142.45</v>
      </c>
      <c r="U10" s="97">
        <f xml:space="preserve"> (S10-T10)</f>
        <v>2557.8000000000002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13</v>
      </c>
      <c r="I11" s="75">
        <v>12</v>
      </c>
      <c r="J11" s="210">
        <v>12</v>
      </c>
      <c r="K11" s="209">
        <v>12</v>
      </c>
      <c r="L11" s="210">
        <v>12</v>
      </c>
      <c r="M11" s="211">
        <f>1778.86+580+1740+464+580</f>
        <v>5142.8599999999997</v>
      </c>
      <c r="N11" s="211">
        <f>1778.86+580+1740</f>
        <v>4098.8599999999997</v>
      </c>
      <c r="O11" s="212">
        <f t="shared" ref="O11:O74" si="1" xml:space="preserve"> (M11-N11)</f>
        <v>1044</v>
      </c>
      <c r="P11" s="213">
        <v>2</v>
      </c>
      <c r="Q11" s="21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75"/>
      <c r="J12" s="210"/>
      <c r="K12" s="209"/>
      <c r="L12" s="210"/>
      <c r="M12" s="211"/>
      <c r="N12" s="211"/>
      <c r="O12" s="212">
        <f t="shared" si="1"/>
        <v>0</v>
      </c>
      <c r="P12" s="213">
        <v>3</v>
      </c>
      <c r="Q12" s="214">
        <v>3</v>
      </c>
      <c r="R12" s="124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25</v>
      </c>
      <c r="I13" s="75">
        <v>8</v>
      </c>
      <c r="J13" s="210">
        <v>11</v>
      </c>
      <c r="K13" s="209">
        <v>11</v>
      </c>
      <c r="L13" s="210">
        <v>11</v>
      </c>
      <c r="M13" s="211">
        <f>272.84+2699.54+4096.17</f>
        <v>7068.55</v>
      </c>
      <c r="N13" s="211">
        <f>272.84+2699.54+4096.17</f>
        <v>7068.55</v>
      </c>
      <c r="O13" s="212">
        <f t="shared" si="1"/>
        <v>0</v>
      </c>
      <c r="P13" s="213">
        <v>5</v>
      </c>
      <c r="Q13" s="214">
        <v>5</v>
      </c>
      <c r="R13" s="124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30</v>
      </c>
      <c r="I14" s="75">
        <v>18</v>
      </c>
      <c r="J14" s="210">
        <v>20</v>
      </c>
      <c r="K14" s="209">
        <v>19</v>
      </c>
      <c r="L14" s="210">
        <v>18</v>
      </c>
      <c r="M14" s="211">
        <f>4932.74+3257.04+137+2487.39</f>
        <v>10814.169999999998</v>
      </c>
      <c r="N14" s="211">
        <f>4932.74+3257.04</f>
        <v>8189.78</v>
      </c>
      <c r="O14" s="212">
        <f t="shared" si="1"/>
        <v>2624.3899999999985</v>
      </c>
      <c r="P14" s="213">
        <v>7</v>
      </c>
      <c r="Q14" s="214">
        <v>7</v>
      </c>
      <c r="R14" s="124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27</v>
      </c>
      <c r="I15" s="75">
        <v>17</v>
      </c>
      <c r="J15" s="210">
        <v>23</v>
      </c>
      <c r="K15" s="209">
        <v>23</v>
      </c>
      <c r="L15" s="210">
        <v>23</v>
      </c>
      <c r="M15" s="211">
        <f>16942.87+1278.76</f>
        <v>18221.629999999997</v>
      </c>
      <c r="N15" s="211">
        <f>16942.87+1278.76</f>
        <v>18221.629999999997</v>
      </c>
      <c r="O15" s="212">
        <f t="shared" si="1"/>
        <v>0</v>
      </c>
      <c r="P15" s="213">
        <v>13</v>
      </c>
      <c r="Q15" s="214">
        <v>13</v>
      </c>
      <c r="R15" s="124">
        <v>13</v>
      </c>
      <c r="S15" s="97">
        <v>13813.9</v>
      </c>
      <c r="T15" s="97">
        <v>13813.9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75"/>
      <c r="J16" s="210"/>
      <c r="K16" s="209"/>
      <c r="L16" s="210"/>
      <c r="M16" s="211"/>
      <c r="N16" s="211"/>
      <c r="O16" s="212">
        <f t="shared" si="1"/>
        <v>0</v>
      </c>
      <c r="P16" s="213"/>
      <c r="Q16" s="214"/>
      <c r="R16" s="124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28</v>
      </c>
      <c r="I17" s="75">
        <v>12</v>
      </c>
      <c r="J17" s="210">
        <v>15</v>
      </c>
      <c r="K17" s="209">
        <v>15</v>
      </c>
      <c r="L17" s="210">
        <v>14</v>
      </c>
      <c r="M17" s="211">
        <f>7235.14+4416.12+1559.66</f>
        <v>13210.92</v>
      </c>
      <c r="N17" s="211">
        <f>7235.14+4416.12+1559.66</f>
        <v>13210.92</v>
      </c>
      <c r="O17" s="212">
        <f t="shared" si="1"/>
        <v>0</v>
      </c>
      <c r="P17" s="213">
        <v>1</v>
      </c>
      <c r="Q17" s="214">
        <v>1</v>
      </c>
      <c r="R17" s="124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30</v>
      </c>
      <c r="I18" s="75">
        <v>6</v>
      </c>
      <c r="J18" s="210">
        <v>14</v>
      </c>
      <c r="K18" s="210">
        <v>14</v>
      </c>
      <c r="L18" s="210">
        <v>6</v>
      </c>
      <c r="M18" s="211">
        <f>2118.92+12936.58</f>
        <v>15055.5</v>
      </c>
      <c r="N18" s="211">
        <v>2118.92</v>
      </c>
      <c r="O18" s="212">
        <f t="shared" si="1"/>
        <v>12936.58</v>
      </c>
      <c r="P18" s="213">
        <v>6</v>
      </c>
      <c r="Q18" s="215">
        <v>6</v>
      </c>
      <c r="R18" s="124">
        <v>6</v>
      </c>
      <c r="S18" s="97">
        <f>14748.55+934.31</f>
        <v>15682.859999999999</v>
      </c>
      <c r="T18" s="97">
        <v>14748.55</v>
      </c>
      <c r="U18" s="97">
        <f t="shared" si="2"/>
        <v>934.30999999999949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26</v>
      </c>
      <c r="I19" s="75">
        <v>13</v>
      </c>
      <c r="J19" s="210">
        <v>24</v>
      </c>
      <c r="K19" s="209">
        <v>23</v>
      </c>
      <c r="L19" s="210">
        <v>23</v>
      </c>
      <c r="M19" s="211">
        <f>5345.36+3385.2+4242.79+7468.83</f>
        <v>20442.18</v>
      </c>
      <c r="N19" s="211">
        <f>5345.36+3385.2+4242.79</f>
        <v>12973.349999999999</v>
      </c>
      <c r="O19" s="212">
        <f t="shared" si="1"/>
        <v>7468.8300000000017</v>
      </c>
      <c r="P19" s="213">
        <v>15</v>
      </c>
      <c r="Q19" s="214">
        <v>15</v>
      </c>
      <c r="R19" s="124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31</v>
      </c>
      <c r="I20" s="75">
        <v>17</v>
      </c>
      <c r="J20" s="210">
        <v>19</v>
      </c>
      <c r="K20" s="210">
        <v>19</v>
      </c>
      <c r="L20" s="210">
        <v>17</v>
      </c>
      <c r="M20" s="211">
        <f>5728.14+3727.02+315.94+2507.59+652.5</f>
        <v>12931.19</v>
      </c>
      <c r="N20" s="211">
        <f>5728.14+3727.02+315.94</f>
        <v>9771.1</v>
      </c>
      <c r="O20" s="212">
        <f t="shared" si="1"/>
        <v>3160.09</v>
      </c>
      <c r="P20" s="213">
        <v>26</v>
      </c>
      <c r="Q20" s="215">
        <v>26</v>
      </c>
      <c r="R20" s="124">
        <v>25</v>
      </c>
      <c r="S20" s="97">
        <f>36404.57+1488.24+1902.09</f>
        <v>39794.899999999994</v>
      </c>
      <c r="T20" s="97">
        <f>36404.57+1488.24</f>
        <v>37892.81</v>
      </c>
      <c r="U20" s="97">
        <f t="shared" si="2"/>
        <v>1902.0899999999965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17</v>
      </c>
      <c r="I21" s="75">
        <v>7</v>
      </c>
      <c r="J21" s="210">
        <v>10</v>
      </c>
      <c r="K21" s="209">
        <v>10</v>
      </c>
      <c r="L21" s="210">
        <v>10</v>
      </c>
      <c r="M21" s="211">
        <f>3586.84+1791.4+1337.88+413.4</f>
        <v>7129.5199999999995</v>
      </c>
      <c r="N21" s="211">
        <f>3586.84+1791.4+1337.88</f>
        <v>6716.12</v>
      </c>
      <c r="O21" s="212">
        <f t="shared" si="1"/>
        <v>413.39999999999964</v>
      </c>
      <c r="P21" s="213">
        <v>6</v>
      </c>
      <c r="Q21" s="214">
        <v>6</v>
      </c>
      <c r="R21" s="124">
        <v>6</v>
      </c>
      <c r="S21" s="97">
        <f>7288.02+447.62+2487.39</f>
        <v>10223.030000000001</v>
      </c>
      <c r="T21" s="97">
        <f>7288.02+447.62</f>
        <v>7735.64</v>
      </c>
      <c r="U21" s="97">
        <f t="shared" si="2"/>
        <v>2487.3900000000003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94</v>
      </c>
      <c r="I22" s="75">
        <v>44</v>
      </c>
      <c r="J22" s="210">
        <v>43</v>
      </c>
      <c r="K22" s="210">
        <v>43</v>
      </c>
      <c r="L22" s="210">
        <v>42</v>
      </c>
      <c r="M22" s="211">
        <f>19787.02+2513.73+2255.05+12081.39</f>
        <v>36637.19</v>
      </c>
      <c r="N22" s="211">
        <f>19787.02+2513.73</f>
        <v>22300.75</v>
      </c>
      <c r="O22" s="212">
        <f t="shared" si="1"/>
        <v>14336.440000000002</v>
      </c>
      <c r="P22" s="213">
        <v>22</v>
      </c>
      <c r="Q22" s="215">
        <v>20</v>
      </c>
      <c r="R22" s="124">
        <v>20</v>
      </c>
      <c r="S22" s="97">
        <v>24103.23</v>
      </c>
      <c r="T22" s="97">
        <v>24103.23</v>
      </c>
      <c r="U22" s="97">
        <f t="shared" si="2"/>
        <v>0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14</v>
      </c>
      <c r="I23" s="75">
        <v>10</v>
      </c>
      <c r="J23" s="210">
        <v>11</v>
      </c>
      <c r="K23" s="209">
        <v>11</v>
      </c>
      <c r="L23" s="210">
        <v>11</v>
      </c>
      <c r="M23" s="211">
        <f>5739.04+1828.05+1440.72+631.62+564.05</f>
        <v>10203.48</v>
      </c>
      <c r="N23" s="211">
        <f>5739.04+1828.05+1440.72</f>
        <v>9007.81</v>
      </c>
      <c r="O23" s="212">
        <f t="shared" si="1"/>
        <v>1195.67</v>
      </c>
      <c r="P23" s="213">
        <v>11</v>
      </c>
      <c r="Q23" s="214">
        <v>11</v>
      </c>
      <c r="R23" s="124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18</v>
      </c>
      <c r="I24" s="75">
        <v>11</v>
      </c>
      <c r="J24" s="210">
        <v>15</v>
      </c>
      <c r="K24" s="209">
        <v>15</v>
      </c>
      <c r="L24" s="210">
        <v>15</v>
      </c>
      <c r="M24" s="211">
        <f>1515.11+3525.12</f>
        <v>5040.2299999999996</v>
      </c>
      <c r="N24" s="211">
        <f>1515.11+3525.12</f>
        <v>5040.2299999999996</v>
      </c>
      <c r="O24" s="212">
        <f t="shared" si="1"/>
        <v>0</v>
      </c>
      <c r="P24" s="213">
        <v>8</v>
      </c>
      <c r="Q24" s="214">
        <v>7</v>
      </c>
      <c r="R24" s="124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26</v>
      </c>
      <c r="I25" s="75">
        <v>9</v>
      </c>
      <c r="J25" s="210">
        <v>26</v>
      </c>
      <c r="K25" s="210">
        <v>26</v>
      </c>
      <c r="L25" s="210">
        <v>23</v>
      </c>
      <c r="M25" s="211">
        <f>9005.69+15068.32</f>
        <v>24074.010000000002</v>
      </c>
      <c r="N25" s="211">
        <f>9005.69+15068.32</f>
        <v>24074.010000000002</v>
      </c>
      <c r="O25" s="212">
        <f t="shared" si="1"/>
        <v>0</v>
      </c>
      <c r="P25" s="213">
        <v>21</v>
      </c>
      <c r="Q25" s="215">
        <v>21</v>
      </c>
      <c r="R25" s="124">
        <v>20</v>
      </c>
      <c r="S25" s="97">
        <v>24213.05</v>
      </c>
      <c r="T25" s="97">
        <v>24213.05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75">
        <v>8</v>
      </c>
      <c r="J26" s="210">
        <v>13</v>
      </c>
      <c r="K26" s="209">
        <v>13</v>
      </c>
      <c r="L26" s="210">
        <v>13</v>
      </c>
      <c r="M26" s="211">
        <f>3777.1+6399.51</f>
        <v>10176.61</v>
      </c>
      <c r="N26" s="211">
        <f>3777.1+6399.51</f>
        <v>10176.61</v>
      </c>
      <c r="O26" s="212">
        <f t="shared" si="1"/>
        <v>0</v>
      </c>
      <c r="P26" s="213">
        <v>10</v>
      </c>
      <c r="Q26" s="214">
        <v>10</v>
      </c>
      <c r="R26" s="124">
        <v>10</v>
      </c>
      <c r="S26" s="97">
        <v>3386.7</v>
      </c>
      <c r="T26" s="97">
        <v>3386.7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26</v>
      </c>
      <c r="I27" s="75">
        <v>16</v>
      </c>
      <c r="J27" s="210">
        <v>28</v>
      </c>
      <c r="K27" s="209">
        <v>28</v>
      </c>
      <c r="L27" s="210">
        <v>25</v>
      </c>
      <c r="M27" s="211">
        <f>6801.73+4254.18+3948.81+757.9</f>
        <v>15762.619999999999</v>
      </c>
      <c r="N27" s="211">
        <f>6801.73+4254.18+3948.81</f>
        <v>15004.72</v>
      </c>
      <c r="O27" s="212">
        <f t="shared" si="1"/>
        <v>757.89999999999964</v>
      </c>
      <c r="P27" s="213">
        <v>14</v>
      </c>
      <c r="Q27" s="214">
        <v>14</v>
      </c>
      <c r="R27" s="124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75"/>
      <c r="J28" s="210"/>
      <c r="K28" s="209"/>
      <c r="L28" s="210"/>
      <c r="M28" s="211"/>
      <c r="N28" s="211"/>
      <c r="O28" s="212">
        <f t="shared" si="1"/>
        <v>0</v>
      </c>
      <c r="P28" s="213"/>
      <c r="Q28" s="214"/>
      <c r="R28" s="124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22</v>
      </c>
      <c r="I29" s="75">
        <v>18</v>
      </c>
      <c r="J29" s="210">
        <v>25</v>
      </c>
      <c r="K29" s="209">
        <v>25</v>
      </c>
      <c r="L29" s="210">
        <v>25</v>
      </c>
      <c r="M29" s="211">
        <f>7765.28+1107.91+3282.4+1320.23+1580.98</f>
        <v>15056.8</v>
      </c>
      <c r="N29" s="211">
        <f>7765.28+1107.91+3282.4+1320.23</f>
        <v>13475.82</v>
      </c>
      <c r="O29" s="212">
        <f t="shared" si="1"/>
        <v>1580.9799999999996</v>
      </c>
      <c r="P29" s="213">
        <v>14</v>
      </c>
      <c r="Q29" s="214">
        <v>14</v>
      </c>
      <c r="R29" s="124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29</v>
      </c>
      <c r="I30" s="75">
        <v>25</v>
      </c>
      <c r="J30" s="210">
        <v>32</v>
      </c>
      <c r="K30" s="210">
        <v>32</v>
      </c>
      <c r="L30" s="210">
        <v>28</v>
      </c>
      <c r="M30" s="211">
        <f>5246.17+4965.96+1939.12+3762.43+2342.38</f>
        <v>18256.060000000001</v>
      </c>
      <c r="N30" s="211">
        <f>5246.17+4965.96+1939.12</f>
        <v>12151.25</v>
      </c>
      <c r="O30" s="212">
        <f t="shared" si="1"/>
        <v>6104.8100000000013</v>
      </c>
      <c r="P30" s="213">
        <v>22</v>
      </c>
      <c r="Q30" s="215">
        <v>22</v>
      </c>
      <c r="R30" s="124">
        <v>22</v>
      </c>
      <c r="S30" s="97">
        <f>39414.6+4786.67+1562.33+638.43+2216.93</f>
        <v>48618.96</v>
      </c>
      <c r="T30" s="97">
        <f>39414.6+4786.67+1562.33+638.43</f>
        <v>46402.03</v>
      </c>
      <c r="U30" s="97">
        <f t="shared" si="2"/>
        <v>2216.9300000000003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75">
        <v>1</v>
      </c>
      <c r="J31" s="210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21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75"/>
      <c r="J32" s="210"/>
      <c r="K32" s="209"/>
      <c r="L32" s="210"/>
      <c r="M32" s="211"/>
      <c r="N32" s="211"/>
      <c r="O32" s="212">
        <f t="shared" si="1"/>
        <v>0</v>
      </c>
      <c r="P32" s="213"/>
      <c r="Q32" s="214"/>
      <c r="R32" s="124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11</v>
      </c>
      <c r="I33" s="75">
        <v>9</v>
      </c>
      <c r="J33" s="210">
        <v>11</v>
      </c>
      <c r="K33" s="209">
        <v>11</v>
      </c>
      <c r="L33" s="210">
        <v>11</v>
      </c>
      <c r="M33" s="211">
        <f>4065+2226.4+2915.4+290</f>
        <v>9496.7999999999993</v>
      </c>
      <c r="N33" s="211">
        <f>4065+2226.4+2915.4</f>
        <v>9206.7999999999993</v>
      </c>
      <c r="O33" s="212">
        <f t="shared" si="1"/>
        <v>290</v>
      </c>
      <c r="P33" s="213"/>
      <c r="Q33" s="214"/>
      <c r="R33" s="124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75">
        <v>14</v>
      </c>
      <c r="J34" s="210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11</v>
      </c>
      <c r="I35" s="75">
        <v>6</v>
      </c>
      <c r="J35" s="210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124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17</v>
      </c>
      <c r="I36" s="75">
        <v>10</v>
      </c>
      <c r="J36" s="210">
        <v>11</v>
      </c>
      <c r="K36" s="209">
        <v>11</v>
      </c>
      <c r="L36" s="210">
        <v>11</v>
      </c>
      <c r="M36" s="211">
        <f>2360+2665.25+2800.06</f>
        <v>7825.3099999999995</v>
      </c>
      <c r="N36" s="211">
        <f>2360+2665.25</f>
        <v>5025.25</v>
      </c>
      <c r="O36" s="212">
        <f t="shared" si="1"/>
        <v>2800.0599999999995</v>
      </c>
      <c r="P36" s="213">
        <v>6</v>
      </c>
      <c r="Q36" s="214">
        <v>6</v>
      </c>
      <c r="R36" s="124">
        <v>6</v>
      </c>
      <c r="S36" s="97">
        <f>1436.08+3433.93+5939.33+1723.52</f>
        <v>12532.86</v>
      </c>
      <c r="T36" s="97">
        <f>1436.08+3433.93+5939.33</f>
        <v>10809.34</v>
      </c>
      <c r="U36" s="97">
        <f t="shared" si="2"/>
        <v>1723.5200000000004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15</v>
      </c>
      <c r="I37" s="75">
        <v>11</v>
      </c>
      <c r="J37" s="210">
        <v>12</v>
      </c>
      <c r="K37" s="209">
        <v>12</v>
      </c>
      <c r="L37" s="210">
        <v>12</v>
      </c>
      <c r="M37" s="211">
        <f>4126.56+990.2+862.75+145+358.88</f>
        <v>6483.39</v>
      </c>
      <c r="N37" s="211">
        <f>4126.56+990.2+862.75</f>
        <v>5979.51</v>
      </c>
      <c r="O37" s="212">
        <f t="shared" si="1"/>
        <v>503.88000000000011</v>
      </c>
      <c r="P37" s="213">
        <v>2</v>
      </c>
      <c r="Q37" s="214">
        <v>1</v>
      </c>
      <c r="R37" s="124">
        <v>1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61</v>
      </c>
      <c r="I38" s="75">
        <v>31</v>
      </c>
      <c r="J38" s="210">
        <v>45</v>
      </c>
      <c r="K38" s="209">
        <v>45</v>
      </c>
      <c r="L38" s="210">
        <v>44</v>
      </c>
      <c r="M38" s="211">
        <f>18043.85+1739.74+12219.36+4084.73+2867.69+2388.56</f>
        <v>41343.93</v>
      </c>
      <c r="N38" s="211">
        <f>18043.85+1739.74+12219.36</f>
        <v>32002.95</v>
      </c>
      <c r="O38" s="212">
        <f t="shared" si="1"/>
        <v>9340.98</v>
      </c>
      <c r="P38" s="213">
        <v>20</v>
      </c>
      <c r="Q38" s="214">
        <v>20</v>
      </c>
      <c r="R38" s="124">
        <v>20</v>
      </c>
      <c r="S38" s="97">
        <f>22326.77+417.74+1031.26</f>
        <v>23775.77</v>
      </c>
      <c r="T38" s="97">
        <f>22326.77+417.74</f>
        <v>22744.510000000002</v>
      </c>
      <c r="U38" s="97">
        <f t="shared" si="2"/>
        <v>1031.2599999999984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26</v>
      </c>
      <c r="I39" s="75">
        <v>11</v>
      </c>
      <c r="J39" s="210">
        <v>13</v>
      </c>
      <c r="K39" s="209">
        <v>13</v>
      </c>
      <c r="L39" s="210">
        <v>13</v>
      </c>
      <c r="M39" s="211">
        <f>4309.67+3353.38+84.05+2832.72</f>
        <v>10579.82</v>
      </c>
      <c r="N39" s="211">
        <f>4309.67+3353.38+84.93</f>
        <v>7747.9800000000005</v>
      </c>
      <c r="O39" s="212">
        <f t="shared" si="1"/>
        <v>2831.8399999999992</v>
      </c>
      <c r="P39" s="213">
        <v>3</v>
      </c>
      <c r="Q39" s="214">
        <v>3</v>
      </c>
      <c r="R39" s="124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8</v>
      </c>
      <c r="I40" s="75">
        <v>5</v>
      </c>
      <c r="J40" s="210">
        <v>5</v>
      </c>
      <c r="K40" s="209">
        <v>5</v>
      </c>
      <c r="L40" s="210">
        <v>5</v>
      </c>
      <c r="M40" s="211">
        <v>5430.01</v>
      </c>
      <c r="N40" s="211">
        <v>5430.01</v>
      </c>
      <c r="O40" s="212">
        <f t="shared" si="1"/>
        <v>0</v>
      </c>
      <c r="P40" s="213">
        <v>4</v>
      </c>
      <c r="Q40" s="21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16</v>
      </c>
      <c r="I41" s="75">
        <v>9</v>
      </c>
      <c r="J41" s="210">
        <v>11</v>
      </c>
      <c r="K41" s="209">
        <v>11</v>
      </c>
      <c r="L41" s="210">
        <v>10</v>
      </c>
      <c r="M41" s="211">
        <f>4892.78+1033.5+545.69</f>
        <v>6471.9699999999993</v>
      </c>
      <c r="N41" s="211">
        <f>4892.78+1033.5</f>
        <v>5926.28</v>
      </c>
      <c r="O41" s="212">
        <f t="shared" si="1"/>
        <v>545.6899999999996</v>
      </c>
      <c r="P41" s="213">
        <v>4</v>
      </c>
      <c r="Q41" s="214">
        <v>4</v>
      </c>
      <c r="R41" s="124">
        <v>3</v>
      </c>
      <c r="S41" s="97">
        <f>1842.88</f>
        <v>1842.88</v>
      </c>
      <c r="T41" s="97">
        <f>1842.88</f>
        <v>1842.88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77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12</v>
      </c>
      <c r="I42" s="75">
        <v>6</v>
      </c>
      <c r="J42" s="210">
        <v>7</v>
      </c>
      <c r="K42" s="209">
        <v>7</v>
      </c>
      <c r="L42" s="210">
        <v>7</v>
      </c>
      <c r="M42" s="211">
        <f>5095.29+1605.75</f>
        <v>6701.04</v>
      </c>
      <c r="N42" s="211">
        <v>5095.29</v>
      </c>
      <c r="O42" s="212">
        <f t="shared" si="1"/>
        <v>1605.75</v>
      </c>
      <c r="P42" s="213">
        <v>5</v>
      </c>
      <c r="Q42" s="214">
        <v>5</v>
      </c>
      <c r="R42" s="124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17</v>
      </c>
      <c r="I43" s="75">
        <v>9</v>
      </c>
      <c r="J43" s="210">
        <v>11</v>
      </c>
      <c r="K43" s="209">
        <v>11</v>
      </c>
      <c r="L43" s="210">
        <v>11</v>
      </c>
      <c r="M43" s="211">
        <f>1949.94+11241.95+1670.56+979+622.78</f>
        <v>16464.23</v>
      </c>
      <c r="N43" s="211">
        <f>1949.94+11241.95+1670.56+979</f>
        <v>15841.45</v>
      </c>
      <c r="O43" s="212">
        <f t="shared" si="1"/>
        <v>622.77999999999884</v>
      </c>
      <c r="P43" s="213">
        <v>7</v>
      </c>
      <c r="Q43" s="214">
        <v>6</v>
      </c>
      <c r="R43" s="124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9</v>
      </c>
      <c r="I44" s="75">
        <v>5</v>
      </c>
      <c r="J44" s="210">
        <v>10</v>
      </c>
      <c r="K44" s="209">
        <v>10</v>
      </c>
      <c r="L44" s="210">
        <v>10</v>
      </c>
      <c r="M44" s="211">
        <f>9600.95+145+2182.75+7980.88</f>
        <v>19909.580000000002</v>
      </c>
      <c r="N44" s="211">
        <f>9600.95+145</f>
        <v>9745.9500000000007</v>
      </c>
      <c r="O44" s="212">
        <f t="shared" si="1"/>
        <v>10163.630000000001</v>
      </c>
      <c r="P44" s="213">
        <v>7</v>
      </c>
      <c r="Q44" s="214">
        <v>7</v>
      </c>
      <c r="R44" s="124">
        <v>7</v>
      </c>
      <c r="S44" s="97">
        <f>3997.92+850.65+4367.7+2262.73</f>
        <v>11479</v>
      </c>
      <c r="T44" s="97">
        <f>3997.92+850.65+4367.7</f>
        <v>9216.27</v>
      </c>
      <c r="U44" s="97">
        <f t="shared" si="2"/>
        <v>2262.7299999999996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75"/>
      <c r="J45" s="210"/>
      <c r="K45" s="209"/>
      <c r="L45" s="210"/>
      <c r="M45" s="211"/>
      <c r="N45" s="211"/>
      <c r="O45" s="212">
        <f t="shared" si="1"/>
        <v>0</v>
      </c>
      <c r="P45" s="213"/>
      <c r="Q45" s="214"/>
      <c r="R45" s="124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13</v>
      </c>
      <c r="I46" s="75">
        <v>8</v>
      </c>
      <c r="J46" s="210">
        <v>9</v>
      </c>
      <c r="K46" s="209">
        <v>9</v>
      </c>
      <c r="L46" s="210">
        <v>9</v>
      </c>
      <c r="M46" s="211">
        <f>1290.6+2343.84</f>
        <v>3634.44</v>
      </c>
      <c r="N46" s="211">
        <f>1290.6</f>
        <v>1290.5999999999999</v>
      </c>
      <c r="O46" s="212">
        <f t="shared" si="1"/>
        <v>2343.84</v>
      </c>
      <c r="P46" s="213">
        <v>2</v>
      </c>
      <c r="Q46" s="214">
        <v>2</v>
      </c>
      <c r="R46" s="124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30</v>
      </c>
      <c r="I47" s="75">
        <v>20</v>
      </c>
      <c r="J47" s="210">
        <v>26</v>
      </c>
      <c r="K47" s="209">
        <v>26</v>
      </c>
      <c r="L47" s="210">
        <v>26</v>
      </c>
      <c r="M47" s="211">
        <f>9335.56+3507.6+826.8+2284.16</f>
        <v>15954.119999999999</v>
      </c>
      <c r="N47" s="211">
        <f>9335.56+3507.6+826.8</f>
        <v>13669.96</v>
      </c>
      <c r="O47" s="212">
        <f t="shared" si="1"/>
        <v>2284.16</v>
      </c>
      <c r="P47" s="213">
        <v>2</v>
      </c>
      <c r="Q47" s="214">
        <v>2</v>
      </c>
      <c r="R47" s="124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13</v>
      </c>
      <c r="I48" s="75">
        <v>6</v>
      </c>
      <c r="J48" s="210">
        <v>9</v>
      </c>
      <c r="K48" s="209">
        <v>9</v>
      </c>
      <c r="L48" s="210">
        <v>9</v>
      </c>
      <c r="M48" s="211">
        <f>8890.84+1828.05+435</f>
        <v>11153.89</v>
      </c>
      <c r="N48" s="211">
        <f>8890.84+1828.05</f>
        <v>10718.89</v>
      </c>
      <c r="O48" s="212">
        <f t="shared" si="1"/>
        <v>435</v>
      </c>
      <c r="P48" s="213">
        <v>3</v>
      </c>
      <c r="Q48" s="21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18</v>
      </c>
      <c r="I49" s="75">
        <v>9</v>
      </c>
      <c r="J49" s="210">
        <v>10</v>
      </c>
      <c r="K49" s="209">
        <v>10</v>
      </c>
      <c r="L49" s="210">
        <v>10</v>
      </c>
      <c r="M49" s="211">
        <f>1831.71+137.8+1816.78</f>
        <v>3786.29</v>
      </c>
      <c r="N49" s="211">
        <f>1831.71+137.8+1816.78</f>
        <v>3786.29</v>
      </c>
      <c r="O49" s="212">
        <f t="shared" si="1"/>
        <v>0</v>
      </c>
      <c r="P49" s="213">
        <v>9</v>
      </c>
      <c r="Q49" s="214">
        <v>9</v>
      </c>
      <c r="R49" s="124">
        <v>9</v>
      </c>
      <c r="S49" s="97">
        <f>8296.23+1378+5368</f>
        <v>15042.23</v>
      </c>
      <c r="T49" s="97">
        <f>8296.23+1378</f>
        <v>9674.23</v>
      </c>
      <c r="U49" s="97">
        <f t="shared" si="2"/>
        <v>5368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16</v>
      </c>
      <c r="I50" s="75">
        <v>12</v>
      </c>
      <c r="J50" s="210">
        <v>14</v>
      </c>
      <c r="K50" s="209">
        <v>14</v>
      </c>
      <c r="L50" s="210">
        <v>14</v>
      </c>
      <c r="M50" s="211">
        <f>8308.92+786.44+453+302</f>
        <v>9850.36</v>
      </c>
      <c r="N50" s="211">
        <f>8308.92+786.44+453+302</f>
        <v>9850.36</v>
      </c>
      <c r="O50" s="212">
        <f t="shared" si="1"/>
        <v>0</v>
      </c>
      <c r="P50" s="213">
        <v>6</v>
      </c>
      <c r="Q50" s="214">
        <v>6</v>
      </c>
      <c r="R50" s="124">
        <v>6</v>
      </c>
      <c r="S50" s="97">
        <f>2457.28+1725.6+5017.9</f>
        <v>9200.7799999999988</v>
      </c>
      <c r="T50" s="97">
        <f>2457.28+1725.6+5017.9</f>
        <v>9200.7799999999988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21</v>
      </c>
      <c r="I51" s="75">
        <v>10</v>
      </c>
      <c r="J51" s="210">
        <v>12</v>
      </c>
      <c r="K51" s="209">
        <v>12</v>
      </c>
      <c r="L51" s="210">
        <v>12</v>
      </c>
      <c r="M51" s="211">
        <f>5580.75+571.11+696.2+574.2+408.03</f>
        <v>7830.2899999999991</v>
      </c>
      <c r="N51" s="211">
        <f>5580.75+571.11+696.2+574.2</f>
        <v>7422.2599999999993</v>
      </c>
      <c r="O51" s="212">
        <f t="shared" si="1"/>
        <v>408.02999999999975</v>
      </c>
      <c r="P51" s="213">
        <v>1</v>
      </c>
      <c r="Q51" s="214">
        <v>1</v>
      </c>
      <c r="R51" s="124">
        <v>1</v>
      </c>
      <c r="S51" s="97"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17</v>
      </c>
      <c r="I52" s="75">
        <v>11</v>
      </c>
      <c r="J52" s="210">
        <v>14</v>
      </c>
      <c r="K52" s="209">
        <v>14</v>
      </c>
      <c r="L52" s="210">
        <v>13</v>
      </c>
      <c r="M52" s="211">
        <f>3782.6+430.65+1221.61+2194.55</f>
        <v>7629.41</v>
      </c>
      <c r="N52" s="211">
        <f>3782.6+430.65+1221.61</f>
        <v>5434.86</v>
      </c>
      <c r="O52" s="212">
        <f t="shared" si="1"/>
        <v>2194.5500000000002</v>
      </c>
      <c r="P52" s="213">
        <v>8</v>
      </c>
      <c r="Q52" s="214">
        <v>8</v>
      </c>
      <c r="R52" s="124">
        <v>8</v>
      </c>
      <c r="S52" s="97">
        <f>1535.39+1035.3+828.82+12756.45</f>
        <v>16155.960000000001</v>
      </c>
      <c r="T52" s="97">
        <f>1535.39+1035.3+828.82</f>
        <v>3399.51</v>
      </c>
      <c r="U52" s="97">
        <f t="shared" si="2"/>
        <v>12756.45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8</v>
      </c>
      <c r="I53" s="75">
        <v>3</v>
      </c>
      <c r="J53" s="210">
        <v>3</v>
      </c>
      <c r="K53" s="209">
        <v>3</v>
      </c>
      <c r="L53" s="210">
        <v>3</v>
      </c>
      <c r="M53" s="211">
        <f>1102.4+328.37</f>
        <v>1430.77</v>
      </c>
      <c r="N53" s="211">
        <v>1102.4000000000001</v>
      </c>
      <c r="O53" s="212">
        <f t="shared" si="1"/>
        <v>328.36999999999989</v>
      </c>
      <c r="P53" s="213">
        <v>2</v>
      </c>
      <c r="Q53" s="21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82</v>
      </c>
      <c r="I54" s="75">
        <v>63</v>
      </c>
      <c r="J54" s="210">
        <v>55</v>
      </c>
      <c r="K54" s="209">
        <v>55</v>
      </c>
      <c r="L54" s="210">
        <v>55</v>
      </c>
      <c r="M54" s="211">
        <f>12031.27+4728.85+7137.01+1218</f>
        <v>25115.130000000005</v>
      </c>
      <c r="N54" s="211">
        <f>12031.27+4728.85+7137.01</f>
        <v>23897.130000000005</v>
      </c>
      <c r="O54" s="212">
        <f t="shared" si="1"/>
        <v>1218</v>
      </c>
      <c r="P54" s="213">
        <v>17</v>
      </c>
      <c r="Q54" s="21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6</v>
      </c>
      <c r="I55" s="75">
        <v>2</v>
      </c>
      <c r="J55" s="210">
        <v>2</v>
      </c>
      <c r="K55" s="209">
        <v>2</v>
      </c>
      <c r="L55" s="210">
        <v>2</v>
      </c>
      <c r="M55" s="211">
        <v>5677.4</v>
      </c>
      <c r="N55" s="211">
        <v>5677.4</v>
      </c>
      <c r="O55" s="212">
        <f t="shared" si="1"/>
        <v>0</v>
      </c>
      <c r="P55" s="213">
        <v>3</v>
      </c>
      <c r="Q55" s="21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50</v>
      </c>
      <c r="I56" s="75">
        <v>30</v>
      </c>
      <c r="J56" s="210">
        <v>45</v>
      </c>
      <c r="K56" s="209">
        <v>45</v>
      </c>
      <c r="L56" s="210">
        <v>44</v>
      </c>
      <c r="M56" s="211">
        <f>13145.7+14183.3+726.22+3195.47+5181.98+1425.26+6804.83</f>
        <v>44662.76</v>
      </c>
      <c r="N56" s="211">
        <f>13145.7+14183.3+726.22+1428.26</f>
        <v>29483.48</v>
      </c>
      <c r="O56" s="212">
        <f t="shared" si="1"/>
        <v>15179.280000000002</v>
      </c>
      <c r="P56" s="213">
        <v>35</v>
      </c>
      <c r="Q56" s="214">
        <v>33</v>
      </c>
      <c r="R56" s="124">
        <v>31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75">
        <v>4</v>
      </c>
      <c r="J57" s="210">
        <v>4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214"/>
      <c r="R57" s="124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75"/>
      <c r="J58" s="210"/>
      <c r="K58" s="209"/>
      <c r="L58" s="210"/>
      <c r="M58" s="211"/>
      <c r="N58" s="211"/>
      <c r="O58" s="212">
        <f t="shared" si="1"/>
        <v>0</v>
      </c>
      <c r="P58" s="213">
        <v>1</v>
      </c>
      <c r="Q58" s="214">
        <v>1</v>
      </c>
      <c r="R58" s="124">
        <v>1</v>
      </c>
      <c r="S58" s="97">
        <v>548.1</v>
      </c>
      <c r="T58" s="97"/>
      <c r="U58" s="97">
        <f t="shared" si="2"/>
        <v>548.1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75"/>
      <c r="J59" s="210"/>
      <c r="K59" s="209"/>
      <c r="L59" s="210"/>
      <c r="M59" s="211"/>
      <c r="N59" s="211"/>
      <c r="O59" s="212">
        <f t="shared" si="1"/>
        <v>0</v>
      </c>
      <c r="P59" s="213"/>
      <c r="Q59" s="214"/>
      <c r="R59" s="124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40</v>
      </c>
      <c r="I60" s="75">
        <v>26</v>
      </c>
      <c r="J60" s="210">
        <v>40</v>
      </c>
      <c r="K60" s="209">
        <v>40</v>
      </c>
      <c r="L60" s="210">
        <v>40</v>
      </c>
      <c r="M60" s="211">
        <f>19657.67+3859.57+3638.88+11285.84+2356.7</f>
        <v>40798.659999999996</v>
      </c>
      <c r="N60" s="211">
        <f>19657.67+3859.57+3638.88</f>
        <v>27156.12</v>
      </c>
      <c r="O60" s="212">
        <f t="shared" si="1"/>
        <v>13642.539999999997</v>
      </c>
      <c r="P60" s="213">
        <v>6</v>
      </c>
      <c r="Q60" s="214">
        <v>6</v>
      </c>
      <c r="R60" s="124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23</v>
      </c>
      <c r="I61" s="75">
        <v>14</v>
      </c>
      <c r="J61" s="210">
        <v>14</v>
      </c>
      <c r="K61" s="209">
        <v>14</v>
      </c>
      <c r="L61" s="210">
        <v>11</v>
      </c>
      <c r="M61" s="211">
        <f>3986.21+989.8+3814.75+1492.92</f>
        <v>10283.68</v>
      </c>
      <c r="N61" s="211">
        <f>3986.21+989.8+3814.75</f>
        <v>8790.76</v>
      </c>
      <c r="O61" s="212">
        <f t="shared" si="1"/>
        <v>1492.92</v>
      </c>
      <c r="P61" s="213"/>
      <c r="Q61" s="214"/>
      <c r="R61" s="124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77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16</v>
      </c>
      <c r="I62" s="75">
        <v>11</v>
      </c>
      <c r="J62" s="210">
        <v>14</v>
      </c>
      <c r="K62" s="209">
        <v>14</v>
      </c>
      <c r="L62" s="210">
        <v>14</v>
      </c>
      <c r="M62" s="211">
        <f>1263.45+2111.32+5011.35+4260.64</f>
        <v>12646.760000000002</v>
      </c>
      <c r="N62" s="211">
        <f>1263.45+2111.32+5011.35</f>
        <v>8386.1200000000008</v>
      </c>
      <c r="O62" s="212">
        <f t="shared" si="1"/>
        <v>4260.6400000000012</v>
      </c>
      <c r="P62" s="213">
        <v>7</v>
      </c>
      <c r="Q62" s="214">
        <v>7</v>
      </c>
      <c r="R62" s="124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75"/>
      <c r="J63" s="210"/>
      <c r="K63" s="209"/>
      <c r="L63" s="210"/>
      <c r="M63" s="211"/>
      <c r="N63" s="211"/>
      <c r="O63" s="212">
        <f t="shared" si="1"/>
        <v>0</v>
      </c>
      <c r="P63" s="213">
        <v>29</v>
      </c>
      <c r="Q63" s="214">
        <v>29</v>
      </c>
      <c r="R63" s="124">
        <v>29</v>
      </c>
      <c r="S63" s="97">
        <f>9392.68+482.3+2027.39</f>
        <v>11902.369999999999</v>
      </c>
      <c r="T63" s="97">
        <f>9392.68+482.3</f>
        <v>9874.98</v>
      </c>
      <c r="U63" s="97">
        <f t="shared" si="2"/>
        <v>2027.3899999999994</v>
      </c>
      <c r="V63" s="161"/>
    </row>
    <row r="64" spans="1:40" ht="17.25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22</v>
      </c>
      <c r="I64" s="75">
        <v>13</v>
      </c>
      <c r="J64" s="210">
        <v>15</v>
      </c>
      <c r="K64" s="209">
        <v>15</v>
      </c>
      <c r="L64" s="210">
        <v>15</v>
      </c>
      <c r="M64" s="211">
        <f>6496.16+4335.01+2477.65</f>
        <v>13308.82</v>
      </c>
      <c r="N64" s="211">
        <f>6496.16+4335.01</f>
        <v>10831.17</v>
      </c>
      <c r="O64" s="212">
        <f t="shared" si="1"/>
        <v>2477.6499999999996</v>
      </c>
      <c r="P64" s="213">
        <v>10</v>
      </c>
      <c r="Q64" s="214">
        <v>10</v>
      </c>
      <c r="R64" s="124">
        <v>10</v>
      </c>
      <c r="S64" s="97">
        <v>6866.56</v>
      </c>
      <c r="T64" s="97">
        <v>6866.56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42</v>
      </c>
      <c r="I65" s="75">
        <v>38</v>
      </c>
      <c r="J65" s="210">
        <v>42</v>
      </c>
      <c r="K65" s="209">
        <v>42</v>
      </c>
      <c r="L65" s="210">
        <v>40</v>
      </c>
      <c r="M65" s="97">
        <f>21561.61+5719.7+1305+4149.27+2397.37+5906.18</f>
        <v>41039.130000000005</v>
      </c>
      <c r="N65" s="211">
        <f>21561.61+5719.7+1305+4149.27</f>
        <v>32735.58</v>
      </c>
      <c r="O65" s="212">
        <f t="shared" si="1"/>
        <v>8303.5500000000029</v>
      </c>
      <c r="P65" s="213">
        <v>11</v>
      </c>
      <c r="Q65" s="214">
        <v>11</v>
      </c>
      <c r="R65" s="124">
        <v>10</v>
      </c>
      <c r="S65" s="97">
        <v>7456.7</v>
      </c>
      <c r="T65" s="97">
        <v>7456.7</v>
      </c>
      <c r="U65" s="97">
        <f t="shared" si="2"/>
        <v>0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75">
        <v>2</v>
      </c>
      <c r="J66" s="210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48</v>
      </c>
      <c r="I67" s="75">
        <v>37</v>
      </c>
      <c r="J67" s="210">
        <v>43</v>
      </c>
      <c r="K67" s="209">
        <v>43</v>
      </c>
      <c r="L67" s="210">
        <v>41</v>
      </c>
      <c r="M67" s="211">
        <f>19710.93+7009.96+ 8900.54+165.98+1497.55</f>
        <v>37284.960000000006</v>
      </c>
      <c r="N67" s="211">
        <f>19710.93+7009.96+ 8900.54+165.98</f>
        <v>35787.410000000003</v>
      </c>
      <c r="O67" s="212">
        <f t="shared" si="1"/>
        <v>1497.5500000000029</v>
      </c>
      <c r="P67" s="213">
        <v>11</v>
      </c>
      <c r="Q67" s="214">
        <v>11</v>
      </c>
      <c r="R67" s="124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32</v>
      </c>
      <c r="I68" s="75">
        <v>26</v>
      </c>
      <c r="J68" s="210">
        <v>45</v>
      </c>
      <c r="K68" s="209">
        <v>45</v>
      </c>
      <c r="L68" s="210">
        <v>45</v>
      </c>
      <c r="M68" s="211">
        <f>18750.75+2683.13</f>
        <v>21433.88</v>
      </c>
      <c r="N68" s="211">
        <f>18750.75</f>
        <v>18750.75</v>
      </c>
      <c r="O68" s="212">
        <f t="shared" si="1"/>
        <v>2683.130000000001</v>
      </c>
      <c r="P68" s="213">
        <v>10</v>
      </c>
      <c r="Q68" s="214">
        <v>10</v>
      </c>
      <c r="R68" s="124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125</v>
      </c>
      <c r="E69" s="106" t="s">
        <v>126</v>
      </c>
      <c r="F69" s="170" t="s">
        <v>106</v>
      </c>
      <c r="G69" s="72" t="s">
        <v>188</v>
      </c>
      <c r="H69" s="77">
        <v>9</v>
      </c>
      <c r="I69" s="75">
        <v>5</v>
      </c>
      <c r="J69" s="210">
        <v>5</v>
      </c>
      <c r="K69" s="209">
        <v>5</v>
      </c>
      <c r="L69" s="210">
        <v>5</v>
      </c>
      <c r="M69" s="211">
        <f>2756+1240.2+1305</f>
        <v>5301.2</v>
      </c>
      <c r="N69" s="211">
        <f>2756+1240.2</f>
        <v>3996.2</v>
      </c>
      <c r="O69" s="212">
        <f t="shared" si="1"/>
        <v>1305</v>
      </c>
      <c r="P69" s="213"/>
      <c r="Q69" s="214"/>
      <c r="R69" s="124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12</v>
      </c>
      <c r="I70" s="75">
        <v>6</v>
      </c>
      <c r="J70" s="210">
        <v>6</v>
      </c>
      <c r="K70" s="209">
        <v>6</v>
      </c>
      <c r="L70" s="210">
        <v>6</v>
      </c>
      <c r="M70" s="211">
        <f>2039.44+3242.32+2027.39+3567</f>
        <v>10876.150000000001</v>
      </c>
      <c r="N70" s="211">
        <f>2039.44+3242.32</f>
        <v>5281.76</v>
      </c>
      <c r="O70" s="212">
        <f t="shared" si="1"/>
        <v>5594.3900000000012</v>
      </c>
      <c r="P70" s="213">
        <v>6</v>
      </c>
      <c r="Q70" s="214">
        <v>6</v>
      </c>
      <c r="R70" s="124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20</v>
      </c>
      <c r="I71" s="75">
        <v>15</v>
      </c>
      <c r="J71" s="210">
        <v>14</v>
      </c>
      <c r="K71" s="209">
        <v>14</v>
      </c>
      <c r="L71" s="210">
        <v>13</v>
      </c>
      <c r="M71" s="211">
        <f>2383.53+3781.9+7505.17+507.5</f>
        <v>14178.1</v>
      </c>
      <c r="N71" s="211">
        <f>2383.53+3781.9</f>
        <v>6165.43</v>
      </c>
      <c r="O71" s="212">
        <f t="shared" si="1"/>
        <v>8012.67</v>
      </c>
      <c r="P71" s="213">
        <v>24</v>
      </c>
      <c r="Q71" s="214">
        <v>23</v>
      </c>
      <c r="R71" s="124">
        <v>22</v>
      </c>
      <c r="S71" s="97">
        <v>52337.46</v>
      </c>
      <c r="T71" s="97">
        <v>52337.46</v>
      </c>
      <c r="U71" s="97">
        <f t="shared" si="2"/>
        <v>0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12</v>
      </c>
      <c r="I72" s="75">
        <v>6</v>
      </c>
      <c r="J72" s="210">
        <v>7</v>
      </c>
      <c r="K72" s="209">
        <v>7</v>
      </c>
      <c r="L72" s="210">
        <v>7</v>
      </c>
      <c r="M72" s="211">
        <f>4703.53+544.32+1960.26</f>
        <v>7208.11</v>
      </c>
      <c r="N72" s="211">
        <v>4703.53</v>
      </c>
      <c r="O72" s="212">
        <f t="shared" si="1"/>
        <v>2504.58</v>
      </c>
      <c r="P72" s="213">
        <v>7</v>
      </c>
      <c r="Q72" s="21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31</v>
      </c>
      <c r="I73" s="75">
        <v>23</v>
      </c>
      <c r="J73" s="210">
        <v>23</v>
      </c>
      <c r="K73" s="209">
        <v>23</v>
      </c>
      <c r="L73" s="210">
        <v>18</v>
      </c>
      <c r="M73" s="211">
        <f>2095.52+746.9+4941.1</f>
        <v>7783.52</v>
      </c>
      <c r="N73" s="211">
        <f>2095.52+746.9</f>
        <v>2842.42</v>
      </c>
      <c r="O73" s="212">
        <f t="shared" si="1"/>
        <v>4941.1000000000004</v>
      </c>
      <c r="P73" s="213">
        <v>6</v>
      </c>
      <c r="Q73" s="214">
        <v>6</v>
      </c>
      <c r="R73" s="124">
        <v>5</v>
      </c>
      <c r="S73" s="97">
        <f>1821.06+4580.19</f>
        <v>6401.25</v>
      </c>
      <c r="T73" s="97">
        <f>1821.06+4580.19</f>
        <v>6401.25</v>
      </c>
      <c r="U73" s="97">
        <f t="shared" si="2"/>
        <v>0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75"/>
      <c r="J74" s="210"/>
      <c r="K74" s="209"/>
      <c r="L74" s="210"/>
      <c r="M74" s="211"/>
      <c r="N74" s="211"/>
      <c r="O74" s="212">
        <f t="shared" si="1"/>
        <v>0</v>
      </c>
      <c r="P74" s="213">
        <v>1</v>
      </c>
      <c r="Q74" s="21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7</v>
      </c>
      <c r="I75" s="75">
        <v>5</v>
      </c>
      <c r="J75" s="210">
        <v>6</v>
      </c>
      <c r="K75" s="209">
        <v>6</v>
      </c>
      <c r="L75" s="210">
        <v>6</v>
      </c>
      <c r="M75" s="211">
        <f>275.6+741.36+14287.26</f>
        <v>15304.220000000001</v>
      </c>
      <c r="N75" s="211">
        <f>275.6+741.36+14287.26</f>
        <v>15304.220000000001</v>
      </c>
      <c r="O75" s="212">
        <f t="shared" ref="O75:O104" si="4" xml:space="preserve"> (M75-N75)</f>
        <v>0</v>
      </c>
      <c r="P75" s="213">
        <v>3</v>
      </c>
      <c r="Q75" s="214">
        <v>3</v>
      </c>
      <c r="R75" s="124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26</v>
      </c>
      <c r="I76" s="75">
        <v>18</v>
      </c>
      <c r="J76" s="210">
        <v>26</v>
      </c>
      <c r="K76" s="209">
        <v>26</v>
      </c>
      <c r="L76" s="210">
        <v>26</v>
      </c>
      <c r="M76" s="211">
        <f>11803.63+1320.23+3132.15+12104.63+822.42</f>
        <v>29183.059999999998</v>
      </c>
      <c r="N76" s="211">
        <f>11803.63+1320.23+3132.15</f>
        <v>16256.009999999998</v>
      </c>
      <c r="O76" s="212">
        <f t="shared" si="4"/>
        <v>12927.05</v>
      </c>
      <c r="P76" s="213">
        <v>5</v>
      </c>
      <c r="Q76" s="214">
        <v>5</v>
      </c>
      <c r="R76" s="124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20</v>
      </c>
      <c r="I77" s="75">
        <v>11</v>
      </c>
      <c r="J77" s="210">
        <v>12</v>
      </c>
      <c r="K77" s="209">
        <v>12</v>
      </c>
      <c r="L77" s="210">
        <v>12</v>
      </c>
      <c r="M77" s="97">
        <f>4234.67+4498.63+1766.87+2083.87</f>
        <v>12584.039999999997</v>
      </c>
      <c r="N77" s="97">
        <f>4234.67+4498.63</f>
        <v>8733.2999999999993</v>
      </c>
      <c r="O77" s="212">
        <f t="shared" si="4"/>
        <v>3850.739999999998</v>
      </c>
      <c r="P77" s="213"/>
      <c r="Q77" s="214"/>
      <c r="R77" s="124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80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75"/>
      <c r="J78" s="210"/>
      <c r="K78" s="209"/>
      <c r="L78" s="210"/>
      <c r="M78" s="211"/>
      <c r="N78" s="211"/>
      <c r="O78" s="212">
        <f t="shared" si="4"/>
        <v>0</v>
      </c>
      <c r="P78" s="213">
        <v>8</v>
      </c>
      <c r="Q78" s="21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19</v>
      </c>
      <c r="I79" s="75">
        <v>15</v>
      </c>
      <c r="J79" s="210">
        <v>21</v>
      </c>
      <c r="K79" s="209">
        <v>21</v>
      </c>
      <c r="L79" s="210">
        <v>21</v>
      </c>
      <c r="M79" s="211">
        <f>8913.81+7027.61+1244.33+15395.91+4278.3</f>
        <v>36859.96</v>
      </c>
      <c r="N79" s="211">
        <f>8913.81+7027.61+1244.33+15395.91</f>
        <v>32581.66</v>
      </c>
      <c r="O79" s="212">
        <f t="shared" si="4"/>
        <v>4278.2999999999993</v>
      </c>
      <c r="P79" s="213">
        <v>4</v>
      </c>
      <c r="Q79" s="214">
        <v>4</v>
      </c>
      <c r="R79" s="124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17</v>
      </c>
      <c r="I80" s="75">
        <v>14</v>
      </c>
      <c r="J80" s="210">
        <v>20</v>
      </c>
      <c r="K80" s="209">
        <v>20</v>
      </c>
      <c r="L80" s="210">
        <v>20</v>
      </c>
      <c r="M80" s="211">
        <f>14959.64+7384.39+14758.51</f>
        <v>37102.54</v>
      </c>
      <c r="N80" s="211">
        <f>14959.64+7384.39</f>
        <v>22344.03</v>
      </c>
      <c r="O80" s="212">
        <f t="shared" si="4"/>
        <v>14758.510000000002</v>
      </c>
      <c r="P80" s="213">
        <v>9</v>
      </c>
      <c r="Q80" s="214">
        <v>9</v>
      </c>
      <c r="R80" s="124">
        <v>9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3</v>
      </c>
      <c r="I81" s="75"/>
      <c r="J81" s="210"/>
      <c r="K81" s="209"/>
      <c r="L81" s="210"/>
      <c r="M81" s="211"/>
      <c r="N81" s="211"/>
      <c r="O81" s="212">
        <f t="shared" si="4"/>
        <v>0</v>
      </c>
      <c r="P81" s="213">
        <v>1</v>
      </c>
      <c r="Q81" s="214">
        <v>1</v>
      </c>
      <c r="R81" s="124">
        <v>1</v>
      </c>
      <c r="S81" s="97">
        <v>2673.24</v>
      </c>
      <c r="T81" s="97"/>
      <c r="U81" s="97">
        <f t="shared" si="5"/>
        <v>2673.24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18</v>
      </c>
      <c r="I82" s="75">
        <v>14</v>
      </c>
      <c r="J82" s="210">
        <v>15</v>
      </c>
      <c r="K82" s="209">
        <v>15</v>
      </c>
      <c r="L82" s="210">
        <v>15</v>
      </c>
      <c r="M82" s="211">
        <f>2626.75+8084.46+600.05+7445.83</f>
        <v>18757.089999999997</v>
      </c>
      <c r="N82" s="211">
        <f>2626.75+8084.46+600.05</f>
        <v>11311.259999999998</v>
      </c>
      <c r="O82" s="212">
        <f t="shared" si="4"/>
        <v>7445.8299999999981</v>
      </c>
      <c r="P82" s="213">
        <v>9</v>
      </c>
      <c r="Q82" s="214">
        <v>9</v>
      </c>
      <c r="R82" s="124">
        <v>9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19</v>
      </c>
      <c r="I83" s="75">
        <v>13</v>
      </c>
      <c r="J83" s="210">
        <v>22</v>
      </c>
      <c r="K83" s="209">
        <v>22</v>
      </c>
      <c r="L83" s="210">
        <v>19</v>
      </c>
      <c r="M83" s="211">
        <f>11232.31+3440.1+14435.12-1360.99</f>
        <v>27746.539999999997</v>
      </c>
      <c r="N83" s="211">
        <f>11232.31+3440.1+14435.12-1360.99</f>
        <v>27746.539999999997</v>
      </c>
      <c r="O83" s="212">
        <f t="shared" si="4"/>
        <v>0</v>
      </c>
      <c r="P83" s="213">
        <v>9</v>
      </c>
      <c r="Q83" s="214">
        <v>7</v>
      </c>
      <c r="R83" s="124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17</v>
      </c>
      <c r="I84" s="75">
        <v>12</v>
      </c>
      <c r="J84" s="210">
        <v>18</v>
      </c>
      <c r="K84" s="209">
        <v>18</v>
      </c>
      <c r="L84" s="210">
        <v>14</v>
      </c>
      <c r="M84" s="211">
        <f>5429.56+2272.28+2029.9+2976.46</f>
        <v>12708.2</v>
      </c>
      <c r="N84" s="211">
        <f>5429.56+2272.28+2029.9</f>
        <v>9731.74</v>
      </c>
      <c r="O84" s="212">
        <f t="shared" si="4"/>
        <v>2976.4600000000009</v>
      </c>
      <c r="P84" s="213">
        <v>1</v>
      </c>
      <c r="Q84" s="21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32</v>
      </c>
      <c r="I85" s="75">
        <v>27</v>
      </c>
      <c r="J85" s="210">
        <v>49</v>
      </c>
      <c r="K85" s="209">
        <v>49</v>
      </c>
      <c r="L85" s="210">
        <v>47</v>
      </c>
      <c r="M85" s="211">
        <f>15506.09+4089.12+1924.78+1267.55+6546.86+1962.04+654.22</f>
        <v>31950.66</v>
      </c>
      <c r="N85" s="211">
        <f>15506.09+4089.12+1924.78+1267.55</f>
        <v>22787.539999999997</v>
      </c>
      <c r="O85" s="212">
        <f t="shared" si="4"/>
        <v>9163.1200000000026</v>
      </c>
      <c r="P85" s="213">
        <v>6</v>
      </c>
      <c r="Q85" s="21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12</v>
      </c>
      <c r="I86" s="75">
        <v>6</v>
      </c>
      <c r="J86" s="210">
        <v>7</v>
      </c>
      <c r="K86" s="209">
        <v>7</v>
      </c>
      <c r="L86" s="210">
        <v>4</v>
      </c>
      <c r="M86" s="211">
        <v>1956.76</v>
      </c>
      <c r="N86" s="211">
        <v>1956.76</v>
      </c>
      <c r="O86" s="212">
        <f t="shared" si="4"/>
        <v>0</v>
      </c>
      <c r="P86" s="213">
        <v>2</v>
      </c>
      <c r="Q86" s="21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100000000000001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8</v>
      </c>
      <c r="I87" s="75">
        <v>6</v>
      </c>
      <c r="J87" s="210">
        <v>6</v>
      </c>
      <c r="K87" s="209">
        <v>7</v>
      </c>
      <c r="L87" s="210">
        <v>6</v>
      </c>
      <c r="M87" s="211">
        <f>795.8+4099.92+1305</f>
        <v>6200.72</v>
      </c>
      <c r="N87" s="211">
        <f>795.8+4099.92+1305</f>
        <v>6200.72</v>
      </c>
      <c r="O87" s="212">
        <f t="shared" si="4"/>
        <v>0</v>
      </c>
      <c r="P87" s="213">
        <v>5</v>
      </c>
      <c r="Q87" s="214">
        <v>4</v>
      </c>
      <c r="R87" s="124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75"/>
      <c r="J88" s="210"/>
      <c r="K88" s="209"/>
      <c r="L88" s="210"/>
      <c r="M88" s="211"/>
      <c r="N88" s="211"/>
      <c r="O88" s="212">
        <f t="shared" si="4"/>
        <v>0</v>
      </c>
      <c r="P88" s="213">
        <v>6</v>
      </c>
      <c r="Q88" s="21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11</v>
      </c>
      <c r="I89" s="75">
        <v>7</v>
      </c>
      <c r="J89" s="210">
        <v>8</v>
      </c>
      <c r="K89" s="209">
        <v>8</v>
      </c>
      <c r="L89" s="210">
        <v>8</v>
      </c>
      <c r="M89" s="211">
        <f>2874.33+1509.2+1943</f>
        <v>6326.53</v>
      </c>
      <c r="N89" s="211">
        <f>2874.33+1509.2</f>
        <v>4383.53</v>
      </c>
      <c r="O89" s="212">
        <f t="shared" si="4"/>
        <v>1943</v>
      </c>
      <c r="P89" s="213">
        <v>5</v>
      </c>
      <c r="Q89" s="214">
        <v>5</v>
      </c>
      <c r="R89" s="124">
        <v>5</v>
      </c>
      <c r="S89" s="97">
        <f>8161.92+1118.75+3779.58</f>
        <v>13060.25</v>
      </c>
      <c r="T89" s="97">
        <f>8161.92+1118.75+3779.58</f>
        <v>13060.25</v>
      </c>
      <c r="U89" s="97">
        <f t="shared" si="5"/>
        <v>0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40</v>
      </c>
      <c r="I90" s="75">
        <v>37</v>
      </c>
      <c r="J90" s="210">
        <v>55</v>
      </c>
      <c r="K90" s="209">
        <v>55</v>
      </c>
      <c r="L90" s="210">
        <v>55</v>
      </c>
      <c r="M90" s="211">
        <f>14303.46+6714.67+1828.05+13505.93+582.9</f>
        <v>36935.01</v>
      </c>
      <c r="N90" s="211">
        <f>14303.46+6714.67+1828.05</f>
        <v>22846.179999999997</v>
      </c>
      <c r="O90" s="212">
        <f t="shared" si="4"/>
        <v>14088.830000000005</v>
      </c>
      <c r="P90" s="213">
        <v>8</v>
      </c>
      <c r="Q90" s="214">
        <v>8</v>
      </c>
      <c r="R90" s="124">
        <v>8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22</v>
      </c>
      <c r="I91" s="75">
        <v>12</v>
      </c>
      <c r="J91" s="210">
        <v>18</v>
      </c>
      <c r="K91" s="209">
        <v>18</v>
      </c>
      <c r="L91" s="210">
        <v>18</v>
      </c>
      <c r="M91" s="211">
        <f>5384.83+3572.76</f>
        <v>8957.59</v>
      </c>
      <c r="N91" s="211">
        <v>5384.83</v>
      </c>
      <c r="O91" s="212">
        <f t="shared" si="4"/>
        <v>3572.76</v>
      </c>
      <c r="P91" s="213">
        <v>7</v>
      </c>
      <c r="Q91" s="214">
        <v>7</v>
      </c>
      <c r="R91" s="124">
        <v>7</v>
      </c>
      <c r="S91" s="97">
        <f>6219.66+748.35+1502.94</f>
        <v>8470.9500000000007</v>
      </c>
      <c r="T91" s="97">
        <f>6219.66+748.35</f>
        <v>6968.01</v>
      </c>
      <c r="U91" s="97">
        <f t="shared" si="5"/>
        <v>1502.9400000000005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16</v>
      </c>
      <c r="I92" s="75">
        <v>14</v>
      </c>
      <c r="J92" s="210">
        <v>18</v>
      </c>
      <c r="K92" s="209">
        <v>18</v>
      </c>
      <c r="L92" s="210">
        <v>18</v>
      </c>
      <c r="M92" s="211">
        <f>2301.54+4352.56+3555.69+1798.94+1481.14+763.69+2342.6</f>
        <v>16596.16</v>
      </c>
      <c r="N92" s="211">
        <f>2301.54+4352.56+3555.69+1798.94</f>
        <v>12008.730000000001</v>
      </c>
      <c r="O92" s="212">
        <f t="shared" si="4"/>
        <v>4587.4299999999985</v>
      </c>
      <c r="P92" s="213">
        <v>1</v>
      </c>
      <c r="Q92" s="21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80</v>
      </c>
      <c r="I93" s="75">
        <v>51</v>
      </c>
      <c r="J93" s="210">
        <v>46</v>
      </c>
      <c r="K93" s="209">
        <v>46</v>
      </c>
      <c r="L93" s="210">
        <v>41</v>
      </c>
      <c r="M93" s="211">
        <f>14656.12+3543.47+2420.25+2112.66+1299.2</f>
        <v>24031.7</v>
      </c>
      <c r="N93" s="211">
        <f>14656.12+3543.47</f>
        <v>18199.59</v>
      </c>
      <c r="O93" s="212">
        <f t="shared" si="4"/>
        <v>5832.1100000000006</v>
      </c>
      <c r="P93" s="213">
        <v>10</v>
      </c>
      <c r="Q93" s="214">
        <v>9</v>
      </c>
      <c r="R93" s="124">
        <v>9</v>
      </c>
      <c r="S93" s="97">
        <f>11083.64+344.5</f>
        <v>11428.14</v>
      </c>
      <c r="T93" s="97">
        <v>11083.64</v>
      </c>
      <c r="U93" s="97">
        <f t="shared" si="5"/>
        <v>344.5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36</v>
      </c>
      <c r="I94" s="75">
        <v>17</v>
      </c>
      <c r="J94" s="210">
        <v>16</v>
      </c>
      <c r="K94" s="210">
        <v>16</v>
      </c>
      <c r="L94" s="210">
        <v>16</v>
      </c>
      <c r="M94" s="211">
        <f>6576.32+217.5+2898.52+939.6+1008.45</f>
        <v>11640.390000000001</v>
      </c>
      <c r="N94" s="211">
        <f>6576.32+217.5+2898.52</f>
        <v>9692.34</v>
      </c>
      <c r="O94" s="212">
        <f t="shared" si="4"/>
        <v>1948.0500000000011</v>
      </c>
      <c r="P94" s="213">
        <v>24</v>
      </c>
      <c r="Q94" s="215">
        <v>24</v>
      </c>
      <c r="R94" s="124">
        <v>23</v>
      </c>
      <c r="S94" s="97">
        <f>18253.04+4245.2+858.65+1546.26</f>
        <v>24903.15</v>
      </c>
      <c r="T94" s="97">
        <f>18253.04+4245.2+858.65</f>
        <v>23356.890000000003</v>
      </c>
      <c r="U94" s="97">
        <f t="shared" si="5"/>
        <v>1546.2599999999984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28</v>
      </c>
      <c r="I95" s="75">
        <v>13</v>
      </c>
      <c r="J95" s="210">
        <v>15</v>
      </c>
      <c r="K95" s="209">
        <v>15</v>
      </c>
      <c r="L95" s="210">
        <v>15</v>
      </c>
      <c r="M95" s="211">
        <f>2362.32+22110.36+455.21+2039.58+953.22+699.73</f>
        <v>28620.420000000002</v>
      </c>
      <c r="N95" s="211">
        <f>2362.32+22110.36+455.21+2039.58</f>
        <v>26967.47</v>
      </c>
      <c r="O95" s="212">
        <f t="shared" si="4"/>
        <v>1652.9500000000007</v>
      </c>
      <c r="P95" s="213">
        <v>16</v>
      </c>
      <c r="Q95" s="214">
        <v>16</v>
      </c>
      <c r="R95" s="124">
        <v>16</v>
      </c>
      <c r="S95" s="97">
        <f>24552.24+1001.28+122.46+1729.98</f>
        <v>27405.96</v>
      </c>
      <c r="T95" s="97">
        <f>24552.24+1001.28+122.46</f>
        <v>25675.98</v>
      </c>
      <c r="U95" s="97">
        <f t="shared" si="5"/>
        <v>1729.9799999999996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9</v>
      </c>
      <c r="I96" s="75">
        <v>7</v>
      </c>
      <c r="J96" s="210">
        <v>10</v>
      </c>
      <c r="K96" s="209">
        <v>10</v>
      </c>
      <c r="L96" s="210">
        <v>10</v>
      </c>
      <c r="M96" s="211">
        <f>826.8+2786.41+2401.3</f>
        <v>6014.51</v>
      </c>
      <c r="N96" s="211">
        <f>826.8+2786.41</f>
        <v>3613.21</v>
      </c>
      <c r="O96" s="212">
        <f t="shared" si="4"/>
        <v>2401.3000000000002</v>
      </c>
      <c r="P96" s="213"/>
      <c r="Q96" s="214"/>
      <c r="R96" s="124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75">
        <v>7</v>
      </c>
      <c r="J97" s="210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</f>
        <v>4629.18</v>
      </c>
      <c r="O97" s="212">
        <f t="shared" si="4"/>
        <v>380.63000000000011</v>
      </c>
      <c r="P97" s="213">
        <v>4</v>
      </c>
      <c r="Q97" s="21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16</v>
      </c>
      <c r="I98" s="75">
        <v>6</v>
      </c>
      <c r="J98" s="210">
        <v>6</v>
      </c>
      <c r="K98" s="209">
        <v>6</v>
      </c>
      <c r="L98" s="210">
        <v>6</v>
      </c>
      <c r="M98" s="211">
        <f>757.9+551.2+895.7+290</f>
        <v>2494.8000000000002</v>
      </c>
      <c r="N98" s="211">
        <f>757.9+551.2+895.7+290</f>
        <v>2494.8000000000002</v>
      </c>
      <c r="O98" s="212">
        <f t="shared" si="4"/>
        <v>0</v>
      </c>
      <c r="P98" s="213">
        <v>10</v>
      </c>
      <c r="Q98" s="214">
        <v>10</v>
      </c>
      <c r="R98" s="124">
        <v>10</v>
      </c>
      <c r="S98" s="97">
        <f>8034.56+3466.13</f>
        <v>11500.69</v>
      </c>
      <c r="T98" s="97">
        <v>8034.56</v>
      </c>
      <c r="U98" s="97">
        <f t="shared" si="5"/>
        <v>3466.13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24</v>
      </c>
      <c r="I99" s="75">
        <v>13</v>
      </c>
      <c r="J99" s="210">
        <v>14</v>
      </c>
      <c r="K99" s="209">
        <v>14</v>
      </c>
      <c r="L99" s="210">
        <v>14</v>
      </c>
      <c r="M99" s="211">
        <f>4782.23+1353.89+2195.41+1197.7+1340.79</f>
        <v>10870.02</v>
      </c>
      <c r="N99" s="211">
        <f>4782.23+1353.89+2195.41+1197.7</f>
        <v>9529.23</v>
      </c>
      <c r="O99" s="212">
        <f t="shared" si="4"/>
        <v>1340.7900000000009</v>
      </c>
      <c r="P99" s="213">
        <v>11</v>
      </c>
      <c r="Q99" s="214">
        <v>11</v>
      </c>
      <c r="R99" s="124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18</v>
      </c>
      <c r="I100" s="75">
        <v>12</v>
      </c>
      <c r="J100" s="210">
        <v>17</v>
      </c>
      <c r="K100" s="209">
        <v>17</v>
      </c>
      <c r="L100" s="210">
        <v>17</v>
      </c>
      <c r="M100" s="211">
        <f>10862.96+2375.03+5632.11</f>
        <v>18870.099999999999</v>
      </c>
      <c r="N100" s="211">
        <f>10862.96+2375.03+5632.11</f>
        <v>18870.099999999999</v>
      </c>
      <c r="O100" s="212">
        <f t="shared" si="4"/>
        <v>0</v>
      </c>
      <c r="P100" s="213">
        <v>10</v>
      </c>
      <c r="Q100" s="214">
        <v>10</v>
      </c>
      <c r="R100" s="124">
        <v>10</v>
      </c>
      <c r="S100" s="97">
        <v>4780.1000000000004</v>
      </c>
      <c r="T100" s="97">
        <v>4780.1000000000004</v>
      </c>
      <c r="U100" s="97">
        <f t="shared" si="5"/>
        <v>0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69</v>
      </c>
      <c r="I101" s="75">
        <v>37</v>
      </c>
      <c r="J101" s="210">
        <v>34</v>
      </c>
      <c r="K101" s="209">
        <v>34</v>
      </c>
      <c r="L101" s="210">
        <v>30</v>
      </c>
      <c r="M101" s="211">
        <f>16276.16+4466.66+1078.5+4011.53+435</f>
        <v>26267.85</v>
      </c>
      <c r="N101" s="211">
        <f>16276.16+4466.66+1078.5+4011.53</f>
        <v>25832.85</v>
      </c>
      <c r="O101" s="212">
        <f t="shared" si="4"/>
        <v>435</v>
      </c>
      <c r="P101" s="213">
        <v>34</v>
      </c>
      <c r="Q101" s="214">
        <v>34</v>
      </c>
      <c r="R101" s="124">
        <v>27</v>
      </c>
      <c r="S101" s="97">
        <f>21329.45-2252.12+532.3+345.99+26455.28+1.67</f>
        <v>46412.57</v>
      </c>
      <c r="T101" s="97">
        <f>21329.45-2252.12+532.3+345.98</f>
        <v>19955.61</v>
      </c>
      <c r="U101" s="97">
        <f t="shared" si="5"/>
        <v>26456.959999999999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9</v>
      </c>
      <c r="I102" s="114">
        <v>8</v>
      </c>
      <c r="J102" s="217">
        <v>11</v>
      </c>
      <c r="K102" s="216">
        <v>11</v>
      </c>
      <c r="L102" s="217">
        <v>11</v>
      </c>
      <c r="M102" s="218">
        <f>3259.83+1328.19+2964.21+8477.19</f>
        <v>16029.420000000002</v>
      </c>
      <c r="N102" s="218">
        <v>3259.83</v>
      </c>
      <c r="O102" s="212">
        <f t="shared" si="4"/>
        <v>12769.590000000002</v>
      </c>
      <c r="P102" s="219">
        <v>4</v>
      </c>
      <c r="Q102" s="220">
        <v>4</v>
      </c>
      <c r="R102" s="150">
        <v>4</v>
      </c>
      <c r="S102" s="147">
        <f>1193.3+5843.89</f>
        <v>7037.1900000000005</v>
      </c>
      <c r="T102" s="147">
        <v>1193.3</v>
      </c>
      <c r="U102" s="147">
        <f t="shared" si="5"/>
        <v>5843.89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16</v>
      </c>
      <c r="I103" s="75">
        <v>3</v>
      </c>
      <c r="J103" s="210">
        <v>3</v>
      </c>
      <c r="K103" s="209">
        <v>3</v>
      </c>
      <c r="L103" s="210">
        <v>3</v>
      </c>
      <c r="M103" s="211">
        <f>699.33+580</f>
        <v>1279.33</v>
      </c>
      <c r="N103" s="211">
        <f>699.33+580</f>
        <v>1279.33</v>
      </c>
      <c r="O103" s="212">
        <f t="shared" si="4"/>
        <v>0</v>
      </c>
      <c r="P103" s="215"/>
      <c r="Q103" s="214"/>
      <c r="R103" s="124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75">
        <v>2</v>
      </c>
      <c r="J104" s="210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214"/>
      <c r="R104" s="124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1945</v>
      </c>
      <c r="I105" s="119">
        <f t="shared" si="7"/>
        <v>1185</v>
      </c>
      <c r="J105" s="223">
        <f t="shared" si="7"/>
        <v>1493</v>
      </c>
      <c r="K105" s="222">
        <f t="shared" si="7"/>
        <v>1491</v>
      </c>
      <c r="L105" s="223">
        <f t="shared" si="7"/>
        <v>1428</v>
      </c>
      <c r="M105" s="224">
        <f t="shared" si="7"/>
        <v>1234399.07</v>
      </c>
      <c r="N105" s="224">
        <f t="shared" si="7"/>
        <v>964383.03000000014</v>
      </c>
      <c r="O105" s="224">
        <f t="shared" si="7"/>
        <v>270016.03999999998</v>
      </c>
      <c r="P105" s="225">
        <f t="shared" si="7"/>
        <v>719</v>
      </c>
      <c r="Q105" s="226">
        <f>SUM(Q10:Q104)</f>
        <v>705</v>
      </c>
      <c r="R105" s="152">
        <f>SUM(R11:R104)</f>
        <v>680</v>
      </c>
      <c r="S105" s="151">
        <f>SUM(S10:S104)</f>
        <v>927949.0299999998</v>
      </c>
      <c r="T105" s="151">
        <f>SUM(T10:T104)</f>
        <v>848569.16</v>
      </c>
      <c r="U105" s="151">
        <f>SUM(U10:U104)</f>
        <v>79379.869999999981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159">
        <f>M105+S105</f>
        <v>2162348.0999999996</v>
      </c>
      <c r="AG105" s="159">
        <f>N105+T105</f>
        <v>1812952.1900000002</v>
      </c>
      <c r="AH105" s="159">
        <f>O105+U105</f>
        <v>349395.91</v>
      </c>
    </row>
    <row r="106" spans="1:35" x14ac:dyDescent="0.25">
      <c r="V106" s="160"/>
      <c r="W106" s="159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</row>
    <row r="107" spans="1:35" x14ac:dyDescent="0.25">
      <c r="V107" s="145"/>
      <c r="W107" s="145"/>
      <c r="AF107" s="159"/>
      <c r="AG107" s="159"/>
      <c r="AH107" s="159"/>
      <c r="AI107" s="145"/>
    </row>
    <row r="108" spans="1:35" x14ac:dyDescent="0.25">
      <c r="W108" s="145"/>
      <c r="AF108" s="159">
        <f>1812952.19-AF105</f>
        <v>-349395.90999999968</v>
      </c>
      <c r="AG108" s="160"/>
      <c r="AH108" s="160"/>
    </row>
    <row r="109" spans="1:35" x14ac:dyDescent="0.25">
      <c r="AF109" s="163"/>
      <c r="AG109" s="163"/>
      <c r="AH109" s="163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328" priority="10" stopIfTrue="1" operator="equal">
      <formula>0</formula>
    </cfRule>
  </conditionalFormatting>
  <conditionalFormatting sqref="AL45">
    <cfRule type="cellIs" dxfId="327" priority="9" stopIfTrue="1" operator="equal">
      <formula>0</formula>
    </cfRule>
  </conditionalFormatting>
  <conditionalFormatting sqref="T45">
    <cfRule type="cellIs" dxfId="326" priority="8" stopIfTrue="1" operator="equal">
      <formula>0</formula>
    </cfRule>
  </conditionalFormatting>
  <conditionalFormatting sqref="T45">
    <cfRule type="cellIs" dxfId="325" priority="7" stopIfTrue="1" operator="equal">
      <formula>0</formula>
    </cfRule>
  </conditionalFormatting>
  <conditionalFormatting sqref="T45">
    <cfRule type="cellIs" dxfId="324" priority="6" stopIfTrue="1" operator="equal">
      <formula>0</formula>
    </cfRule>
  </conditionalFormatting>
  <conditionalFormatting sqref="T45">
    <cfRule type="cellIs" dxfId="323" priority="5" stopIfTrue="1" operator="equal">
      <formula>0</formula>
    </cfRule>
  </conditionalFormatting>
  <conditionalFormatting sqref="T45">
    <cfRule type="cellIs" dxfId="322" priority="4" stopIfTrue="1" operator="equal">
      <formula>0</formula>
    </cfRule>
  </conditionalFormatting>
  <conditionalFormatting sqref="T45">
    <cfRule type="cellIs" dxfId="321" priority="3" stopIfTrue="1" operator="equal">
      <formula>0</formula>
    </cfRule>
  </conditionalFormatting>
  <conditionalFormatting sqref="T45">
    <cfRule type="cellIs" dxfId="320" priority="2" stopIfTrue="1" operator="equal">
      <formula>0</formula>
    </cfRule>
  </conditionalFormatting>
  <conditionalFormatting sqref="T45">
    <cfRule type="cellIs" dxfId="31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D7" zoomScale="80" zoomScaleNormal="80" workbookViewId="0">
      <selection activeCell="O8" sqref="O8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4.42578125" style="184" customWidth="1"/>
    <col min="4" max="4" width="9.140625" style="184" customWidth="1"/>
    <col min="5" max="5" width="14.5703125" style="184" customWidth="1"/>
    <col min="6" max="6" width="25.140625" style="184" customWidth="1"/>
    <col min="7" max="7" width="20.42578125" style="184" customWidth="1"/>
    <col min="8" max="9" width="9.140625" style="184" customWidth="1"/>
    <col min="10" max="12" width="9.140625" style="227" customWidth="1"/>
    <col min="13" max="13" width="14.5703125" style="228" customWidth="1"/>
    <col min="14" max="14" width="12.42578125" style="228" customWidth="1"/>
    <col min="15" max="15" width="12.28515625" style="228" customWidth="1"/>
    <col min="16" max="17" width="9.140625" style="228" customWidth="1"/>
    <col min="18" max="18" width="9.140625" style="185" customWidth="1"/>
    <col min="19" max="19" width="16.85546875" style="185" customWidth="1"/>
    <col min="20" max="20" width="10.7109375" style="185" customWidth="1"/>
    <col min="21" max="21" width="10.7109375" style="186" customWidth="1"/>
    <col min="22" max="22" width="15" style="134" customWidth="1"/>
    <col min="23" max="23" width="14" style="134" hidden="1" customWidth="1"/>
    <col min="24" max="24" width="9.140625" style="134" hidden="1" customWidth="1"/>
    <col min="25" max="25" width="9.5703125" style="134" hidden="1" customWidth="1"/>
    <col min="26" max="26" width="9.140625" style="134" hidden="1" customWidth="1"/>
    <col min="27" max="27" width="9.5703125" style="134" hidden="1" customWidth="1"/>
    <col min="28" max="30" width="9.140625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3" style="134" customWidth="1"/>
    <col min="35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299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300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36</v>
      </c>
      <c r="I10" s="75">
        <v>20</v>
      </c>
      <c r="J10" s="210">
        <v>23</v>
      </c>
      <c r="K10" s="209">
        <v>23</v>
      </c>
      <c r="L10" s="210">
        <v>22</v>
      </c>
      <c r="M10" s="211">
        <f>8818.63+2629.32+1661.28+2228.94</f>
        <v>15338.17</v>
      </c>
      <c r="N10" s="211">
        <f>8818.63+2629.32+1661.28</f>
        <v>13109.23</v>
      </c>
      <c r="O10" s="212">
        <f xml:space="preserve"> (M10-N10)</f>
        <v>2228.9400000000005</v>
      </c>
      <c r="P10" s="213">
        <v>8</v>
      </c>
      <c r="Q10" s="214">
        <v>8</v>
      </c>
      <c r="R10" s="215">
        <v>8</v>
      </c>
      <c r="S10" s="97">
        <f>4246.75+895.7+2557.8</f>
        <v>7700.25</v>
      </c>
      <c r="T10" s="97">
        <f>4246.75+895.7</f>
        <v>5142.45</v>
      </c>
      <c r="U10" s="97">
        <f xml:space="preserve"> (S10-T10)</f>
        <v>2557.8000000000002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14</v>
      </c>
      <c r="I11" s="75">
        <v>12</v>
      </c>
      <c r="J11" s="210">
        <v>12</v>
      </c>
      <c r="K11" s="209">
        <v>12</v>
      </c>
      <c r="L11" s="210">
        <v>12</v>
      </c>
      <c r="M11" s="211">
        <f>1778.86+580+1740+464+580</f>
        <v>5142.8599999999997</v>
      </c>
      <c r="N11" s="211">
        <f>1778.86+580+1740</f>
        <v>4098.8599999999997</v>
      </c>
      <c r="O11" s="212">
        <f t="shared" ref="O11:O74" si="1" xml:space="preserve"> (M11-N11)</f>
        <v>1044</v>
      </c>
      <c r="P11" s="213">
        <v>2</v>
      </c>
      <c r="Q11" s="21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75"/>
      <c r="J12" s="210"/>
      <c r="K12" s="209"/>
      <c r="L12" s="210"/>
      <c r="M12" s="211"/>
      <c r="N12" s="211"/>
      <c r="O12" s="212">
        <f t="shared" si="1"/>
        <v>0</v>
      </c>
      <c r="P12" s="213">
        <v>3</v>
      </c>
      <c r="Q12" s="21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26</v>
      </c>
      <c r="I13" s="75">
        <v>8</v>
      </c>
      <c r="J13" s="210">
        <v>11</v>
      </c>
      <c r="K13" s="209">
        <v>11</v>
      </c>
      <c r="L13" s="210">
        <v>11</v>
      </c>
      <c r="M13" s="211">
        <f>272.84+2699.54+4096.17</f>
        <v>7068.55</v>
      </c>
      <c r="N13" s="211">
        <f>272.84+2699.54+4096.17</f>
        <v>7068.55</v>
      </c>
      <c r="O13" s="212">
        <f t="shared" si="1"/>
        <v>0</v>
      </c>
      <c r="P13" s="213">
        <v>5</v>
      </c>
      <c r="Q13" s="214">
        <v>5</v>
      </c>
      <c r="R13" s="215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30</v>
      </c>
      <c r="I14" s="75">
        <v>18</v>
      </c>
      <c r="J14" s="210">
        <v>20</v>
      </c>
      <c r="K14" s="209">
        <v>20</v>
      </c>
      <c r="L14" s="210">
        <v>18</v>
      </c>
      <c r="M14" s="211">
        <f>4932.74+3257.04+137+2487.39</f>
        <v>10814.169999999998</v>
      </c>
      <c r="N14" s="211">
        <f>4932.74+3257.04</f>
        <v>8189.78</v>
      </c>
      <c r="O14" s="212">
        <f t="shared" si="1"/>
        <v>2624.3899999999985</v>
      </c>
      <c r="P14" s="213">
        <v>7</v>
      </c>
      <c r="Q14" s="214">
        <v>7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28</v>
      </c>
      <c r="I15" s="75">
        <v>20</v>
      </c>
      <c r="J15" s="210">
        <v>25</v>
      </c>
      <c r="K15" s="209">
        <v>25</v>
      </c>
      <c r="L15" s="210">
        <v>23</v>
      </c>
      <c r="M15" s="211">
        <f>16942.87+1278.76</f>
        <v>18221.629999999997</v>
      </c>
      <c r="N15" s="211">
        <f>16942.87+1278.76</f>
        <v>18221.629999999997</v>
      </c>
      <c r="O15" s="212">
        <f t="shared" si="1"/>
        <v>0</v>
      </c>
      <c r="P15" s="213">
        <v>13</v>
      </c>
      <c r="Q15" s="214">
        <v>13</v>
      </c>
      <c r="R15" s="215">
        <v>13</v>
      </c>
      <c r="S15" s="97">
        <v>13813.9</v>
      </c>
      <c r="T15" s="97">
        <v>13813.9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75"/>
      <c r="J16" s="210"/>
      <c r="K16" s="209"/>
      <c r="L16" s="210"/>
      <c r="M16" s="211"/>
      <c r="N16" s="211"/>
      <c r="O16" s="212">
        <f t="shared" si="1"/>
        <v>0</v>
      </c>
      <c r="P16" s="213"/>
      <c r="Q16" s="21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30</v>
      </c>
      <c r="I17" s="75">
        <v>12</v>
      </c>
      <c r="J17" s="210">
        <v>15</v>
      </c>
      <c r="K17" s="209">
        <v>15</v>
      </c>
      <c r="L17" s="210">
        <v>14</v>
      </c>
      <c r="M17" s="211">
        <f>7235.14+4416.12+1559.66</f>
        <v>13210.92</v>
      </c>
      <c r="N17" s="211">
        <f>7235.14+4416.12+1559.66</f>
        <v>13210.92</v>
      </c>
      <c r="O17" s="212">
        <f t="shared" si="1"/>
        <v>0</v>
      </c>
      <c r="P17" s="213">
        <v>1</v>
      </c>
      <c r="Q17" s="21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30</v>
      </c>
      <c r="I18" s="75">
        <v>17</v>
      </c>
      <c r="J18" s="210">
        <v>17</v>
      </c>
      <c r="K18" s="210">
        <v>17</v>
      </c>
      <c r="L18" s="210">
        <v>13</v>
      </c>
      <c r="M18" s="211">
        <f>2118.92+12936.58+4403.89</f>
        <v>19459.39</v>
      </c>
      <c r="N18" s="211">
        <v>2118.92</v>
      </c>
      <c r="O18" s="212">
        <f t="shared" si="1"/>
        <v>17340.47</v>
      </c>
      <c r="P18" s="213">
        <v>6</v>
      </c>
      <c r="Q18" s="215">
        <v>6</v>
      </c>
      <c r="R18" s="215">
        <v>6</v>
      </c>
      <c r="S18" s="97">
        <f>14748.55+934.31</f>
        <v>15682.859999999999</v>
      </c>
      <c r="T18" s="97">
        <v>14748.55</v>
      </c>
      <c r="U18" s="97">
        <f t="shared" si="2"/>
        <v>934.30999999999949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27</v>
      </c>
      <c r="I19" s="75">
        <v>13</v>
      </c>
      <c r="J19" s="210">
        <v>23</v>
      </c>
      <c r="K19" s="209">
        <v>23</v>
      </c>
      <c r="L19" s="210">
        <v>23</v>
      </c>
      <c r="M19" s="211">
        <f>5345.36+3385.2+4242.79+7468.83</f>
        <v>20442.18</v>
      </c>
      <c r="N19" s="211">
        <f>5345.36+3385.2+4242.79</f>
        <v>12973.349999999999</v>
      </c>
      <c r="O19" s="212">
        <f t="shared" si="1"/>
        <v>7468.8300000000017</v>
      </c>
      <c r="P19" s="213">
        <v>15</v>
      </c>
      <c r="Q19" s="21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31</v>
      </c>
      <c r="I20" s="75">
        <v>17</v>
      </c>
      <c r="J20" s="210">
        <v>19</v>
      </c>
      <c r="K20" s="210">
        <v>19</v>
      </c>
      <c r="L20" s="210">
        <v>19</v>
      </c>
      <c r="M20" s="211">
        <f>5728.14+3727.02+315.94+2507.59+652.5+2191.47</f>
        <v>15122.66</v>
      </c>
      <c r="N20" s="211">
        <f>5728.14+3727.02+315.94</f>
        <v>9771.1</v>
      </c>
      <c r="O20" s="212">
        <f t="shared" si="1"/>
        <v>5351.5599999999995</v>
      </c>
      <c r="P20" s="213">
        <v>26</v>
      </c>
      <c r="Q20" s="215">
        <v>26</v>
      </c>
      <c r="R20" s="215">
        <v>26</v>
      </c>
      <c r="S20" s="97">
        <f>36404.57+1488.24+1902.09</f>
        <v>39794.899999999994</v>
      </c>
      <c r="T20" s="97">
        <f>36404.57+1488.24</f>
        <v>37892.81</v>
      </c>
      <c r="U20" s="97">
        <f t="shared" si="2"/>
        <v>1902.0899999999965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18</v>
      </c>
      <c r="I21" s="75">
        <v>7</v>
      </c>
      <c r="J21" s="210">
        <v>12</v>
      </c>
      <c r="K21" s="209">
        <v>12</v>
      </c>
      <c r="L21" s="210">
        <v>10</v>
      </c>
      <c r="M21" s="211">
        <f>3586.84+1791.4+1337.88+413.4</f>
        <v>7129.5199999999995</v>
      </c>
      <c r="N21" s="211">
        <f>3586.84+1791.4+1337.88+413.4</f>
        <v>7129.5199999999995</v>
      </c>
      <c r="O21" s="212">
        <f t="shared" si="1"/>
        <v>0</v>
      </c>
      <c r="P21" s="213">
        <v>6</v>
      </c>
      <c r="Q21" s="214">
        <v>6</v>
      </c>
      <c r="R21" s="215">
        <v>6</v>
      </c>
      <c r="S21" s="97">
        <f>7288.02+447.62+2487.39</f>
        <v>10223.030000000001</v>
      </c>
      <c r="T21" s="97">
        <f>7288.02+447.62+2487.39</f>
        <v>10223.030000000001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98</v>
      </c>
      <c r="I22" s="75">
        <v>44</v>
      </c>
      <c r="J22" s="210">
        <v>56</v>
      </c>
      <c r="K22" s="210">
        <v>56</v>
      </c>
      <c r="L22" s="210">
        <v>42</v>
      </c>
      <c r="M22" s="211">
        <f>19787.02+2513.73+2255.05+12081.39</f>
        <v>36637.19</v>
      </c>
      <c r="N22" s="211">
        <f>19787.02+2513.73</f>
        <v>22300.75</v>
      </c>
      <c r="O22" s="212">
        <f t="shared" si="1"/>
        <v>14336.440000000002</v>
      </c>
      <c r="P22" s="213">
        <v>21</v>
      </c>
      <c r="Q22" s="215">
        <v>21</v>
      </c>
      <c r="R22" s="215">
        <v>20</v>
      </c>
      <c r="S22" s="97">
        <v>24103.23</v>
      </c>
      <c r="T22" s="97">
        <v>24103.23</v>
      </c>
      <c r="U22" s="97">
        <f t="shared" si="2"/>
        <v>0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15</v>
      </c>
      <c r="I23" s="75">
        <v>10</v>
      </c>
      <c r="J23" s="210">
        <v>11</v>
      </c>
      <c r="K23" s="209">
        <v>11</v>
      </c>
      <c r="L23" s="210">
        <v>11</v>
      </c>
      <c r="M23" s="211">
        <f>5739.04+1828.05+1440.72+631.62+564.05</f>
        <v>10203.48</v>
      </c>
      <c r="N23" s="211">
        <f>5739.04+1828.05+1440.72</f>
        <v>9007.81</v>
      </c>
      <c r="O23" s="212">
        <f t="shared" si="1"/>
        <v>1195.67</v>
      </c>
      <c r="P23" s="213">
        <v>11</v>
      </c>
      <c r="Q23" s="214">
        <v>11</v>
      </c>
      <c r="R23" s="215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18</v>
      </c>
      <c r="I24" s="75">
        <v>11</v>
      </c>
      <c r="J24" s="210">
        <v>15</v>
      </c>
      <c r="K24" s="209">
        <v>15</v>
      </c>
      <c r="L24" s="210">
        <v>15</v>
      </c>
      <c r="M24" s="211">
        <f>1515.11+3525.12</f>
        <v>5040.2299999999996</v>
      </c>
      <c r="N24" s="211">
        <f>1515.11+3525.12</f>
        <v>5040.2299999999996</v>
      </c>
      <c r="O24" s="212">
        <f t="shared" si="1"/>
        <v>0</v>
      </c>
      <c r="P24" s="213">
        <v>7</v>
      </c>
      <c r="Q24" s="21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27</v>
      </c>
      <c r="I25" s="75">
        <v>9</v>
      </c>
      <c r="J25" s="210">
        <v>26</v>
      </c>
      <c r="K25" s="210">
        <v>26</v>
      </c>
      <c r="L25" s="210">
        <v>23</v>
      </c>
      <c r="M25" s="211">
        <f>9005.69+15068.32</f>
        <v>24074.010000000002</v>
      </c>
      <c r="N25" s="211">
        <f>9005.69+15068.32</f>
        <v>24074.010000000002</v>
      </c>
      <c r="O25" s="212">
        <f t="shared" si="1"/>
        <v>0</v>
      </c>
      <c r="P25" s="213">
        <v>21</v>
      </c>
      <c r="Q25" s="215">
        <v>21</v>
      </c>
      <c r="R25" s="215">
        <v>20</v>
      </c>
      <c r="S25" s="97">
        <v>24213.05</v>
      </c>
      <c r="T25" s="97">
        <v>24213.05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75">
        <v>8</v>
      </c>
      <c r="J26" s="210">
        <v>17</v>
      </c>
      <c r="K26" s="209">
        <v>17</v>
      </c>
      <c r="L26" s="210">
        <v>13</v>
      </c>
      <c r="M26" s="211">
        <f>3777.1+6399.51</f>
        <v>10176.61</v>
      </c>
      <c r="N26" s="211">
        <f>3777.1+6399.51</f>
        <v>10176.61</v>
      </c>
      <c r="O26" s="212">
        <f t="shared" si="1"/>
        <v>0</v>
      </c>
      <c r="P26" s="213">
        <v>12</v>
      </c>
      <c r="Q26" s="214">
        <v>12</v>
      </c>
      <c r="R26" s="215">
        <v>10</v>
      </c>
      <c r="S26" s="97">
        <v>3386.7</v>
      </c>
      <c r="T26" s="97">
        <v>3386.7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26</v>
      </c>
      <c r="I27" s="75">
        <v>16</v>
      </c>
      <c r="J27" s="210">
        <v>28</v>
      </c>
      <c r="K27" s="209">
        <v>28</v>
      </c>
      <c r="L27" s="210">
        <v>27</v>
      </c>
      <c r="M27" s="211">
        <f>6801.73+4254.18+3948.81+757.9+1004.85</f>
        <v>16767.469999999998</v>
      </c>
      <c r="N27" s="211">
        <f>6801.73+4254.18+3948.81</f>
        <v>15004.72</v>
      </c>
      <c r="O27" s="212">
        <f t="shared" si="1"/>
        <v>1762.7499999999982</v>
      </c>
      <c r="P27" s="213">
        <v>14</v>
      </c>
      <c r="Q27" s="21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75"/>
      <c r="J28" s="210"/>
      <c r="K28" s="209"/>
      <c r="L28" s="210"/>
      <c r="M28" s="211"/>
      <c r="N28" s="211"/>
      <c r="O28" s="212">
        <f t="shared" si="1"/>
        <v>0</v>
      </c>
      <c r="P28" s="213"/>
      <c r="Q28" s="21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22</v>
      </c>
      <c r="I29" s="75">
        <v>18</v>
      </c>
      <c r="J29" s="210">
        <v>27</v>
      </c>
      <c r="K29" s="209">
        <v>27</v>
      </c>
      <c r="L29" s="210">
        <v>25</v>
      </c>
      <c r="M29" s="211">
        <f>7765.28+1107.91+3282.4+1320.23+1580.98</f>
        <v>15056.8</v>
      </c>
      <c r="N29" s="211">
        <f>7765.28+1107.91+3282.4+1320.23+1580.98</f>
        <v>15056.8</v>
      </c>
      <c r="O29" s="212">
        <f t="shared" si="1"/>
        <v>0</v>
      </c>
      <c r="P29" s="213">
        <v>14</v>
      </c>
      <c r="Q29" s="21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31</v>
      </c>
      <c r="I30" s="75">
        <v>25</v>
      </c>
      <c r="J30" s="210">
        <v>32</v>
      </c>
      <c r="K30" s="210">
        <v>32</v>
      </c>
      <c r="L30" s="210">
        <v>28</v>
      </c>
      <c r="M30" s="211">
        <f>5246.17+4965.96+1939.12+3762.43+2342.38</f>
        <v>18256.060000000001</v>
      </c>
      <c r="N30" s="211">
        <f>5246.17+4965.96+1939.12</f>
        <v>12151.25</v>
      </c>
      <c r="O30" s="212">
        <f t="shared" si="1"/>
        <v>6104.8100000000013</v>
      </c>
      <c r="P30" s="213">
        <v>22</v>
      </c>
      <c r="Q30" s="215">
        <v>22</v>
      </c>
      <c r="R30" s="215">
        <v>22</v>
      </c>
      <c r="S30" s="97">
        <f>39414.6+4786.67+1562.33+638.43+2216.93</f>
        <v>48618.96</v>
      </c>
      <c r="T30" s="97">
        <f>39414.6+4786.67+1562.33+638.43</f>
        <v>46402.03</v>
      </c>
      <c r="U30" s="97">
        <f t="shared" si="2"/>
        <v>2216.9300000000003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75">
        <v>1</v>
      </c>
      <c r="J31" s="210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21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75"/>
      <c r="J32" s="210"/>
      <c r="K32" s="209"/>
      <c r="L32" s="210"/>
      <c r="M32" s="211"/>
      <c r="N32" s="211"/>
      <c r="O32" s="212">
        <f t="shared" si="1"/>
        <v>0</v>
      </c>
      <c r="P32" s="213"/>
      <c r="Q32" s="21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11</v>
      </c>
      <c r="I33" s="75">
        <v>9</v>
      </c>
      <c r="J33" s="210">
        <v>11</v>
      </c>
      <c r="K33" s="209">
        <v>11</v>
      </c>
      <c r="L33" s="210">
        <v>11</v>
      </c>
      <c r="M33" s="211">
        <f>4065+2226.4+2915.4+290</f>
        <v>9496.7999999999993</v>
      </c>
      <c r="N33" s="211">
        <f>4065+2226.4+2915.4</f>
        <v>9206.7999999999993</v>
      </c>
      <c r="O33" s="212">
        <f t="shared" si="1"/>
        <v>290</v>
      </c>
      <c r="P33" s="213"/>
      <c r="Q33" s="21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75">
        <v>14</v>
      </c>
      <c r="J34" s="210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11</v>
      </c>
      <c r="I35" s="75">
        <v>6</v>
      </c>
      <c r="J35" s="210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19</v>
      </c>
      <c r="I36" s="75">
        <v>10</v>
      </c>
      <c r="J36" s="210">
        <v>11</v>
      </c>
      <c r="K36" s="209">
        <v>11</v>
      </c>
      <c r="L36" s="210">
        <v>11</v>
      </c>
      <c r="M36" s="211">
        <f>2360+2665.25+2800.06</f>
        <v>7825.3099999999995</v>
      </c>
      <c r="N36" s="211">
        <f>2360+2665.25</f>
        <v>5025.25</v>
      </c>
      <c r="O36" s="212">
        <f t="shared" si="1"/>
        <v>2800.0599999999995</v>
      </c>
      <c r="P36" s="213">
        <v>6</v>
      </c>
      <c r="Q36" s="214">
        <v>6</v>
      </c>
      <c r="R36" s="215">
        <v>6</v>
      </c>
      <c r="S36" s="97">
        <f>1436.08+3433.93+5939.33+1723.52</f>
        <v>12532.86</v>
      </c>
      <c r="T36" s="97">
        <f>1436.08+3433.93+5939.33</f>
        <v>10809.34</v>
      </c>
      <c r="U36" s="97">
        <f t="shared" si="2"/>
        <v>1723.5200000000004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15</v>
      </c>
      <c r="I37" s="75">
        <v>11</v>
      </c>
      <c r="J37" s="210">
        <v>12</v>
      </c>
      <c r="K37" s="209">
        <v>12</v>
      </c>
      <c r="L37" s="210">
        <v>12</v>
      </c>
      <c r="M37" s="211">
        <f>4126.56+990.2+862.75+145+358.88</f>
        <v>6483.39</v>
      </c>
      <c r="N37" s="211">
        <f>4126.56+990.2+862.75+145</f>
        <v>6124.51</v>
      </c>
      <c r="O37" s="212">
        <f t="shared" si="1"/>
        <v>358.88000000000011</v>
      </c>
      <c r="P37" s="213">
        <v>1</v>
      </c>
      <c r="Q37" s="214">
        <v>1</v>
      </c>
      <c r="R37" s="215">
        <v>1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64</v>
      </c>
      <c r="I38" s="75">
        <v>31</v>
      </c>
      <c r="J38" s="210">
        <v>45</v>
      </c>
      <c r="K38" s="209">
        <v>45</v>
      </c>
      <c r="L38" s="210">
        <v>45</v>
      </c>
      <c r="M38" s="211">
        <f>18043.85+1739.74+12219.36+4084.73+2867.69+2388.56+1377.5</f>
        <v>42721.43</v>
      </c>
      <c r="N38" s="211">
        <f>18043.85+1739.74+12219.36+3053.47</f>
        <v>35056.42</v>
      </c>
      <c r="O38" s="212">
        <f t="shared" si="1"/>
        <v>7665.010000000002</v>
      </c>
      <c r="P38" s="213">
        <v>20</v>
      </c>
      <c r="Q38" s="214">
        <v>20</v>
      </c>
      <c r="R38" s="215">
        <v>20</v>
      </c>
      <c r="S38" s="97">
        <f>22326.77+417.74+1031.26</f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26</v>
      </c>
      <c r="I39" s="75">
        <v>11</v>
      </c>
      <c r="J39" s="210">
        <v>13</v>
      </c>
      <c r="K39" s="209">
        <v>13</v>
      </c>
      <c r="L39" s="210">
        <v>13</v>
      </c>
      <c r="M39" s="211">
        <f>4309.67+3353.38+84.05+2832.72</f>
        <v>10579.82</v>
      </c>
      <c r="N39" s="211">
        <f>4309.67+3353.38+84.93+2831.84</f>
        <v>10579.82</v>
      </c>
      <c r="O39" s="212">
        <f t="shared" si="1"/>
        <v>0</v>
      </c>
      <c r="P39" s="213">
        <v>3</v>
      </c>
      <c r="Q39" s="214">
        <v>3</v>
      </c>
      <c r="R39" s="215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8</v>
      </c>
      <c r="I40" s="75">
        <v>5</v>
      </c>
      <c r="J40" s="210">
        <v>5</v>
      </c>
      <c r="K40" s="209">
        <v>5</v>
      </c>
      <c r="L40" s="210">
        <v>5</v>
      </c>
      <c r="M40" s="211">
        <v>5430.01</v>
      </c>
      <c r="N40" s="211">
        <v>5430.01</v>
      </c>
      <c r="O40" s="212">
        <f t="shared" si="1"/>
        <v>0</v>
      </c>
      <c r="P40" s="213">
        <v>3</v>
      </c>
      <c r="Q40" s="214">
        <v>3</v>
      </c>
      <c r="R40" s="215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18</v>
      </c>
      <c r="I41" s="75">
        <v>9</v>
      </c>
      <c r="J41" s="210">
        <v>11</v>
      </c>
      <c r="K41" s="209">
        <v>11</v>
      </c>
      <c r="L41" s="210">
        <v>11</v>
      </c>
      <c r="M41" s="211">
        <f>4892.78+1033.5+545.69+1551.08</f>
        <v>8023.0499999999993</v>
      </c>
      <c r="N41" s="211">
        <f>4892.78+1033.5</f>
        <v>5926.28</v>
      </c>
      <c r="O41" s="212">
        <f t="shared" si="1"/>
        <v>2096.7699999999995</v>
      </c>
      <c r="P41" s="213">
        <v>4</v>
      </c>
      <c r="Q41" s="214">
        <v>4</v>
      </c>
      <c r="R41" s="215">
        <v>4</v>
      </c>
      <c r="S41" s="97">
        <f>1842.88+373.68</f>
        <v>2216.56</v>
      </c>
      <c r="T41" s="97">
        <f>1842.88</f>
        <v>1842.88</v>
      </c>
      <c r="U41" s="97">
        <f t="shared" si="2"/>
        <v>373.67999999999984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77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12</v>
      </c>
      <c r="I42" s="75">
        <v>6</v>
      </c>
      <c r="J42" s="210">
        <v>7</v>
      </c>
      <c r="K42" s="209">
        <v>7</v>
      </c>
      <c r="L42" s="210">
        <v>7</v>
      </c>
      <c r="M42" s="211">
        <f>5095.29+1605.75</f>
        <v>6701.04</v>
      </c>
      <c r="N42" s="211">
        <f>5095.29+1605.75</f>
        <v>6701.04</v>
      </c>
      <c r="O42" s="212">
        <f t="shared" si="1"/>
        <v>0</v>
      </c>
      <c r="P42" s="213">
        <v>5</v>
      </c>
      <c r="Q42" s="21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17</v>
      </c>
      <c r="I43" s="75">
        <v>9</v>
      </c>
      <c r="J43" s="210">
        <v>11</v>
      </c>
      <c r="K43" s="209">
        <v>11</v>
      </c>
      <c r="L43" s="210">
        <v>11</v>
      </c>
      <c r="M43" s="211">
        <f>1949.94+11241.95+1670.56+979+622.78</f>
        <v>16464.23</v>
      </c>
      <c r="N43" s="211">
        <f>1949.94+11241.95+1670.56+979</f>
        <v>15841.45</v>
      </c>
      <c r="O43" s="212">
        <f t="shared" si="1"/>
        <v>622.77999999999884</v>
      </c>
      <c r="P43" s="213">
        <v>6</v>
      </c>
      <c r="Q43" s="214">
        <v>6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10</v>
      </c>
      <c r="I44" s="75">
        <v>5</v>
      </c>
      <c r="J44" s="210">
        <v>12</v>
      </c>
      <c r="K44" s="209">
        <v>12</v>
      </c>
      <c r="L44" s="210">
        <v>10</v>
      </c>
      <c r="M44" s="211">
        <f>9600.95+145+2182.75+7980.88</f>
        <v>19909.580000000002</v>
      </c>
      <c r="N44" s="211">
        <f>9600.95+145+2182.75</f>
        <v>11928.7</v>
      </c>
      <c r="O44" s="212">
        <f t="shared" si="1"/>
        <v>7980.880000000001</v>
      </c>
      <c r="P44" s="213">
        <v>8</v>
      </c>
      <c r="Q44" s="214">
        <v>8</v>
      </c>
      <c r="R44" s="215">
        <v>7</v>
      </c>
      <c r="S44" s="97">
        <f>3997.92+850.65+4367.7+2262.73</f>
        <v>11479</v>
      </c>
      <c r="T44" s="97">
        <f>3997.92+850.65+4367.7</f>
        <v>9216.27</v>
      </c>
      <c r="U44" s="97">
        <f t="shared" si="2"/>
        <v>2262.7299999999996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75"/>
      <c r="J45" s="210"/>
      <c r="K45" s="209"/>
      <c r="L45" s="210"/>
      <c r="M45" s="211"/>
      <c r="N45" s="211"/>
      <c r="O45" s="212">
        <f t="shared" si="1"/>
        <v>0</v>
      </c>
      <c r="P45" s="213"/>
      <c r="Q45" s="21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13</v>
      </c>
      <c r="I46" s="75">
        <v>8</v>
      </c>
      <c r="J46" s="210">
        <v>9</v>
      </c>
      <c r="K46" s="209">
        <v>9</v>
      </c>
      <c r="L46" s="210">
        <v>9</v>
      </c>
      <c r="M46" s="211">
        <f>1290.6+2343.84</f>
        <v>3634.44</v>
      </c>
      <c r="N46" s="211">
        <f>1290.6+2343.84</f>
        <v>3634.44</v>
      </c>
      <c r="O46" s="212">
        <f t="shared" si="1"/>
        <v>0</v>
      </c>
      <c r="P46" s="213">
        <v>2</v>
      </c>
      <c r="Q46" s="21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31</v>
      </c>
      <c r="I47" s="75">
        <v>20</v>
      </c>
      <c r="J47" s="210">
        <v>28</v>
      </c>
      <c r="K47" s="209">
        <v>28</v>
      </c>
      <c r="L47" s="210">
        <v>26</v>
      </c>
      <c r="M47" s="211">
        <f>9335.56+3507.6+826.8+2284.16</f>
        <v>15954.119999999999</v>
      </c>
      <c r="N47" s="211">
        <f>9335.56+3507.6+826.8</f>
        <v>13669.96</v>
      </c>
      <c r="O47" s="212">
        <f t="shared" si="1"/>
        <v>2284.16</v>
      </c>
      <c r="P47" s="213">
        <v>2</v>
      </c>
      <c r="Q47" s="21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13</v>
      </c>
      <c r="I48" s="75">
        <v>6</v>
      </c>
      <c r="J48" s="210">
        <v>9</v>
      </c>
      <c r="K48" s="209">
        <v>9</v>
      </c>
      <c r="L48" s="210">
        <v>9</v>
      </c>
      <c r="M48" s="211">
        <f>8890.84+1828.05+435</f>
        <v>11153.89</v>
      </c>
      <c r="N48" s="211">
        <f>8890.84+1828.05</f>
        <v>10718.89</v>
      </c>
      <c r="O48" s="212">
        <f t="shared" si="1"/>
        <v>435</v>
      </c>
      <c r="P48" s="213">
        <v>3</v>
      </c>
      <c r="Q48" s="21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18</v>
      </c>
      <c r="I49" s="75">
        <v>9</v>
      </c>
      <c r="J49" s="210">
        <v>11</v>
      </c>
      <c r="K49" s="209">
        <v>11</v>
      </c>
      <c r="L49" s="210">
        <v>10</v>
      </c>
      <c r="M49" s="211">
        <f>1831.71+137.8+1816.78</f>
        <v>3786.29</v>
      </c>
      <c r="N49" s="211">
        <f>1831.71+137.8+1816.78</f>
        <v>3786.29</v>
      </c>
      <c r="O49" s="212">
        <f t="shared" si="1"/>
        <v>0</v>
      </c>
      <c r="P49" s="213">
        <v>9</v>
      </c>
      <c r="Q49" s="214">
        <v>9</v>
      </c>
      <c r="R49" s="215">
        <v>9</v>
      </c>
      <c r="S49" s="97">
        <f>8296.23+1378+5368</f>
        <v>15042.23</v>
      </c>
      <c r="T49" s="97">
        <f>8296.23+1378+5368</f>
        <v>15042.23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16</v>
      </c>
      <c r="I50" s="75">
        <v>13</v>
      </c>
      <c r="J50" s="210">
        <v>15</v>
      </c>
      <c r="K50" s="209">
        <v>15</v>
      </c>
      <c r="L50" s="210">
        <v>14</v>
      </c>
      <c r="M50" s="211">
        <f>8308.92+786.44+453+302</f>
        <v>9850.36</v>
      </c>
      <c r="N50" s="211">
        <f>8308.92+786.44+453+302</f>
        <v>9850.36</v>
      </c>
      <c r="O50" s="212">
        <f t="shared" si="1"/>
        <v>0</v>
      </c>
      <c r="P50" s="213">
        <v>6</v>
      </c>
      <c r="Q50" s="214">
        <v>6</v>
      </c>
      <c r="R50" s="215">
        <v>6</v>
      </c>
      <c r="S50" s="97">
        <f>2457.28+1725.6+5017.9</f>
        <v>9200.7799999999988</v>
      </c>
      <c r="T50" s="97">
        <f>2457.28+1725.6+5017.9</f>
        <v>9200.7799999999988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21</v>
      </c>
      <c r="I51" s="75">
        <v>12</v>
      </c>
      <c r="J51" s="210">
        <v>14</v>
      </c>
      <c r="K51" s="209">
        <v>14</v>
      </c>
      <c r="L51" s="210">
        <v>12</v>
      </c>
      <c r="M51" s="211">
        <f>5580.75+571.11+696.2+574.2+408.03</f>
        <v>7830.2899999999991</v>
      </c>
      <c r="N51" s="211">
        <f>5580.75+571.11+696.2+574.2</f>
        <v>7422.2599999999993</v>
      </c>
      <c r="O51" s="212">
        <f t="shared" si="1"/>
        <v>408.02999999999975</v>
      </c>
      <c r="P51" s="213">
        <v>1</v>
      </c>
      <c r="Q51" s="214">
        <v>1</v>
      </c>
      <c r="R51" s="215">
        <v>1</v>
      </c>
      <c r="S51" s="97"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18</v>
      </c>
      <c r="I52" s="75">
        <v>11</v>
      </c>
      <c r="J52" s="210">
        <v>14</v>
      </c>
      <c r="K52" s="209">
        <v>14</v>
      </c>
      <c r="L52" s="210">
        <v>13</v>
      </c>
      <c r="M52" s="211">
        <f>3782.6+430.65+1221.61+2194.55</f>
        <v>7629.41</v>
      </c>
      <c r="N52" s="211">
        <f>3782.6+430.65+1221.61</f>
        <v>5434.86</v>
      </c>
      <c r="O52" s="212">
        <f t="shared" si="1"/>
        <v>2194.5500000000002</v>
      </c>
      <c r="P52" s="213">
        <v>8</v>
      </c>
      <c r="Q52" s="214">
        <v>8</v>
      </c>
      <c r="R52" s="215">
        <v>8</v>
      </c>
      <c r="S52" s="97">
        <f>1535.39+1035.3+828.82+12756.45</f>
        <v>16155.960000000001</v>
      </c>
      <c r="T52" s="97">
        <f>1535.39+1035.3+828.82</f>
        <v>3399.51</v>
      </c>
      <c r="U52" s="97">
        <f t="shared" si="2"/>
        <v>12756.45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8</v>
      </c>
      <c r="I53" s="75">
        <v>3</v>
      </c>
      <c r="J53" s="210">
        <v>3</v>
      </c>
      <c r="K53" s="209">
        <v>3</v>
      </c>
      <c r="L53" s="210">
        <v>3</v>
      </c>
      <c r="M53" s="211">
        <f>1102.4+328.37</f>
        <v>1430.77</v>
      </c>
      <c r="N53" s="211">
        <v>1102.4000000000001</v>
      </c>
      <c r="O53" s="212">
        <f t="shared" si="1"/>
        <v>328.36999999999989</v>
      </c>
      <c r="P53" s="213">
        <v>2</v>
      </c>
      <c r="Q53" s="21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85</v>
      </c>
      <c r="I54" s="75">
        <v>63</v>
      </c>
      <c r="J54" s="210">
        <v>56</v>
      </c>
      <c r="K54" s="209">
        <v>56</v>
      </c>
      <c r="L54" s="210">
        <v>55</v>
      </c>
      <c r="M54" s="211">
        <f>12031.27+4728.85+7137.01+1218</f>
        <v>25115.130000000005</v>
      </c>
      <c r="N54" s="211">
        <f>12031.27+4728.85+7137.01</f>
        <v>23897.130000000005</v>
      </c>
      <c r="O54" s="212">
        <f t="shared" si="1"/>
        <v>1218</v>
      </c>
      <c r="P54" s="213">
        <v>17</v>
      </c>
      <c r="Q54" s="21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6</v>
      </c>
      <c r="I55" s="75">
        <v>2</v>
      </c>
      <c r="J55" s="210">
        <v>2</v>
      </c>
      <c r="K55" s="209">
        <v>2</v>
      </c>
      <c r="L55" s="210">
        <v>2</v>
      </c>
      <c r="M55" s="211">
        <v>5677.4</v>
      </c>
      <c r="N55" s="211">
        <v>5677.4</v>
      </c>
      <c r="O55" s="212">
        <f t="shared" si="1"/>
        <v>0</v>
      </c>
      <c r="P55" s="213">
        <v>3</v>
      </c>
      <c r="Q55" s="21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52</v>
      </c>
      <c r="I56" s="75">
        <v>30</v>
      </c>
      <c r="J56" s="210">
        <v>45</v>
      </c>
      <c r="K56" s="209">
        <v>45</v>
      </c>
      <c r="L56" s="210">
        <v>45</v>
      </c>
      <c r="M56" s="211">
        <f>13145.7+14183.3+726.22+3195.47+5181.98+1425.26+6804.83+1811</f>
        <v>46473.760000000002</v>
      </c>
      <c r="N56" s="211">
        <f>13145.7+14183.3+726.22+1428.26</f>
        <v>29483.48</v>
      </c>
      <c r="O56" s="212">
        <f t="shared" si="1"/>
        <v>16990.280000000002</v>
      </c>
      <c r="P56" s="213">
        <v>33</v>
      </c>
      <c r="Q56" s="214">
        <v>33</v>
      </c>
      <c r="R56" s="215">
        <v>32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75">
        <v>4</v>
      </c>
      <c r="J57" s="210">
        <v>3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21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75"/>
      <c r="J58" s="210"/>
      <c r="K58" s="209"/>
      <c r="L58" s="210"/>
      <c r="M58" s="211"/>
      <c r="N58" s="211"/>
      <c r="O58" s="212">
        <f t="shared" si="1"/>
        <v>0</v>
      </c>
      <c r="P58" s="213">
        <v>1</v>
      </c>
      <c r="Q58" s="214">
        <v>1</v>
      </c>
      <c r="R58" s="215">
        <v>1</v>
      </c>
      <c r="S58" s="97">
        <v>548.1</v>
      </c>
      <c r="T58" s="97"/>
      <c r="U58" s="97">
        <f t="shared" si="2"/>
        <v>548.1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75"/>
      <c r="J59" s="210"/>
      <c r="K59" s="209"/>
      <c r="L59" s="210"/>
      <c r="M59" s="211"/>
      <c r="N59" s="211"/>
      <c r="O59" s="212">
        <f t="shared" si="1"/>
        <v>0</v>
      </c>
      <c r="P59" s="213"/>
      <c r="Q59" s="21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42</v>
      </c>
      <c r="I60" s="75">
        <v>26</v>
      </c>
      <c r="J60" s="210">
        <v>41</v>
      </c>
      <c r="K60" s="209">
        <v>41</v>
      </c>
      <c r="L60" s="210">
        <v>41</v>
      </c>
      <c r="M60" s="211">
        <f>19657.67+3859.57+3638.88+11285.84+2356.7+1870.22</f>
        <v>42668.88</v>
      </c>
      <c r="N60" s="211">
        <f>19657.67+3859.57+3638.88</f>
        <v>27156.12</v>
      </c>
      <c r="O60" s="212">
        <f t="shared" si="1"/>
        <v>15512.759999999998</v>
      </c>
      <c r="P60" s="213">
        <v>6</v>
      </c>
      <c r="Q60" s="214">
        <v>6</v>
      </c>
      <c r="R60" s="215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23</v>
      </c>
      <c r="I61" s="75">
        <v>14</v>
      </c>
      <c r="J61" s="210">
        <v>14</v>
      </c>
      <c r="K61" s="209">
        <v>14</v>
      </c>
      <c r="L61" s="210">
        <v>14</v>
      </c>
      <c r="M61" s="211">
        <f>3986.21+989.8+3814.75+1492.92+2107.58</f>
        <v>12391.26</v>
      </c>
      <c r="N61" s="211">
        <f>3986.21+989.8+3814.75</f>
        <v>8790.76</v>
      </c>
      <c r="O61" s="212">
        <f t="shared" si="1"/>
        <v>3600.5</v>
      </c>
      <c r="P61" s="213"/>
      <c r="Q61" s="21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77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17</v>
      </c>
      <c r="I62" s="75">
        <v>11</v>
      </c>
      <c r="J62" s="210">
        <v>14</v>
      </c>
      <c r="K62" s="209">
        <v>14</v>
      </c>
      <c r="L62" s="210">
        <v>14</v>
      </c>
      <c r="M62" s="211">
        <f>1263.45+2111.32+5011.35+4260.64</f>
        <v>12646.760000000002</v>
      </c>
      <c r="N62" s="211">
        <f>1263.45+2111.32+5011.35</f>
        <v>8386.1200000000008</v>
      </c>
      <c r="O62" s="212">
        <f t="shared" si="1"/>
        <v>4260.6400000000012</v>
      </c>
      <c r="P62" s="213">
        <v>7</v>
      </c>
      <c r="Q62" s="214">
        <v>7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75"/>
      <c r="J63" s="210"/>
      <c r="K63" s="209"/>
      <c r="L63" s="210"/>
      <c r="M63" s="211"/>
      <c r="N63" s="211"/>
      <c r="O63" s="212">
        <f t="shared" si="1"/>
        <v>0</v>
      </c>
      <c r="P63" s="213">
        <v>29</v>
      </c>
      <c r="Q63" s="214">
        <v>29</v>
      </c>
      <c r="R63" s="215">
        <v>29</v>
      </c>
      <c r="S63" s="97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</row>
    <row r="64" spans="1:40" ht="17.25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23</v>
      </c>
      <c r="I64" s="75">
        <v>13</v>
      </c>
      <c r="J64" s="210">
        <v>15</v>
      </c>
      <c r="K64" s="209">
        <v>15</v>
      </c>
      <c r="L64" s="210">
        <v>15</v>
      </c>
      <c r="M64" s="211">
        <f>6496.16+4335.01+2477.65</f>
        <v>13308.82</v>
      </c>
      <c r="N64" s="211">
        <f>6496.16+4335.01+2477.65</f>
        <v>13308.82</v>
      </c>
      <c r="O64" s="212">
        <f t="shared" si="1"/>
        <v>0</v>
      </c>
      <c r="P64" s="213">
        <v>10</v>
      </c>
      <c r="Q64" s="214">
        <v>10</v>
      </c>
      <c r="R64" s="215">
        <v>10</v>
      </c>
      <c r="S64" s="97">
        <v>6866.56</v>
      </c>
      <c r="T64" s="97">
        <v>6866.56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44</v>
      </c>
      <c r="I65" s="75">
        <v>38</v>
      </c>
      <c r="J65" s="210">
        <v>42</v>
      </c>
      <c r="K65" s="209">
        <v>42</v>
      </c>
      <c r="L65" s="210">
        <v>41</v>
      </c>
      <c r="M65" s="97">
        <f>21561.61+5719.7+1305+4149.27+2397.37+5906.18+1251.03</f>
        <v>42290.16</v>
      </c>
      <c r="N65" s="211">
        <f>21561.61+5719.7+1305+4149.27</f>
        <v>32735.58</v>
      </c>
      <c r="O65" s="212">
        <f t="shared" si="1"/>
        <v>9554.5800000000017</v>
      </c>
      <c r="P65" s="213">
        <v>11</v>
      </c>
      <c r="Q65" s="214">
        <v>11</v>
      </c>
      <c r="R65" s="215">
        <v>11</v>
      </c>
      <c r="S65" s="97">
        <f>7456.7+19131.63</f>
        <v>26588.33</v>
      </c>
      <c r="T65" s="97">
        <v>7456.7</v>
      </c>
      <c r="U65" s="97">
        <f t="shared" si="2"/>
        <v>19131.63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75">
        <v>2</v>
      </c>
      <c r="J66" s="210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50</v>
      </c>
      <c r="I67" s="75">
        <v>37</v>
      </c>
      <c r="J67" s="210">
        <v>44</v>
      </c>
      <c r="K67" s="209">
        <v>44</v>
      </c>
      <c r="L67" s="210">
        <v>43</v>
      </c>
      <c r="M67" s="211">
        <f>19710.93+7009.96+ 8900.54+165.98+1497.55+1081.95</f>
        <v>38366.910000000003</v>
      </c>
      <c r="N67" s="211">
        <f>19710.93+7009.96+ 8900.54+165.98</f>
        <v>35787.410000000003</v>
      </c>
      <c r="O67" s="212">
        <f t="shared" si="1"/>
        <v>2579.5</v>
      </c>
      <c r="P67" s="213">
        <v>11</v>
      </c>
      <c r="Q67" s="21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34</v>
      </c>
      <c r="I68" s="75">
        <v>26</v>
      </c>
      <c r="J68" s="210">
        <v>45</v>
      </c>
      <c r="K68" s="209">
        <v>45</v>
      </c>
      <c r="L68" s="210">
        <v>45</v>
      </c>
      <c r="M68" s="211">
        <f>18750.75+2683.13</f>
        <v>21433.88</v>
      </c>
      <c r="N68" s="211">
        <f>18750.75</f>
        <v>18750.75</v>
      </c>
      <c r="O68" s="212">
        <f t="shared" si="1"/>
        <v>2683.130000000001</v>
      </c>
      <c r="P68" s="213">
        <v>10</v>
      </c>
      <c r="Q68" s="214">
        <v>10</v>
      </c>
      <c r="R68" s="215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125</v>
      </c>
      <c r="E69" s="106" t="s">
        <v>126</v>
      </c>
      <c r="F69" s="170" t="s">
        <v>106</v>
      </c>
      <c r="G69" s="72" t="s">
        <v>188</v>
      </c>
      <c r="H69" s="77">
        <v>9</v>
      </c>
      <c r="I69" s="75">
        <v>5</v>
      </c>
      <c r="J69" s="210">
        <v>5</v>
      </c>
      <c r="K69" s="209">
        <v>5</v>
      </c>
      <c r="L69" s="210">
        <v>5</v>
      </c>
      <c r="M69" s="211">
        <f>2756+1240.2+1305</f>
        <v>5301.2</v>
      </c>
      <c r="N69" s="211">
        <f>2756+1240.2+1305</f>
        <v>5301.2</v>
      </c>
      <c r="O69" s="212">
        <f t="shared" si="1"/>
        <v>0</v>
      </c>
      <c r="P69" s="213"/>
      <c r="Q69" s="214"/>
      <c r="R69" s="215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13</v>
      </c>
      <c r="I70" s="75">
        <v>6</v>
      </c>
      <c r="J70" s="210">
        <v>6</v>
      </c>
      <c r="K70" s="209">
        <v>6</v>
      </c>
      <c r="L70" s="210">
        <v>6</v>
      </c>
      <c r="M70" s="211">
        <f>2039.44+3242.32+2027.39+3567</f>
        <v>10876.150000000001</v>
      </c>
      <c r="N70" s="211">
        <f>2039.44+3242.32+2027.39</f>
        <v>7309.1500000000005</v>
      </c>
      <c r="O70" s="212">
        <f t="shared" si="1"/>
        <v>3567.0000000000009</v>
      </c>
      <c r="P70" s="213">
        <v>6</v>
      </c>
      <c r="Q70" s="214">
        <v>6</v>
      </c>
      <c r="R70" s="215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20</v>
      </c>
      <c r="I71" s="75">
        <v>15</v>
      </c>
      <c r="J71" s="210">
        <v>14</v>
      </c>
      <c r="K71" s="209">
        <v>14</v>
      </c>
      <c r="L71" s="210">
        <v>14</v>
      </c>
      <c r="M71" s="211">
        <f>2383.53+3781.9+7505.17+507+5161.87</f>
        <v>19339.47</v>
      </c>
      <c r="N71" s="211">
        <f>2383.53+3781.9</f>
        <v>6165.43</v>
      </c>
      <c r="O71" s="212">
        <f t="shared" si="1"/>
        <v>13174.04</v>
      </c>
      <c r="P71" s="213">
        <v>23</v>
      </c>
      <c r="Q71" s="214">
        <v>23</v>
      </c>
      <c r="R71" s="215">
        <v>23</v>
      </c>
      <c r="S71" s="97">
        <f>52337.46+18000.02</f>
        <v>70337.48</v>
      </c>
      <c r="T71" s="97">
        <v>52337.46</v>
      </c>
      <c r="U71" s="97">
        <f t="shared" si="2"/>
        <v>18000.019999999997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12</v>
      </c>
      <c r="I72" s="75">
        <v>6</v>
      </c>
      <c r="J72" s="210">
        <v>7</v>
      </c>
      <c r="K72" s="209">
        <v>7</v>
      </c>
      <c r="L72" s="210">
        <v>7</v>
      </c>
      <c r="M72" s="211">
        <f>4703.53+544.32+1960.26</f>
        <v>7208.11</v>
      </c>
      <c r="N72" s="211">
        <v>4703.53</v>
      </c>
      <c r="O72" s="212">
        <f t="shared" si="1"/>
        <v>2504.58</v>
      </c>
      <c r="P72" s="213">
        <v>7</v>
      </c>
      <c r="Q72" s="21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33</v>
      </c>
      <c r="I73" s="75">
        <v>23</v>
      </c>
      <c r="J73" s="210">
        <v>23</v>
      </c>
      <c r="K73" s="209">
        <v>23</v>
      </c>
      <c r="L73" s="210">
        <v>23</v>
      </c>
      <c r="M73" s="211">
        <f>2095.52+746.9+4941.1+3310.3</f>
        <v>11093.82</v>
      </c>
      <c r="N73" s="211">
        <f>2095.52+746.9</f>
        <v>2842.42</v>
      </c>
      <c r="O73" s="212">
        <f t="shared" si="1"/>
        <v>8251.4</v>
      </c>
      <c r="P73" s="213">
        <v>6</v>
      </c>
      <c r="Q73" s="214">
        <v>6</v>
      </c>
      <c r="R73" s="215">
        <v>6</v>
      </c>
      <c r="S73" s="97">
        <f>1821.06+4580.19+1240.2</f>
        <v>7641.45</v>
      </c>
      <c r="T73" s="97">
        <f>1821.06+4580.19</f>
        <v>6401.25</v>
      </c>
      <c r="U73" s="97">
        <f t="shared" si="2"/>
        <v>1240.1999999999998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75"/>
      <c r="J74" s="210"/>
      <c r="K74" s="209"/>
      <c r="L74" s="210"/>
      <c r="M74" s="211"/>
      <c r="N74" s="211"/>
      <c r="O74" s="212">
        <f t="shared" si="1"/>
        <v>0</v>
      </c>
      <c r="P74" s="213">
        <v>1</v>
      </c>
      <c r="Q74" s="21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7</v>
      </c>
      <c r="I75" s="75">
        <v>5</v>
      </c>
      <c r="J75" s="210">
        <v>6</v>
      </c>
      <c r="K75" s="209">
        <v>6</v>
      </c>
      <c r="L75" s="210">
        <v>6</v>
      </c>
      <c r="M75" s="211">
        <f>275.6+741.36+14287.26</f>
        <v>15304.220000000001</v>
      </c>
      <c r="N75" s="211">
        <f>275.6+741.36+14287.26</f>
        <v>15304.220000000001</v>
      </c>
      <c r="O75" s="212">
        <f t="shared" ref="O75:O104" si="4" xml:space="preserve"> (M75-N75)</f>
        <v>0</v>
      </c>
      <c r="P75" s="213">
        <v>3</v>
      </c>
      <c r="Q75" s="21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28</v>
      </c>
      <c r="I76" s="75">
        <v>18</v>
      </c>
      <c r="J76" s="210">
        <v>26</v>
      </c>
      <c r="K76" s="209">
        <v>26</v>
      </c>
      <c r="L76" s="210">
        <v>26</v>
      </c>
      <c r="M76" s="211">
        <f>11803.63+1320.23+3132.15+12104.63+822.42</f>
        <v>29183.059999999998</v>
      </c>
      <c r="N76" s="211">
        <f>11803.63+1320.23+3132.15+12927.05</f>
        <v>29183.059999999998</v>
      </c>
      <c r="O76" s="212">
        <f t="shared" si="4"/>
        <v>0</v>
      </c>
      <c r="P76" s="213">
        <v>5</v>
      </c>
      <c r="Q76" s="214">
        <v>5</v>
      </c>
      <c r="R76" s="215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21</v>
      </c>
      <c r="I77" s="75">
        <v>12</v>
      </c>
      <c r="J77" s="210">
        <v>14</v>
      </c>
      <c r="K77" s="209">
        <v>14</v>
      </c>
      <c r="L77" s="210">
        <v>12</v>
      </c>
      <c r="M77" s="211">
        <f>4234.67+4498.63+1766.87+2083.87</f>
        <v>12584.039999999997</v>
      </c>
      <c r="N77" s="211">
        <f>4234.67+4498.63</f>
        <v>8733.2999999999993</v>
      </c>
      <c r="O77" s="212">
        <f t="shared" si="4"/>
        <v>3850.739999999998</v>
      </c>
      <c r="P77" s="213"/>
      <c r="Q77" s="214"/>
      <c r="R77" s="215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80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75"/>
      <c r="J78" s="210"/>
      <c r="K78" s="209"/>
      <c r="L78" s="210"/>
      <c r="M78" s="211"/>
      <c r="N78" s="211"/>
      <c r="O78" s="212">
        <f t="shared" si="4"/>
        <v>0</v>
      </c>
      <c r="P78" s="213">
        <v>8</v>
      </c>
      <c r="Q78" s="214">
        <v>8</v>
      </c>
      <c r="R78" s="215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20</v>
      </c>
      <c r="I79" s="75">
        <v>15</v>
      </c>
      <c r="J79" s="210">
        <v>21</v>
      </c>
      <c r="K79" s="209">
        <v>21</v>
      </c>
      <c r="L79" s="210">
        <v>21</v>
      </c>
      <c r="M79" s="211">
        <f>8913.81+7027.61+1244.33+15395.91+4278.3</f>
        <v>36859.96</v>
      </c>
      <c r="N79" s="211">
        <f>8913.81+7027.61+1244.33+15395.91</f>
        <v>32581.66</v>
      </c>
      <c r="O79" s="212">
        <f t="shared" si="4"/>
        <v>4278.2999999999993</v>
      </c>
      <c r="P79" s="213">
        <v>4</v>
      </c>
      <c r="Q79" s="21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18</v>
      </c>
      <c r="I80" s="75">
        <v>14</v>
      </c>
      <c r="J80" s="210">
        <v>20</v>
      </c>
      <c r="K80" s="209">
        <v>20</v>
      </c>
      <c r="L80" s="210">
        <v>20</v>
      </c>
      <c r="M80" s="211">
        <f>14959.64+7384.39+14758.51</f>
        <v>37102.54</v>
      </c>
      <c r="N80" s="211">
        <f>14959.64+7384.39+14758.51</f>
        <v>37102.54</v>
      </c>
      <c r="O80" s="212">
        <f t="shared" si="4"/>
        <v>0</v>
      </c>
      <c r="P80" s="213">
        <v>9</v>
      </c>
      <c r="Q80" s="214">
        <v>9</v>
      </c>
      <c r="R80" s="215">
        <v>9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3</v>
      </c>
      <c r="I81" s="75"/>
      <c r="J81" s="210"/>
      <c r="K81" s="209"/>
      <c r="L81" s="210"/>
      <c r="M81" s="211"/>
      <c r="N81" s="211"/>
      <c r="O81" s="212">
        <f t="shared" si="4"/>
        <v>0</v>
      </c>
      <c r="P81" s="213">
        <v>1</v>
      </c>
      <c r="Q81" s="214">
        <v>1</v>
      </c>
      <c r="R81" s="215">
        <v>1</v>
      </c>
      <c r="S81" s="97">
        <v>2673.24</v>
      </c>
      <c r="T81" s="97"/>
      <c r="U81" s="97">
        <f t="shared" si="5"/>
        <v>2673.24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18</v>
      </c>
      <c r="I82" s="75">
        <v>14</v>
      </c>
      <c r="J82" s="210">
        <v>15</v>
      </c>
      <c r="K82" s="209">
        <v>15</v>
      </c>
      <c r="L82" s="210">
        <v>15</v>
      </c>
      <c r="M82" s="211">
        <f>2626.75+8084.46+600.05+7445.83</f>
        <v>18757.089999999997</v>
      </c>
      <c r="N82" s="211">
        <f>2626.75+8084.46+600.05+7445.83</f>
        <v>18757.089999999997</v>
      </c>
      <c r="O82" s="212">
        <f t="shared" si="4"/>
        <v>0</v>
      </c>
      <c r="P82" s="213">
        <v>9</v>
      </c>
      <c r="Q82" s="214">
        <v>9</v>
      </c>
      <c r="R82" s="215">
        <v>9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19</v>
      </c>
      <c r="I83" s="75">
        <v>13</v>
      </c>
      <c r="J83" s="210">
        <v>22</v>
      </c>
      <c r="K83" s="209">
        <v>22</v>
      </c>
      <c r="L83" s="210">
        <v>22</v>
      </c>
      <c r="M83" s="211">
        <f>11232.31+3440.1+14435.12-1360.99+3088.95</f>
        <v>30835.489999999998</v>
      </c>
      <c r="N83" s="211">
        <f>11232.31+3440.1+14435.12-1360.99</f>
        <v>27746.539999999997</v>
      </c>
      <c r="O83" s="212">
        <f t="shared" si="4"/>
        <v>3088.9500000000007</v>
      </c>
      <c r="P83" s="213">
        <v>7</v>
      </c>
      <c r="Q83" s="21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18</v>
      </c>
      <c r="I84" s="75">
        <v>12</v>
      </c>
      <c r="J84" s="210">
        <v>18</v>
      </c>
      <c r="K84" s="209">
        <v>18</v>
      </c>
      <c r="L84" s="210">
        <v>17</v>
      </c>
      <c r="M84" s="211">
        <f>5429.56+2272.28+2029.9+2976.46+1243.6</f>
        <v>13951.800000000001</v>
      </c>
      <c r="N84" s="211">
        <f>5429.56+2272.28+2029.9</f>
        <v>9731.74</v>
      </c>
      <c r="O84" s="212">
        <f t="shared" si="4"/>
        <v>4220.0600000000013</v>
      </c>
      <c r="P84" s="213">
        <v>1</v>
      </c>
      <c r="Q84" s="21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32</v>
      </c>
      <c r="I85" s="75">
        <v>27</v>
      </c>
      <c r="J85" s="210">
        <v>49</v>
      </c>
      <c r="K85" s="209">
        <v>49</v>
      </c>
      <c r="L85" s="210">
        <v>47</v>
      </c>
      <c r="M85" s="211">
        <f>15506.09+4089.12+1924.78+1267.55+6546.86+1962.04+654.22</f>
        <v>31950.66</v>
      </c>
      <c r="N85" s="211">
        <f>15506.09+4089.12+1924.78+1267.55+6546.86</f>
        <v>29334.399999999998</v>
      </c>
      <c r="O85" s="212">
        <f t="shared" si="4"/>
        <v>2616.260000000002</v>
      </c>
      <c r="P85" s="213">
        <v>5</v>
      </c>
      <c r="Q85" s="21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12</v>
      </c>
      <c r="I86" s="75">
        <v>6</v>
      </c>
      <c r="J86" s="210">
        <v>7</v>
      </c>
      <c r="K86" s="209">
        <v>7</v>
      </c>
      <c r="L86" s="210">
        <v>4</v>
      </c>
      <c r="M86" s="211">
        <v>1956.76</v>
      </c>
      <c r="N86" s="211">
        <v>1956.76</v>
      </c>
      <c r="O86" s="212">
        <f t="shared" si="4"/>
        <v>0</v>
      </c>
      <c r="P86" s="213">
        <v>2</v>
      </c>
      <c r="Q86" s="21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8</v>
      </c>
      <c r="I87" s="75">
        <v>6</v>
      </c>
      <c r="J87" s="210">
        <v>7</v>
      </c>
      <c r="K87" s="209">
        <v>7</v>
      </c>
      <c r="L87" s="210">
        <v>7</v>
      </c>
      <c r="M87" s="211">
        <f>795.8+4099.92+1305+358.88</f>
        <v>6559.6</v>
      </c>
      <c r="N87" s="211">
        <f>795.8+4099.92+1305</f>
        <v>6200.72</v>
      </c>
      <c r="O87" s="212">
        <f t="shared" si="4"/>
        <v>358.88000000000011</v>
      </c>
      <c r="P87" s="213">
        <v>5</v>
      </c>
      <c r="Q87" s="214">
        <v>5</v>
      </c>
      <c r="R87" s="215">
        <v>4</v>
      </c>
      <c r="S87" s="97">
        <f>2723.78+3718.48</f>
        <v>6442.26</v>
      </c>
      <c r="T87" s="97">
        <f>2723.78+3718.48</f>
        <v>6442.26</v>
      </c>
      <c r="U87" s="97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75"/>
      <c r="J88" s="210"/>
      <c r="K88" s="209"/>
      <c r="L88" s="210"/>
      <c r="M88" s="211"/>
      <c r="N88" s="211"/>
      <c r="O88" s="212">
        <f t="shared" si="4"/>
        <v>0</v>
      </c>
      <c r="P88" s="213">
        <v>6</v>
      </c>
      <c r="Q88" s="21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11</v>
      </c>
      <c r="I89" s="75">
        <v>7</v>
      </c>
      <c r="J89" s="210">
        <v>8</v>
      </c>
      <c r="K89" s="209">
        <v>8</v>
      </c>
      <c r="L89" s="210">
        <v>8</v>
      </c>
      <c r="M89" s="211">
        <f>2874.33+1509.2+1943</f>
        <v>6326.53</v>
      </c>
      <c r="N89" s="211">
        <f>2874.33+1509.2+1943</f>
        <v>6326.53</v>
      </c>
      <c r="O89" s="212">
        <f t="shared" si="4"/>
        <v>0</v>
      </c>
      <c r="P89" s="213">
        <v>5</v>
      </c>
      <c r="Q89" s="214">
        <v>5</v>
      </c>
      <c r="R89" s="215">
        <v>5</v>
      </c>
      <c r="S89" s="97">
        <f>8161.92+1118.75+3779.58</f>
        <v>13060.25</v>
      </c>
      <c r="T89" s="97">
        <f>8161.92+1118.75+3779.58</f>
        <v>13060.25</v>
      </c>
      <c r="U89" s="97">
        <f t="shared" si="5"/>
        <v>0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42</v>
      </c>
      <c r="I90" s="75">
        <v>37</v>
      </c>
      <c r="J90" s="210">
        <v>65</v>
      </c>
      <c r="K90" s="209">
        <v>65</v>
      </c>
      <c r="L90" s="210">
        <v>55</v>
      </c>
      <c r="M90" s="211">
        <f>14303.46+6714.67+1828.05+13505.93+582.9</f>
        <v>36935.01</v>
      </c>
      <c r="N90" s="211">
        <f>14303.46+6714.67+1828.05+13505.93</f>
        <v>36352.11</v>
      </c>
      <c r="O90" s="212">
        <f t="shared" si="4"/>
        <v>582.90000000000146</v>
      </c>
      <c r="P90" s="213">
        <v>8</v>
      </c>
      <c r="Q90" s="214">
        <v>8</v>
      </c>
      <c r="R90" s="215">
        <v>8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25</v>
      </c>
      <c r="I91" s="75">
        <v>12</v>
      </c>
      <c r="J91" s="210">
        <v>18</v>
      </c>
      <c r="K91" s="209">
        <v>18</v>
      </c>
      <c r="L91" s="210">
        <v>18</v>
      </c>
      <c r="M91" s="211">
        <f>5384.83+3572.76</f>
        <v>8957.59</v>
      </c>
      <c r="N91" s="211">
        <v>5384.83</v>
      </c>
      <c r="O91" s="212">
        <f t="shared" si="4"/>
        <v>3572.76</v>
      </c>
      <c r="P91" s="213">
        <v>7</v>
      </c>
      <c r="Q91" s="214">
        <v>7</v>
      </c>
      <c r="R91" s="215">
        <v>7</v>
      </c>
      <c r="S91" s="97">
        <f>6219.66+748.35+1502.94</f>
        <v>8470.9500000000007</v>
      </c>
      <c r="T91" s="97">
        <f>6219.66+748.35</f>
        <v>6968.01</v>
      </c>
      <c r="U91" s="97">
        <f t="shared" si="5"/>
        <v>1502.9400000000005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16</v>
      </c>
      <c r="I92" s="75">
        <v>14</v>
      </c>
      <c r="J92" s="210">
        <v>18</v>
      </c>
      <c r="K92" s="209">
        <v>18</v>
      </c>
      <c r="L92" s="210">
        <v>18</v>
      </c>
      <c r="M92" s="211">
        <f>2301.54+4352.56+3555.69+1798.94+1481.14+763.69+2342.6</f>
        <v>16596.16</v>
      </c>
      <c r="N92" s="211">
        <f>2301.54+4352.56+3555.69+1798.94+1481.14</f>
        <v>13489.87</v>
      </c>
      <c r="O92" s="212">
        <f t="shared" si="4"/>
        <v>3106.2899999999991</v>
      </c>
      <c r="P92" s="213">
        <v>1</v>
      </c>
      <c r="Q92" s="21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87</v>
      </c>
      <c r="I93" s="75">
        <v>51</v>
      </c>
      <c r="J93" s="210">
        <v>57</v>
      </c>
      <c r="K93" s="209">
        <v>57</v>
      </c>
      <c r="L93" s="210">
        <v>46</v>
      </c>
      <c r="M93" s="211">
        <f>14656.12+3543.47+2420.25+2112.66+1299.21595</f>
        <v>24031.715950000002</v>
      </c>
      <c r="N93" s="211">
        <f>14656.12+3543.47+2764.75</f>
        <v>20964.34</v>
      </c>
      <c r="O93" s="212">
        <f t="shared" si="4"/>
        <v>3067.3759500000015</v>
      </c>
      <c r="P93" s="213">
        <v>9</v>
      </c>
      <c r="Q93" s="214">
        <v>9</v>
      </c>
      <c r="R93" s="215">
        <v>9</v>
      </c>
      <c r="S93" s="97">
        <f>11083.64+344.5</f>
        <v>11428.14</v>
      </c>
      <c r="T93" s="97">
        <v>11083.64</v>
      </c>
      <c r="U93" s="97">
        <f t="shared" si="5"/>
        <v>344.5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37</v>
      </c>
      <c r="I94" s="75">
        <v>17</v>
      </c>
      <c r="J94" s="210">
        <v>16</v>
      </c>
      <c r="K94" s="210">
        <v>16</v>
      </c>
      <c r="L94" s="210">
        <v>16</v>
      </c>
      <c r="M94" s="211">
        <f>6576.32+217.5+2898.52+939.6+1008.45</f>
        <v>11640.390000000001</v>
      </c>
      <c r="N94" s="211">
        <f>6576.32+217.5+2898.52</f>
        <v>9692.34</v>
      </c>
      <c r="O94" s="212">
        <f t="shared" si="4"/>
        <v>1948.0500000000011</v>
      </c>
      <c r="P94" s="213">
        <v>24</v>
      </c>
      <c r="Q94" s="215">
        <v>24</v>
      </c>
      <c r="R94" s="215">
        <v>24</v>
      </c>
      <c r="S94" s="97">
        <f>18253.04+4245.2+858.65+1546.26+14802.65</f>
        <v>39705.800000000003</v>
      </c>
      <c r="T94" s="97">
        <f>18253.04+4245.2+858.65</f>
        <v>23356.890000000003</v>
      </c>
      <c r="U94" s="97">
        <f t="shared" si="5"/>
        <v>16348.91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28</v>
      </c>
      <c r="I95" s="75">
        <v>13</v>
      </c>
      <c r="J95" s="210">
        <v>15</v>
      </c>
      <c r="K95" s="209">
        <v>15</v>
      </c>
      <c r="L95" s="210">
        <v>15</v>
      </c>
      <c r="M95" s="211">
        <f>2362.32+22110.36+455.21+2039.58+953.22+699.73</f>
        <v>28620.420000000002</v>
      </c>
      <c r="N95" s="211">
        <f>2362.32+22110.36+455.21+2039.58</f>
        <v>26967.47</v>
      </c>
      <c r="O95" s="212">
        <f t="shared" si="4"/>
        <v>1652.9500000000007</v>
      </c>
      <c r="P95" s="213">
        <v>16</v>
      </c>
      <c r="Q95" s="214">
        <v>16</v>
      </c>
      <c r="R95" s="215">
        <v>16</v>
      </c>
      <c r="S95" s="97">
        <f>24552.24+1001.28+122.46+1729.98-1</f>
        <v>27404.959999999999</v>
      </c>
      <c r="T95" s="97">
        <f>24552.24+1001.28+122.46</f>
        <v>25675.98</v>
      </c>
      <c r="U95" s="97">
        <f t="shared" si="5"/>
        <v>1728.9799999999996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9</v>
      </c>
      <c r="I96" s="75">
        <v>7</v>
      </c>
      <c r="J96" s="210">
        <v>10</v>
      </c>
      <c r="K96" s="209">
        <v>10</v>
      </c>
      <c r="L96" s="210">
        <v>10</v>
      </c>
      <c r="M96" s="211">
        <f>826.8+2786.41+2401.3</f>
        <v>6014.51</v>
      </c>
      <c r="N96" s="211">
        <f>826.8+2786.41</f>
        <v>3613.21</v>
      </c>
      <c r="O96" s="212">
        <f t="shared" si="4"/>
        <v>2401.3000000000002</v>
      </c>
      <c r="P96" s="213"/>
      <c r="Q96" s="214"/>
      <c r="R96" s="215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75">
        <v>7</v>
      </c>
      <c r="J97" s="210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</f>
        <v>4629.18</v>
      </c>
      <c r="O97" s="212">
        <f t="shared" si="4"/>
        <v>380.63000000000011</v>
      </c>
      <c r="P97" s="213">
        <v>4</v>
      </c>
      <c r="Q97" s="21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16</v>
      </c>
      <c r="I98" s="75">
        <v>9</v>
      </c>
      <c r="J98" s="210">
        <v>9</v>
      </c>
      <c r="K98" s="209">
        <v>9</v>
      </c>
      <c r="L98" s="210">
        <v>6</v>
      </c>
      <c r="M98" s="211">
        <f>757.9+551.2+895.7+290</f>
        <v>2494.8000000000002</v>
      </c>
      <c r="N98" s="211">
        <f>757.9+551.2+895.7+290</f>
        <v>2494.8000000000002</v>
      </c>
      <c r="O98" s="212">
        <f t="shared" si="4"/>
        <v>0</v>
      </c>
      <c r="P98" s="213">
        <v>11</v>
      </c>
      <c r="Q98" s="214">
        <v>11</v>
      </c>
      <c r="R98" s="215">
        <v>10</v>
      </c>
      <c r="S98" s="97">
        <f>8034.56+3466.13</f>
        <v>11500.69</v>
      </c>
      <c r="T98" s="97">
        <f>8034.56+3466.13</f>
        <v>11500.69</v>
      </c>
      <c r="U98" s="97">
        <f t="shared" si="5"/>
        <v>0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25</v>
      </c>
      <c r="I99" s="75">
        <v>13</v>
      </c>
      <c r="J99" s="210">
        <v>16</v>
      </c>
      <c r="K99" s="209">
        <v>16</v>
      </c>
      <c r="L99" s="210">
        <v>14</v>
      </c>
      <c r="M99" s="211">
        <f>4782.23+1353.89+2195.41+1197.7+1340.79</f>
        <v>10870.02</v>
      </c>
      <c r="N99" s="211">
        <f>4782.23+1353.89+2195.41+1197.7</f>
        <v>9529.23</v>
      </c>
      <c r="O99" s="212">
        <f t="shared" si="4"/>
        <v>1340.7900000000009</v>
      </c>
      <c r="P99" s="213">
        <v>11</v>
      </c>
      <c r="Q99" s="214">
        <v>11</v>
      </c>
      <c r="R99" s="215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18</v>
      </c>
      <c r="I100" s="75">
        <v>12</v>
      </c>
      <c r="J100" s="210">
        <v>17</v>
      </c>
      <c r="K100" s="209">
        <v>17</v>
      </c>
      <c r="L100" s="210">
        <v>17</v>
      </c>
      <c r="M100" s="211">
        <f>10862.96+2375.03+5632.11</f>
        <v>18870.099999999999</v>
      </c>
      <c r="N100" s="211">
        <f>10862.96+2375.03+5632.11</f>
        <v>18870.099999999999</v>
      </c>
      <c r="O100" s="212">
        <f t="shared" si="4"/>
        <v>0</v>
      </c>
      <c r="P100" s="213">
        <v>10</v>
      </c>
      <c r="Q100" s="214">
        <v>10</v>
      </c>
      <c r="R100" s="215">
        <v>10</v>
      </c>
      <c r="S100" s="97">
        <v>4780.1000000000004</v>
      </c>
      <c r="T100" s="97">
        <v>4780.1000000000004</v>
      </c>
      <c r="U100" s="97">
        <f t="shared" si="5"/>
        <v>0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73</v>
      </c>
      <c r="I101" s="75">
        <v>37</v>
      </c>
      <c r="J101" s="210">
        <v>34</v>
      </c>
      <c r="K101" s="209">
        <v>34</v>
      </c>
      <c r="L101" s="210">
        <v>34</v>
      </c>
      <c r="M101" s="211">
        <f>16276.16+4466.66+1078.5+4011.53+435+1493.5</f>
        <v>27761.35</v>
      </c>
      <c r="N101" s="211">
        <f>16276.16+4466.66+1078.5+4011.53+435</f>
        <v>26267.85</v>
      </c>
      <c r="O101" s="212">
        <f t="shared" si="4"/>
        <v>1493.5</v>
      </c>
      <c r="P101" s="213">
        <v>34</v>
      </c>
      <c r="Q101" s="214">
        <v>34</v>
      </c>
      <c r="R101" s="215">
        <v>33</v>
      </c>
      <c r="S101" s="97">
        <f>21329.45-2252.12+532.3+345.99+26455.28+1.67+3039.85-3960.98</f>
        <v>45491.439999999995</v>
      </c>
      <c r="T101" s="97">
        <f>21329.45-2252.12+532.3+345.98+26456.96-1774.49</f>
        <v>44638.080000000002</v>
      </c>
      <c r="U101" s="97">
        <f t="shared" si="5"/>
        <v>853.35999999999331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9</v>
      </c>
      <c r="I102" s="114">
        <v>8</v>
      </c>
      <c r="J102" s="217">
        <v>11</v>
      </c>
      <c r="K102" s="216">
        <v>11</v>
      </c>
      <c r="L102" s="217">
        <v>11</v>
      </c>
      <c r="M102" s="218">
        <f>3259.83+1328.19+2964.21+8477.19</f>
        <v>16029.420000000002</v>
      </c>
      <c r="N102" s="218">
        <v>3259.83</v>
      </c>
      <c r="O102" s="212">
        <f t="shared" si="4"/>
        <v>12769.590000000002</v>
      </c>
      <c r="P102" s="219">
        <v>4</v>
      </c>
      <c r="Q102" s="220">
        <v>4</v>
      </c>
      <c r="R102" s="221">
        <v>4</v>
      </c>
      <c r="S102" s="147">
        <f>1193.3+5843.89</f>
        <v>7037.1900000000005</v>
      </c>
      <c r="T102" s="147">
        <v>1193.3</v>
      </c>
      <c r="U102" s="147">
        <f t="shared" si="5"/>
        <v>5843.89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16</v>
      </c>
      <c r="I103" s="75">
        <v>3</v>
      </c>
      <c r="J103" s="210">
        <v>3</v>
      </c>
      <c r="K103" s="209">
        <v>3</v>
      </c>
      <c r="L103" s="210">
        <v>3</v>
      </c>
      <c r="M103" s="211">
        <f>699.33+580</f>
        <v>1279.33</v>
      </c>
      <c r="N103" s="211">
        <f>699.33+580</f>
        <v>1279.33</v>
      </c>
      <c r="O103" s="212">
        <f t="shared" si="4"/>
        <v>0</v>
      </c>
      <c r="P103" s="215"/>
      <c r="Q103" s="214"/>
      <c r="R103" s="215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75">
        <v>2</v>
      </c>
      <c r="J104" s="210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214"/>
      <c r="R104" s="215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2013</v>
      </c>
      <c r="I105" s="119">
        <f t="shared" si="7"/>
        <v>1206</v>
      </c>
      <c r="J105" s="223">
        <f t="shared" si="7"/>
        <v>1557</v>
      </c>
      <c r="K105" s="222">
        <f t="shared" si="7"/>
        <v>1557</v>
      </c>
      <c r="L105" s="223">
        <f t="shared" si="7"/>
        <v>1471</v>
      </c>
      <c r="M105" s="224">
        <f t="shared" si="7"/>
        <v>1267706.2559500001</v>
      </c>
      <c r="N105" s="224">
        <f t="shared" si="7"/>
        <v>1046158.1700000002</v>
      </c>
      <c r="O105" s="224">
        <f t="shared" si="7"/>
        <v>221548.08594999998</v>
      </c>
      <c r="P105" s="225">
        <f t="shared" si="7"/>
        <v>711</v>
      </c>
      <c r="Q105" s="226">
        <f>SUM(Q10:Q104)</f>
        <v>711</v>
      </c>
      <c r="R105" s="225">
        <f>SUM(R11:R104)</f>
        <v>693</v>
      </c>
      <c r="S105" s="151">
        <f>SUM(S10:S104)</f>
        <v>980575.07999999973</v>
      </c>
      <c r="T105" s="151">
        <f>SUM(T10:T104)</f>
        <v>887631.8</v>
      </c>
      <c r="U105" s="151">
        <f>SUM(U10:U104)</f>
        <v>92943.279999999984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236"/>
      <c r="AG105" s="236"/>
      <c r="AH105" s="236"/>
    </row>
    <row r="106" spans="1:35" x14ac:dyDescent="0.25">
      <c r="V106" s="160"/>
      <c r="W106" s="159"/>
      <c r="X106" s="160"/>
      <c r="Y106" s="160"/>
      <c r="Z106" s="160"/>
      <c r="AA106" s="160"/>
      <c r="AB106" s="160"/>
      <c r="AC106" s="160"/>
      <c r="AD106" s="160"/>
      <c r="AE106" s="160"/>
      <c r="AF106" s="235"/>
      <c r="AG106" s="235"/>
      <c r="AH106" s="235"/>
    </row>
    <row r="107" spans="1:35" x14ac:dyDescent="0.25">
      <c r="V107" s="145"/>
      <c r="W107" s="145"/>
      <c r="AF107" s="234"/>
      <c r="AG107" s="234"/>
      <c r="AH107" s="234"/>
      <c r="AI107" s="145"/>
    </row>
    <row r="108" spans="1:35" x14ac:dyDescent="0.25">
      <c r="W108" s="145"/>
      <c r="AF108" s="234"/>
      <c r="AG108" s="235"/>
      <c r="AH108" s="235"/>
    </row>
    <row r="109" spans="1:35" x14ac:dyDescent="0.25">
      <c r="AF109" s="235"/>
      <c r="AG109" s="235"/>
      <c r="AH109" s="234"/>
    </row>
    <row r="110" spans="1:35" x14ac:dyDescent="0.25">
      <c r="AF110" s="235"/>
      <c r="AG110" s="235"/>
      <c r="AH110" s="234"/>
    </row>
    <row r="111" spans="1:35" x14ac:dyDescent="0.25">
      <c r="AF111" s="235"/>
      <c r="AG111" s="235"/>
      <c r="AH111" s="235"/>
    </row>
    <row r="112" spans="1:35" x14ac:dyDescent="0.25">
      <c r="AF112" s="235"/>
      <c r="AG112" s="235"/>
      <c r="AH112" s="235"/>
    </row>
    <row r="113" spans="32:34" x14ac:dyDescent="0.25">
      <c r="AF113" s="235"/>
      <c r="AG113" s="235"/>
      <c r="AH113" s="235"/>
    </row>
    <row r="114" spans="32:34" x14ac:dyDescent="0.25">
      <c r="AF114" s="235"/>
      <c r="AG114" s="235"/>
      <c r="AH114" s="23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318" priority="10" stopIfTrue="1" operator="equal">
      <formula>0</formula>
    </cfRule>
  </conditionalFormatting>
  <conditionalFormatting sqref="AL45">
    <cfRule type="cellIs" dxfId="317" priority="9" stopIfTrue="1" operator="equal">
      <formula>0</formula>
    </cfRule>
  </conditionalFormatting>
  <conditionalFormatting sqref="T45">
    <cfRule type="cellIs" dxfId="316" priority="8" stopIfTrue="1" operator="equal">
      <formula>0</formula>
    </cfRule>
  </conditionalFormatting>
  <conditionalFormatting sqref="T45">
    <cfRule type="cellIs" dxfId="315" priority="7" stopIfTrue="1" operator="equal">
      <formula>0</formula>
    </cfRule>
  </conditionalFormatting>
  <conditionalFormatting sqref="T45">
    <cfRule type="cellIs" dxfId="314" priority="6" stopIfTrue="1" operator="equal">
      <formula>0</formula>
    </cfRule>
  </conditionalFormatting>
  <conditionalFormatting sqref="T45">
    <cfRule type="cellIs" dxfId="313" priority="5" stopIfTrue="1" operator="equal">
      <formula>0</formula>
    </cfRule>
  </conditionalFormatting>
  <conditionalFormatting sqref="T45">
    <cfRule type="cellIs" dxfId="312" priority="4" stopIfTrue="1" operator="equal">
      <formula>0</formula>
    </cfRule>
  </conditionalFormatting>
  <conditionalFormatting sqref="T45">
    <cfRule type="cellIs" dxfId="311" priority="3" stopIfTrue="1" operator="equal">
      <formula>0</formula>
    </cfRule>
  </conditionalFormatting>
  <conditionalFormatting sqref="T45">
    <cfRule type="cellIs" dxfId="310" priority="2" stopIfTrue="1" operator="equal">
      <formula>0</formula>
    </cfRule>
  </conditionalFormatting>
  <conditionalFormatting sqref="T45">
    <cfRule type="cellIs" dxfId="30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B82" zoomScale="90" zoomScaleNormal="90" workbookViewId="0">
      <selection activeCell="T105" sqref="T105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4.42578125" style="184" customWidth="1"/>
    <col min="4" max="4" width="9.140625" style="184" customWidth="1"/>
    <col min="5" max="5" width="14.5703125" style="184" customWidth="1"/>
    <col min="6" max="6" width="25.140625" style="184" customWidth="1"/>
    <col min="7" max="7" width="20.42578125" style="184" customWidth="1"/>
    <col min="8" max="9" width="9.140625" style="184" customWidth="1"/>
    <col min="10" max="12" width="9.140625" style="227" customWidth="1"/>
    <col min="13" max="13" width="16.5703125" style="228" customWidth="1"/>
    <col min="14" max="14" width="12.42578125" style="228" customWidth="1"/>
    <col min="15" max="15" width="12.28515625" style="228" customWidth="1"/>
    <col min="16" max="18" width="9.140625" style="228" customWidth="1"/>
    <col min="19" max="19" width="16.85546875" style="185" customWidth="1"/>
    <col min="20" max="20" width="10.7109375" style="185" customWidth="1"/>
    <col min="21" max="21" width="10.85546875" style="186" customWidth="1"/>
    <col min="22" max="22" width="15" style="134" customWidth="1"/>
    <col min="23" max="23" width="14" style="134" hidden="1" customWidth="1"/>
    <col min="24" max="24" width="9.140625" style="134" hidden="1" customWidth="1"/>
    <col min="25" max="25" width="9.5703125" style="134" hidden="1" customWidth="1"/>
    <col min="26" max="26" width="9.140625" style="134" hidden="1" customWidth="1"/>
    <col min="27" max="27" width="9.5703125" style="134" hidden="1" customWidth="1"/>
    <col min="28" max="30" width="9.140625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3" style="134" customWidth="1"/>
    <col min="35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301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302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36</v>
      </c>
      <c r="I10" s="75">
        <v>20</v>
      </c>
      <c r="J10" s="210">
        <v>23</v>
      </c>
      <c r="K10" s="209">
        <v>23</v>
      </c>
      <c r="L10" s="210">
        <v>22</v>
      </c>
      <c r="M10" s="211">
        <f>8818.63+2629.32+1661.28+2228.94</f>
        <v>15338.17</v>
      </c>
      <c r="N10" s="211">
        <f>8818.63+2629.32+1661.28</f>
        <v>13109.23</v>
      </c>
      <c r="O10" s="212">
        <f xml:space="preserve"> (M10-N10)</f>
        <v>2228.9400000000005</v>
      </c>
      <c r="P10" s="213">
        <v>8</v>
      </c>
      <c r="Q10" s="214">
        <v>8</v>
      </c>
      <c r="R10" s="215">
        <v>8</v>
      </c>
      <c r="S10" s="97">
        <f>4246.75+895.7+2557.8</f>
        <v>7700.25</v>
      </c>
      <c r="T10" s="97">
        <f>4246.75+895.7</f>
        <v>5142.45</v>
      </c>
      <c r="U10" s="97">
        <f xml:space="preserve"> (S10-T10)</f>
        <v>2557.8000000000002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14</v>
      </c>
      <c r="I11" s="75">
        <v>13</v>
      </c>
      <c r="J11" s="210">
        <v>13</v>
      </c>
      <c r="K11" s="209">
        <v>13</v>
      </c>
      <c r="L11" s="210">
        <v>12</v>
      </c>
      <c r="M11" s="211">
        <f>1778.86+580+1740+464+580</f>
        <v>5142.8599999999997</v>
      </c>
      <c r="N11" s="211">
        <f>1778.86+580+1740</f>
        <v>4098.8599999999997</v>
      </c>
      <c r="O11" s="212">
        <f t="shared" ref="O11:O74" si="1" xml:space="preserve"> (M11-N11)</f>
        <v>1044</v>
      </c>
      <c r="P11" s="213">
        <v>2</v>
      </c>
      <c r="Q11" s="21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75"/>
      <c r="J12" s="210"/>
      <c r="K12" s="209"/>
      <c r="L12" s="210"/>
      <c r="M12" s="211"/>
      <c r="N12" s="211"/>
      <c r="O12" s="212">
        <f t="shared" si="1"/>
        <v>0</v>
      </c>
      <c r="P12" s="213">
        <v>3</v>
      </c>
      <c r="Q12" s="21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26</v>
      </c>
      <c r="I13" s="75">
        <v>8</v>
      </c>
      <c r="J13" s="210">
        <v>11</v>
      </c>
      <c r="K13" s="209">
        <v>11</v>
      </c>
      <c r="L13" s="210">
        <v>11</v>
      </c>
      <c r="M13" s="211">
        <f>272.84+2699.54+4096.17</f>
        <v>7068.55</v>
      </c>
      <c r="N13" s="211">
        <f>272.84+2699.54+4096.17</f>
        <v>7068.55</v>
      </c>
      <c r="O13" s="212">
        <f t="shared" si="1"/>
        <v>0</v>
      </c>
      <c r="P13" s="213">
        <v>5</v>
      </c>
      <c r="Q13" s="214">
        <v>5</v>
      </c>
      <c r="R13" s="215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31</v>
      </c>
      <c r="I14" s="75">
        <v>18</v>
      </c>
      <c r="J14" s="210">
        <v>21</v>
      </c>
      <c r="K14" s="209">
        <v>21</v>
      </c>
      <c r="L14" s="210">
        <v>19</v>
      </c>
      <c r="M14" s="211">
        <f>4932.74+3257.04+137+2487.39+344.5</f>
        <v>11158.669999999998</v>
      </c>
      <c r="N14" s="211">
        <f>4932.74+3257.04</f>
        <v>8189.78</v>
      </c>
      <c r="O14" s="212">
        <f t="shared" si="1"/>
        <v>2968.8899999999985</v>
      </c>
      <c r="P14" s="213">
        <v>7</v>
      </c>
      <c r="Q14" s="214">
        <v>7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28</v>
      </c>
      <c r="I15" s="75">
        <v>20</v>
      </c>
      <c r="J15" s="210">
        <v>26</v>
      </c>
      <c r="K15" s="209">
        <v>26</v>
      </c>
      <c r="L15" s="210">
        <v>25</v>
      </c>
      <c r="M15" s="211">
        <f>16942.87+1278.76+580</f>
        <v>18801.629999999997</v>
      </c>
      <c r="N15" s="211">
        <f>16942.87+1278.76</f>
        <v>18221.629999999997</v>
      </c>
      <c r="O15" s="212">
        <f t="shared" si="1"/>
        <v>580</v>
      </c>
      <c r="P15" s="213">
        <v>14</v>
      </c>
      <c r="Q15" s="214">
        <v>14</v>
      </c>
      <c r="R15" s="215">
        <v>13</v>
      </c>
      <c r="S15" s="97">
        <v>13813.9</v>
      </c>
      <c r="T15" s="97">
        <v>13813.9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75"/>
      <c r="J16" s="210"/>
      <c r="K16" s="209"/>
      <c r="L16" s="210"/>
      <c r="M16" s="211"/>
      <c r="N16" s="211"/>
      <c r="O16" s="212">
        <f t="shared" si="1"/>
        <v>0</v>
      </c>
      <c r="P16" s="213"/>
      <c r="Q16" s="21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31</v>
      </c>
      <c r="I17" s="75">
        <v>12</v>
      </c>
      <c r="J17" s="210">
        <v>16</v>
      </c>
      <c r="K17" s="209">
        <v>16</v>
      </c>
      <c r="L17" s="210">
        <v>14</v>
      </c>
      <c r="M17" s="211">
        <f>7235.14+4416.12+1559.66</f>
        <v>13210.92</v>
      </c>
      <c r="N17" s="211">
        <f>7235.14+4416.12+1559.66</f>
        <v>13210.92</v>
      </c>
      <c r="O17" s="212">
        <f t="shared" si="1"/>
        <v>0</v>
      </c>
      <c r="P17" s="213">
        <v>1</v>
      </c>
      <c r="Q17" s="21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31</v>
      </c>
      <c r="I18" s="75">
        <v>22</v>
      </c>
      <c r="J18" s="210">
        <v>22</v>
      </c>
      <c r="K18" s="210">
        <v>21</v>
      </c>
      <c r="L18" s="210">
        <v>17</v>
      </c>
      <c r="M18" s="211">
        <f>2118.92+12936.58+4403.89+2411.49</f>
        <v>21870.879999999997</v>
      </c>
      <c r="N18" s="211">
        <v>2118.92</v>
      </c>
      <c r="O18" s="212">
        <f t="shared" si="1"/>
        <v>19751.96</v>
      </c>
      <c r="P18" s="213">
        <v>6</v>
      </c>
      <c r="Q18" s="215">
        <v>6</v>
      </c>
      <c r="R18" s="215">
        <v>6</v>
      </c>
      <c r="S18" s="97">
        <f>14748.55+934.31</f>
        <v>15682.859999999999</v>
      </c>
      <c r="T18" s="97">
        <v>14748.55</v>
      </c>
      <c r="U18" s="97">
        <f t="shared" si="2"/>
        <v>934.30999999999949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27</v>
      </c>
      <c r="I19" s="75">
        <v>13</v>
      </c>
      <c r="J19" s="210">
        <v>25</v>
      </c>
      <c r="K19" s="209">
        <v>24</v>
      </c>
      <c r="L19" s="210">
        <v>23</v>
      </c>
      <c r="M19" s="211">
        <f>5345.36+3385.2+4242.79+7468.83</f>
        <v>20442.18</v>
      </c>
      <c r="N19" s="211">
        <f>5345.36+3385.2+4242.79</f>
        <v>12973.349999999999</v>
      </c>
      <c r="O19" s="212">
        <f t="shared" si="1"/>
        <v>7468.8300000000017</v>
      </c>
      <c r="P19" s="213">
        <v>15</v>
      </c>
      <c r="Q19" s="21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36</v>
      </c>
      <c r="I20" s="75">
        <v>18</v>
      </c>
      <c r="J20" s="210">
        <v>23</v>
      </c>
      <c r="K20" s="210">
        <v>22</v>
      </c>
      <c r="L20" s="210">
        <v>19</v>
      </c>
      <c r="M20" s="211">
        <f>5728.14+3727.02+315.94+2507.59+652.5+2191.47</f>
        <v>15122.66</v>
      </c>
      <c r="N20" s="211">
        <f>5728.14+3727.02+315.94</f>
        <v>9771.1</v>
      </c>
      <c r="O20" s="212">
        <f t="shared" si="1"/>
        <v>5351.5599999999995</v>
      </c>
      <c r="P20" s="213">
        <v>27</v>
      </c>
      <c r="Q20" s="215">
        <v>26</v>
      </c>
      <c r="R20" s="215">
        <v>26</v>
      </c>
      <c r="S20" s="97">
        <f>36404.57+1488.24+1902.09</f>
        <v>39794.899999999994</v>
      </c>
      <c r="T20" s="97">
        <f>36404.57+1488.24</f>
        <v>37892.81</v>
      </c>
      <c r="U20" s="97">
        <f t="shared" si="2"/>
        <v>1902.0899999999965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18</v>
      </c>
      <c r="I21" s="75">
        <v>10</v>
      </c>
      <c r="J21" s="210">
        <v>13</v>
      </c>
      <c r="K21" s="209">
        <v>13</v>
      </c>
      <c r="L21" s="210">
        <v>12</v>
      </c>
      <c r="M21" s="211">
        <f>3586.84+1791.4+1337.88+413.4+1061.35</f>
        <v>8190.869999999999</v>
      </c>
      <c r="N21" s="211">
        <f>3586.84+1791.4+1337.88+413.4</f>
        <v>7129.5199999999995</v>
      </c>
      <c r="O21" s="212">
        <f t="shared" si="1"/>
        <v>1061.3499999999995</v>
      </c>
      <c r="P21" s="213">
        <v>6</v>
      </c>
      <c r="Q21" s="214">
        <v>6</v>
      </c>
      <c r="R21" s="215">
        <v>6</v>
      </c>
      <c r="S21" s="97">
        <f>7288.02+447.62+2487.39</f>
        <v>10223.030000000001</v>
      </c>
      <c r="T21" s="97">
        <f>7288.02+447.62+2487.39</f>
        <v>10223.030000000001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100</v>
      </c>
      <c r="I22" s="75">
        <v>56</v>
      </c>
      <c r="J22" s="210">
        <v>69</v>
      </c>
      <c r="K22" s="210">
        <v>56</v>
      </c>
      <c r="L22" s="210">
        <v>56</v>
      </c>
      <c r="M22" s="211">
        <f>19787.02+2513.73+2255.05+12081.39+6786.96</f>
        <v>43424.15</v>
      </c>
      <c r="N22" s="211">
        <f>19787.02+2513.73</f>
        <v>22300.75</v>
      </c>
      <c r="O22" s="212">
        <f t="shared" si="1"/>
        <v>21123.4</v>
      </c>
      <c r="P22" s="213">
        <v>23</v>
      </c>
      <c r="Q22" s="215">
        <v>22</v>
      </c>
      <c r="R22" s="215">
        <v>20</v>
      </c>
      <c r="S22" s="97">
        <v>24103.23</v>
      </c>
      <c r="T22" s="97">
        <v>24103.23</v>
      </c>
      <c r="U22" s="97">
        <f t="shared" si="2"/>
        <v>0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15</v>
      </c>
      <c r="I23" s="75">
        <v>10</v>
      </c>
      <c r="J23" s="210">
        <v>14</v>
      </c>
      <c r="K23" s="209">
        <v>14</v>
      </c>
      <c r="L23" s="210">
        <v>11</v>
      </c>
      <c r="M23" s="211">
        <f>5739.04+1828.05+1440.72+631.62+564.05</f>
        <v>10203.48</v>
      </c>
      <c r="N23" s="211">
        <f>5739.04+1828.05+1440.72</f>
        <v>9007.81</v>
      </c>
      <c r="O23" s="212">
        <f t="shared" si="1"/>
        <v>1195.67</v>
      </c>
      <c r="P23" s="213">
        <v>11</v>
      </c>
      <c r="Q23" s="214">
        <v>11</v>
      </c>
      <c r="R23" s="215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19</v>
      </c>
      <c r="I24" s="75">
        <v>15</v>
      </c>
      <c r="J24" s="210">
        <v>17</v>
      </c>
      <c r="K24" s="209">
        <v>15</v>
      </c>
      <c r="L24" s="210">
        <v>15</v>
      </c>
      <c r="M24" s="211">
        <f>1515.11+3525.12</f>
        <v>5040.2299999999996</v>
      </c>
      <c r="N24" s="211">
        <f>1515.11+3525.12</f>
        <v>5040.2299999999996</v>
      </c>
      <c r="O24" s="212">
        <f t="shared" si="1"/>
        <v>0</v>
      </c>
      <c r="P24" s="213">
        <v>7</v>
      </c>
      <c r="Q24" s="21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28</v>
      </c>
      <c r="I25" s="75">
        <v>11</v>
      </c>
      <c r="J25" s="210">
        <v>28</v>
      </c>
      <c r="K25" s="210">
        <v>28</v>
      </c>
      <c r="L25" s="210">
        <v>28</v>
      </c>
      <c r="M25" s="211">
        <f>9005.69+15068.32+3714.72</f>
        <v>27788.730000000003</v>
      </c>
      <c r="N25" s="211">
        <f>9005.69+15068.32</f>
        <v>24074.010000000002</v>
      </c>
      <c r="O25" s="212">
        <f t="shared" si="1"/>
        <v>3714.7200000000012</v>
      </c>
      <c r="P25" s="213">
        <v>21</v>
      </c>
      <c r="Q25" s="215">
        <v>21</v>
      </c>
      <c r="R25" s="215">
        <v>21</v>
      </c>
      <c r="S25" s="97">
        <f>24213.05+6197.08</f>
        <v>30410.129999999997</v>
      </c>
      <c r="T25" s="97">
        <v>24213.05</v>
      </c>
      <c r="U25" s="97">
        <f t="shared" si="2"/>
        <v>6197.0799999999981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75">
        <v>11</v>
      </c>
      <c r="J26" s="210">
        <v>18</v>
      </c>
      <c r="K26" s="209">
        <v>18</v>
      </c>
      <c r="L26" s="210">
        <v>18</v>
      </c>
      <c r="M26" s="211">
        <f>3777.1+6399.51+6251.64</f>
        <v>16428.25</v>
      </c>
      <c r="N26" s="211">
        <f>3777.1+6399.51</f>
        <v>10176.61</v>
      </c>
      <c r="O26" s="212">
        <f t="shared" si="1"/>
        <v>6251.6399999999994</v>
      </c>
      <c r="P26" s="213">
        <v>12</v>
      </c>
      <c r="Q26" s="214">
        <v>12</v>
      </c>
      <c r="R26" s="215">
        <v>11</v>
      </c>
      <c r="S26" s="97">
        <f>3386.7+2140.45</f>
        <v>5527.15</v>
      </c>
      <c r="T26" s="97">
        <v>3386.7</v>
      </c>
      <c r="U26" s="97">
        <f t="shared" si="2"/>
        <v>2140.4499999999998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27</v>
      </c>
      <c r="I27" s="75">
        <v>16</v>
      </c>
      <c r="J27" s="210">
        <v>28</v>
      </c>
      <c r="K27" s="209">
        <v>28</v>
      </c>
      <c r="L27" s="210">
        <v>28</v>
      </c>
      <c r="M27" s="211">
        <f>6801.73+4254.18+3948.81+757.9+1004.85+1005.5</f>
        <v>17772.969999999998</v>
      </c>
      <c r="N27" s="211">
        <f>6801.73+4254.18+3948.81</f>
        <v>15004.72</v>
      </c>
      <c r="O27" s="212">
        <f t="shared" si="1"/>
        <v>2768.2499999999982</v>
      </c>
      <c r="P27" s="213">
        <v>14</v>
      </c>
      <c r="Q27" s="21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75"/>
      <c r="J28" s="210"/>
      <c r="K28" s="209"/>
      <c r="L28" s="210"/>
      <c r="M28" s="211"/>
      <c r="N28" s="211"/>
      <c r="O28" s="212">
        <f t="shared" si="1"/>
        <v>0</v>
      </c>
      <c r="P28" s="213"/>
      <c r="Q28" s="21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22</v>
      </c>
      <c r="I29" s="75">
        <v>18</v>
      </c>
      <c r="J29" s="210">
        <v>27</v>
      </c>
      <c r="K29" s="209">
        <v>27</v>
      </c>
      <c r="L29" s="210">
        <v>26</v>
      </c>
      <c r="M29" s="211">
        <f>7765.28+1107.91+3282.4+1320.23+1580.98+622.05</f>
        <v>15678.849999999999</v>
      </c>
      <c r="N29" s="211">
        <f>7765.28+1107.91+3282.4+1320.23+1580.98</f>
        <v>15056.8</v>
      </c>
      <c r="O29" s="212">
        <f t="shared" si="1"/>
        <v>622.04999999999927</v>
      </c>
      <c r="P29" s="213">
        <v>14</v>
      </c>
      <c r="Q29" s="21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32</v>
      </c>
      <c r="I30" s="75">
        <v>29</v>
      </c>
      <c r="J30" s="210">
        <v>37</v>
      </c>
      <c r="K30" s="210">
        <v>37</v>
      </c>
      <c r="L30" s="210">
        <v>28</v>
      </c>
      <c r="M30" s="211">
        <f>5246.17+4965.96+1939.12+3762.43+2342.38</f>
        <v>18256.060000000001</v>
      </c>
      <c r="N30" s="211">
        <f>5246.17+4965.96+1939.12</f>
        <v>12151.25</v>
      </c>
      <c r="O30" s="212">
        <f t="shared" si="1"/>
        <v>6104.8100000000013</v>
      </c>
      <c r="P30" s="213">
        <v>22</v>
      </c>
      <c r="Q30" s="215">
        <v>22</v>
      </c>
      <c r="R30" s="215">
        <v>22</v>
      </c>
      <c r="S30" s="97">
        <f>39414.6+4786.67+1562.33+638.43+2216.93</f>
        <v>48618.96</v>
      </c>
      <c r="T30" s="97">
        <f>39414.6+4786.67+1562.33+638.43</f>
        <v>46402.03</v>
      </c>
      <c r="U30" s="97">
        <f t="shared" si="2"/>
        <v>2216.9300000000003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75">
        <v>1</v>
      </c>
      <c r="J31" s="210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21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75"/>
      <c r="J32" s="210"/>
      <c r="K32" s="209"/>
      <c r="L32" s="210"/>
      <c r="M32" s="211"/>
      <c r="N32" s="211"/>
      <c r="O32" s="212">
        <f t="shared" si="1"/>
        <v>0</v>
      </c>
      <c r="P32" s="213"/>
      <c r="Q32" s="21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12</v>
      </c>
      <c r="I33" s="75">
        <v>9</v>
      </c>
      <c r="J33" s="210">
        <v>11</v>
      </c>
      <c r="K33" s="209">
        <v>11</v>
      </c>
      <c r="L33" s="210">
        <v>11</v>
      </c>
      <c r="M33" s="211">
        <f>4065+2226.4+2915.4+290</f>
        <v>9496.7999999999993</v>
      </c>
      <c r="N33" s="211">
        <f>4065+2226.4+2915.4</f>
        <v>9206.7999999999993</v>
      </c>
      <c r="O33" s="212">
        <f t="shared" si="1"/>
        <v>290</v>
      </c>
      <c r="P33" s="213"/>
      <c r="Q33" s="21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75">
        <v>14</v>
      </c>
      <c r="J34" s="210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11</v>
      </c>
      <c r="I35" s="75">
        <v>6</v>
      </c>
      <c r="J35" s="210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20</v>
      </c>
      <c r="I36" s="75">
        <v>10</v>
      </c>
      <c r="J36" s="210">
        <v>11</v>
      </c>
      <c r="K36" s="209">
        <v>11</v>
      </c>
      <c r="L36" s="210">
        <v>11</v>
      </c>
      <c r="M36" s="211">
        <f>2360+2665.25+2800.06</f>
        <v>7825.3099999999995</v>
      </c>
      <c r="N36" s="211">
        <f>2360+2665.25</f>
        <v>5025.25</v>
      </c>
      <c r="O36" s="212">
        <f t="shared" si="1"/>
        <v>2800.0599999999995</v>
      </c>
      <c r="P36" s="213">
        <v>6</v>
      </c>
      <c r="Q36" s="214">
        <v>6</v>
      </c>
      <c r="R36" s="215">
        <v>6</v>
      </c>
      <c r="S36" s="97">
        <f>1436.08+3433.93+5939.33+1723.52</f>
        <v>12532.86</v>
      </c>
      <c r="T36" s="97">
        <f>1436.08+3433.93+5939.33</f>
        <v>10809.34</v>
      </c>
      <c r="U36" s="97">
        <f t="shared" si="2"/>
        <v>1723.5200000000004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15</v>
      </c>
      <c r="I37" s="75">
        <v>12</v>
      </c>
      <c r="J37" s="210">
        <v>13</v>
      </c>
      <c r="K37" s="209">
        <v>13</v>
      </c>
      <c r="L37" s="210">
        <v>12</v>
      </c>
      <c r="M37" s="211">
        <f>4126.56+990.2+862.75+145+358.88</f>
        <v>6483.39</v>
      </c>
      <c r="N37" s="211">
        <f>4126.56+990.2+862.75+145</f>
        <v>6124.51</v>
      </c>
      <c r="O37" s="212">
        <f t="shared" si="1"/>
        <v>358.88000000000011</v>
      </c>
      <c r="P37" s="213">
        <v>2</v>
      </c>
      <c r="Q37" s="214">
        <v>2</v>
      </c>
      <c r="R37" s="215">
        <v>1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67</v>
      </c>
      <c r="I38" s="75">
        <v>31</v>
      </c>
      <c r="J38" s="210">
        <v>45</v>
      </c>
      <c r="K38" s="209">
        <v>45</v>
      </c>
      <c r="L38" s="210">
        <v>45</v>
      </c>
      <c r="M38" s="211">
        <f>18043.85+1739.74+12219.36+4084.73+2867.69+2388.56+1377.5</f>
        <v>42721.43</v>
      </c>
      <c r="N38" s="211">
        <f>18043.85+1739.74+12219.36+3053.47</f>
        <v>35056.42</v>
      </c>
      <c r="O38" s="212">
        <f t="shared" si="1"/>
        <v>7665.010000000002</v>
      </c>
      <c r="P38" s="213">
        <v>20</v>
      </c>
      <c r="Q38" s="214">
        <v>20</v>
      </c>
      <c r="R38" s="215">
        <v>20</v>
      </c>
      <c r="S38" s="97">
        <f>22326.77+417.74+1031.26</f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26</v>
      </c>
      <c r="I39" s="75">
        <v>11</v>
      </c>
      <c r="J39" s="210">
        <v>15</v>
      </c>
      <c r="K39" s="209">
        <v>15</v>
      </c>
      <c r="L39" s="210">
        <v>13</v>
      </c>
      <c r="M39" s="211">
        <f>4309.67+3353.38+84.05+2832.72</f>
        <v>10579.82</v>
      </c>
      <c r="N39" s="211">
        <f>4309.67+3353.38+84.93+2831.84</f>
        <v>10579.82</v>
      </c>
      <c r="O39" s="212">
        <f t="shared" si="1"/>
        <v>0</v>
      </c>
      <c r="P39" s="213">
        <v>3</v>
      </c>
      <c r="Q39" s="214">
        <v>3</v>
      </c>
      <c r="R39" s="215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8</v>
      </c>
      <c r="I40" s="75">
        <v>5</v>
      </c>
      <c r="J40" s="210">
        <v>5</v>
      </c>
      <c r="K40" s="209">
        <v>5</v>
      </c>
      <c r="L40" s="210">
        <v>5</v>
      </c>
      <c r="M40" s="211">
        <v>5430.01</v>
      </c>
      <c r="N40" s="211">
        <v>5430.01</v>
      </c>
      <c r="O40" s="212">
        <f t="shared" si="1"/>
        <v>0</v>
      </c>
      <c r="P40" s="213">
        <v>3</v>
      </c>
      <c r="Q40" s="214">
        <v>3</v>
      </c>
      <c r="R40" s="215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18</v>
      </c>
      <c r="I41" s="75">
        <v>9</v>
      </c>
      <c r="J41" s="210">
        <v>11</v>
      </c>
      <c r="K41" s="209">
        <v>11</v>
      </c>
      <c r="L41" s="210">
        <v>11</v>
      </c>
      <c r="M41" s="211">
        <f>4892.78+1033.5+545.69+1551.08</f>
        <v>8023.0499999999993</v>
      </c>
      <c r="N41" s="211">
        <f>4892.78+1033.5</f>
        <v>5926.28</v>
      </c>
      <c r="O41" s="212">
        <f t="shared" si="1"/>
        <v>2096.7699999999995</v>
      </c>
      <c r="P41" s="213">
        <v>4</v>
      </c>
      <c r="Q41" s="214">
        <v>4</v>
      </c>
      <c r="R41" s="215">
        <v>4</v>
      </c>
      <c r="S41" s="97">
        <f>1842.88+373.68</f>
        <v>2216.56</v>
      </c>
      <c r="T41" s="97">
        <f>1842.88</f>
        <v>1842.88</v>
      </c>
      <c r="U41" s="97">
        <f t="shared" si="2"/>
        <v>373.67999999999984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77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13</v>
      </c>
      <c r="I42" s="75">
        <v>7</v>
      </c>
      <c r="J42" s="210">
        <v>8</v>
      </c>
      <c r="K42" s="209">
        <v>8</v>
      </c>
      <c r="L42" s="210">
        <v>7</v>
      </c>
      <c r="M42" s="211">
        <f>5095.29+1605.75</f>
        <v>6701.04</v>
      </c>
      <c r="N42" s="211">
        <f>5095.29+1605.75</f>
        <v>6701.04</v>
      </c>
      <c r="O42" s="212">
        <f t="shared" si="1"/>
        <v>0</v>
      </c>
      <c r="P42" s="213">
        <v>5</v>
      </c>
      <c r="Q42" s="21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17</v>
      </c>
      <c r="I43" s="75">
        <v>9</v>
      </c>
      <c r="J43" s="210">
        <v>11</v>
      </c>
      <c r="K43" s="209">
        <v>11</v>
      </c>
      <c r="L43" s="210">
        <v>11</v>
      </c>
      <c r="M43" s="211">
        <f>1949.94+11241.95+1670.56+979+622.78</f>
        <v>16464.23</v>
      </c>
      <c r="N43" s="211">
        <f>1949.94+11241.95+1670.56+979</f>
        <v>15841.45</v>
      </c>
      <c r="O43" s="212">
        <f t="shared" si="1"/>
        <v>622.77999999999884</v>
      </c>
      <c r="P43" s="213">
        <v>6</v>
      </c>
      <c r="Q43" s="214">
        <v>6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11</v>
      </c>
      <c r="I44" s="75">
        <v>6</v>
      </c>
      <c r="J44" s="210">
        <v>12</v>
      </c>
      <c r="K44" s="209">
        <v>12</v>
      </c>
      <c r="L44" s="210">
        <v>12</v>
      </c>
      <c r="M44" s="211">
        <f>9600.95+145+2182.75+7980.88+580</f>
        <v>20489.580000000002</v>
      </c>
      <c r="N44" s="211">
        <f>9600.95+145+2182.75</f>
        <v>11928.7</v>
      </c>
      <c r="O44" s="212">
        <f t="shared" si="1"/>
        <v>8560.880000000001</v>
      </c>
      <c r="P44" s="213">
        <v>8</v>
      </c>
      <c r="Q44" s="214">
        <v>8</v>
      </c>
      <c r="R44" s="215">
        <v>8</v>
      </c>
      <c r="S44" s="97">
        <f>3997.92+850.65+4367.7+2262.73+189.48</f>
        <v>11668.48</v>
      </c>
      <c r="T44" s="97">
        <f>3997.92+850.65+4367.7</f>
        <v>9216.27</v>
      </c>
      <c r="U44" s="97">
        <f t="shared" si="2"/>
        <v>2452.2099999999991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75"/>
      <c r="J45" s="210"/>
      <c r="K45" s="209"/>
      <c r="L45" s="210"/>
      <c r="M45" s="211"/>
      <c r="N45" s="211"/>
      <c r="O45" s="212">
        <f t="shared" si="1"/>
        <v>0</v>
      </c>
      <c r="P45" s="213"/>
      <c r="Q45" s="21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13</v>
      </c>
      <c r="I46" s="75">
        <v>11</v>
      </c>
      <c r="J46" s="210">
        <v>12</v>
      </c>
      <c r="K46" s="209">
        <v>12</v>
      </c>
      <c r="L46" s="210">
        <v>9</v>
      </c>
      <c r="M46" s="211">
        <f>1290.6+2343.84</f>
        <v>3634.44</v>
      </c>
      <c r="N46" s="211">
        <f>1290.6+2343.84</f>
        <v>3634.44</v>
      </c>
      <c r="O46" s="212">
        <f t="shared" si="1"/>
        <v>0</v>
      </c>
      <c r="P46" s="213">
        <v>2</v>
      </c>
      <c r="Q46" s="21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33</v>
      </c>
      <c r="I47" s="75">
        <v>22</v>
      </c>
      <c r="J47" s="210">
        <v>31</v>
      </c>
      <c r="K47" s="209">
        <v>31</v>
      </c>
      <c r="L47" s="210">
        <v>28</v>
      </c>
      <c r="M47" s="211">
        <f>9335.56+3507.6+826.8+2284.16+1015</f>
        <v>16969.12</v>
      </c>
      <c r="N47" s="211">
        <f>9335.56+3507.6+826.8</f>
        <v>13669.96</v>
      </c>
      <c r="O47" s="212">
        <f t="shared" si="1"/>
        <v>3299.16</v>
      </c>
      <c r="P47" s="213">
        <v>2</v>
      </c>
      <c r="Q47" s="21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14</v>
      </c>
      <c r="I48" s="75">
        <v>6</v>
      </c>
      <c r="J48" s="210">
        <v>9</v>
      </c>
      <c r="K48" s="209">
        <v>9</v>
      </c>
      <c r="L48" s="210">
        <v>9</v>
      </c>
      <c r="M48" s="211">
        <f>8890.84+1828.05+435</f>
        <v>11153.89</v>
      </c>
      <c r="N48" s="211">
        <f>8890.84+1828.05</f>
        <v>10718.89</v>
      </c>
      <c r="O48" s="212">
        <f t="shared" si="1"/>
        <v>435</v>
      </c>
      <c r="P48" s="213">
        <v>3</v>
      </c>
      <c r="Q48" s="21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18</v>
      </c>
      <c r="I49" s="75">
        <v>9</v>
      </c>
      <c r="J49" s="210">
        <v>11</v>
      </c>
      <c r="K49" s="209">
        <v>11</v>
      </c>
      <c r="L49" s="210">
        <v>11</v>
      </c>
      <c r="M49" s="211">
        <f>1831.71+137.8+1816.78+290</f>
        <v>4076.29</v>
      </c>
      <c r="N49" s="211">
        <f>1831.71+137.8+1816.78</f>
        <v>3786.29</v>
      </c>
      <c r="O49" s="212">
        <f t="shared" si="1"/>
        <v>290</v>
      </c>
      <c r="P49" s="213">
        <v>9</v>
      </c>
      <c r="Q49" s="214">
        <v>9</v>
      </c>
      <c r="R49" s="215">
        <v>9</v>
      </c>
      <c r="S49" s="97">
        <f>8296.23+1378+5368</f>
        <v>15042.23</v>
      </c>
      <c r="T49" s="97">
        <f>8296.23+1378+5368</f>
        <v>15042.23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18</v>
      </c>
      <c r="I50" s="75">
        <v>13</v>
      </c>
      <c r="J50" s="210">
        <v>15</v>
      </c>
      <c r="K50" s="209">
        <v>15</v>
      </c>
      <c r="L50" s="210">
        <v>15</v>
      </c>
      <c r="M50" s="211">
        <f>8308.92+786.44+453+302</f>
        <v>9850.36</v>
      </c>
      <c r="N50" s="211">
        <f>8308.92+786.44+453+302</f>
        <v>9850.36</v>
      </c>
      <c r="O50" s="212">
        <f t="shared" si="1"/>
        <v>0</v>
      </c>
      <c r="P50" s="213">
        <v>6</v>
      </c>
      <c r="Q50" s="214">
        <v>6</v>
      </c>
      <c r="R50" s="215">
        <v>6</v>
      </c>
      <c r="S50" s="97">
        <f>2457.28+1725.6+5017.9</f>
        <v>9200.7799999999988</v>
      </c>
      <c r="T50" s="97">
        <f>2457.28+1725.6+5017.9</f>
        <v>9200.7799999999988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22</v>
      </c>
      <c r="I51" s="75">
        <v>12</v>
      </c>
      <c r="J51" s="210">
        <v>14</v>
      </c>
      <c r="K51" s="209">
        <v>14</v>
      </c>
      <c r="L51" s="210">
        <v>13</v>
      </c>
      <c r="M51" s="211">
        <f>5580.75+571.11+696.2+574.2+408.03+1234.53</f>
        <v>9064.82</v>
      </c>
      <c r="N51" s="211">
        <f>5580.75+571.11+696.2+574.2</f>
        <v>7422.2599999999993</v>
      </c>
      <c r="O51" s="212">
        <f t="shared" si="1"/>
        <v>1642.5600000000004</v>
      </c>
      <c r="P51" s="213">
        <v>1</v>
      </c>
      <c r="Q51" s="214">
        <v>1</v>
      </c>
      <c r="R51" s="215">
        <v>1</v>
      </c>
      <c r="S51" s="97">
        <f>728.15</f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19</v>
      </c>
      <c r="I52" s="75">
        <v>11</v>
      </c>
      <c r="J52" s="210">
        <v>14</v>
      </c>
      <c r="K52" s="209">
        <v>14</v>
      </c>
      <c r="L52" s="210">
        <v>13</v>
      </c>
      <c r="M52" s="211">
        <f>3782.6+430.65+1221.61+2194.55</f>
        <v>7629.41</v>
      </c>
      <c r="N52" s="211">
        <f>3782.6+430.65+1221.61</f>
        <v>5434.86</v>
      </c>
      <c r="O52" s="212">
        <f t="shared" si="1"/>
        <v>2194.5500000000002</v>
      </c>
      <c r="P52" s="213">
        <v>9</v>
      </c>
      <c r="Q52" s="214">
        <v>9</v>
      </c>
      <c r="R52" s="215">
        <v>8</v>
      </c>
      <c r="S52" s="97">
        <f>1535.39+1035.3+828.82+12756.45</f>
        <v>16155.960000000001</v>
      </c>
      <c r="T52" s="97">
        <f>1535.39+1035.3+828.82</f>
        <v>3399.51</v>
      </c>
      <c r="U52" s="97">
        <f t="shared" si="2"/>
        <v>12756.45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8</v>
      </c>
      <c r="I53" s="75">
        <v>3</v>
      </c>
      <c r="J53" s="210">
        <v>3</v>
      </c>
      <c r="K53" s="209">
        <v>3</v>
      </c>
      <c r="L53" s="210">
        <v>3</v>
      </c>
      <c r="M53" s="211">
        <f>1102.4+328.37</f>
        <v>1430.77</v>
      </c>
      <c r="N53" s="211">
        <v>1102.4000000000001</v>
      </c>
      <c r="O53" s="212">
        <f t="shared" si="1"/>
        <v>328.36999999999989</v>
      </c>
      <c r="P53" s="213">
        <v>2</v>
      </c>
      <c r="Q53" s="21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87</v>
      </c>
      <c r="I54" s="75">
        <v>74</v>
      </c>
      <c r="J54" s="210">
        <v>89</v>
      </c>
      <c r="K54" s="209">
        <v>77</v>
      </c>
      <c r="L54" s="210">
        <v>56</v>
      </c>
      <c r="M54" s="211">
        <f>12031.27+4728.85+7137.01+1218+507</f>
        <v>25622.130000000005</v>
      </c>
      <c r="N54" s="211">
        <f>12031.27+4728.85+7137.01</f>
        <v>23897.130000000005</v>
      </c>
      <c r="O54" s="212">
        <f t="shared" si="1"/>
        <v>1725</v>
      </c>
      <c r="P54" s="213">
        <v>17</v>
      </c>
      <c r="Q54" s="21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6</v>
      </c>
      <c r="I55" s="75">
        <v>3</v>
      </c>
      <c r="J55" s="210">
        <v>3</v>
      </c>
      <c r="K55" s="209">
        <v>3</v>
      </c>
      <c r="L55" s="210">
        <v>2</v>
      </c>
      <c r="M55" s="211">
        <v>5677.4</v>
      </c>
      <c r="N55" s="211">
        <v>5677.4</v>
      </c>
      <c r="O55" s="212">
        <f t="shared" si="1"/>
        <v>0</v>
      </c>
      <c r="P55" s="213">
        <v>3</v>
      </c>
      <c r="Q55" s="21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53</v>
      </c>
      <c r="I56" s="75">
        <v>33</v>
      </c>
      <c r="J56" s="210">
        <v>47</v>
      </c>
      <c r="K56" s="209">
        <v>47</v>
      </c>
      <c r="L56" s="210">
        <v>45</v>
      </c>
      <c r="M56" s="211">
        <f>13145.7+14183.3+726.22+3195.47+5181.98+1425.26+6804.83+1811</f>
        <v>46473.760000000002</v>
      </c>
      <c r="N56" s="211">
        <f>13145.7+14183.3+726.22+1428.26</f>
        <v>29483.48</v>
      </c>
      <c r="O56" s="212">
        <f t="shared" si="1"/>
        <v>16990.280000000002</v>
      </c>
      <c r="P56" s="213">
        <v>35</v>
      </c>
      <c r="Q56" s="214">
        <v>35</v>
      </c>
      <c r="R56" s="215">
        <v>32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75">
        <v>4</v>
      </c>
      <c r="J57" s="210">
        <v>3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21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75"/>
      <c r="J58" s="210"/>
      <c r="K58" s="209"/>
      <c r="L58" s="210"/>
      <c r="M58" s="211"/>
      <c r="N58" s="211"/>
      <c r="O58" s="212">
        <f t="shared" si="1"/>
        <v>0</v>
      </c>
      <c r="P58" s="213">
        <v>1</v>
      </c>
      <c r="Q58" s="214">
        <v>1</v>
      </c>
      <c r="R58" s="215">
        <v>1</v>
      </c>
      <c r="S58" s="97">
        <v>548.1</v>
      </c>
      <c r="T58" s="97"/>
      <c r="U58" s="97">
        <f t="shared" si="2"/>
        <v>548.1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75"/>
      <c r="J59" s="210"/>
      <c r="K59" s="209"/>
      <c r="L59" s="210"/>
      <c r="M59" s="211"/>
      <c r="N59" s="211"/>
      <c r="O59" s="212">
        <f t="shared" si="1"/>
        <v>0</v>
      </c>
      <c r="P59" s="213"/>
      <c r="Q59" s="21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44</v>
      </c>
      <c r="I60" s="75">
        <v>26</v>
      </c>
      <c r="J60" s="210">
        <v>41</v>
      </c>
      <c r="K60" s="209">
        <v>41</v>
      </c>
      <c r="L60" s="210">
        <v>41</v>
      </c>
      <c r="M60" s="211">
        <f>19657.67+3859.57+3638.88+11285.84+2356.7+1870.22</f>
        <v>42668.88</v>
      </c>
      <c r="N60" s="211">
        <f>19657.67+3859.57+3638.88</f>
        <v>27156.12</v>
      </c>
      <c r="O60" s="212">
        <f t="shared" si="1"/>
        <v>15512.759999999998</v>
      </c>
      <c r="P60" s="213">
        <v>6</v>
      </c>
      <c r="Q60" s="214">
        <v>6</v>
      </c>
      <c r="R60" s="215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23</v>
      </c>
      <c r="I61" s="75">
        <v>14</v>
      </c>
      <c r="J61" s="210">
        <v>18</v>
      </c>
      <c r="K61" s="209">
        <v>18</v>
      </c>
      <c r="L61" s="210">
        <v>14</v>
      </c>
      <c r="M61" s="211">
        <f>3986.21+989.8+3814.75+1492.92+2107.58</f>
        <v>12391.26</v>
      </c>
      <c r="N61" s="211">
        <f>3986.21+989.8+3814.75</f>
        <v>8790.76</v>
      </c>
      <c r="O61" s="212">
        <f t="shared" si="1"/>
        <v>3600.5</v>
      </c>
      <c r="P61" s="213"/>
      <c r="Q61" s="21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77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18</v>
      </c>
      <c r="I62" s="75">
        <v>11</v>
      </c>
      <c r="J62" s="210">
        <v>14</v>
      </c>
      <c r="K62" s="209">
        <v>14</v>
      </c>
      <c r="L62" s="210">
        <v>14</v>
      </c>
      <c r="M62" s="211">
        <f>1263.45+2111.32+5011.35+4260.64</f>
        <v>12646.760000000002</v>
      </c>
      <c r="N62" s="211">
        <f>1263.45+2111.32+5011.35</f>
        <v>8386.1200000000008</v>
      </c>
      <c r="O62" s="212">
        <f t="shared" si="1"/>
        <v>4260.6400000000012</v>
      </c>
      <c r="P62" s="213">
        <v>7</v>
      </c>
      <c r="Q62" s="214">
        <v>7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75"/>
      <c r="J63" s="210"/>
      <c r="K63" s="209"/>
      <c r="L63" s="210"/>
      <c r="M63" s="211"/>
      <c r="N63" s="211"/>
      <c r="O63" s="212">
        <f t="shared" si="1"/>
        <v>0</v>
      </c>
      <c r="P63" s="213">
        <v>29</v>
      </c>
      <c r="Q63" s="214">
        <v>29</v>
      </c>
      <c r="R63" s="215">
        <v>29</v>
      </c>
      <c r="S63" s="97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</row>
    <row r="64" spans="1:40" ht="17.25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23</v>
      </c>
      <c r="I64" s="75">
        <v>14</v>
      </c>
      <c r="J64" s="210">
        <v>16</v>
      </c>
      <c r="K64" s="209">
        <v>16</v>
      </c>
      <c r="L64" s="210">
        <v>15</v>
      </c>
      <c r="M64" s="211">
        <f>6496.16+4335.01+2477.65</f>
        <v>13308.82</v>
      </c>
      <c r="N64" s="211">
        <f>6496.16+4335.01+2477.65</f>
        <v>13308.82</v>
      </c>
      <c r="O64" s="212">
        <f t="shared" si="1"/>
        <v>0</v>
      </c>
      <c r="P64" s="213">
        <v>11</v>
      </c>
      <c r="Q64" s="214">
        <v>11</v>
      </c>
      <c r="R64" s="215">
        <v>10</v>
      </c>
      <c r="S64" s="97">
        <v>6866.56</v>
      </c>
      <c r="T64" s="97">
        <v>6866.56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44</v>
      </c>
      <c r="I65" s="75">
        <v>38</v>
      </c>
      <c r="J65" s="210">
        <v>48</v>
      </c>
      <c r="K65" s="209">
        <v>45</v>
      </c>
      <c r="L65" s="210">
        <v>42</v>
      </c>
      <c r="M65" s="97">
        <f>21561.61+5719.7+1305+4149.27+2397.37+5906.18+1251.03+829.55</f>
        <v>43119.710000000006</v>
      </c>
      <c r="N65" s="211">
        <f>21561.61+5719.7+1305+4149.27</f>
        <v>32735.58</v>
      </c>
      <c r="O65" s="212">
        <f t="shared" si="1"/>
        <v>10384.130000000005</v>
      </c>
      <c r="P65" s="213">
        <v>11</v>
      </c>
      <c r="Q65" s="214">
        <v>11</v>
      </c>
      <c r="R65" s="215">
        <v>11</v>
      </c>
      <c r="S65" s="97">
        <f>7456.7+19131.63</f>
        <v>26588.33</v>
      </c>
      <c r="T65" s="97">
        <v>7456.7</v>
      </c>
      <c r="U65" s="97">
        <f t="shared" si="2"/>
        <v>19131.63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75">
        <v>2</v>
      </c>
      <c r="J66" s="210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51</v>
      </c>
      <c r="I67" s="75">
        <v>44</v>
      </c>
      <c r="J67" s="210">
        <v>54</v>
      </c>
      <c r="K67" s="209">
        <v>45</v>
      </c>
      <c r="L67" s="210">
        <v>44</v>
      </c>
      <c r="M67" s="211">
        <f>19710.93+7009.96+ 8900.54+165.98+1497.55+1081.95+652.5</f>
        <v>39019.410000000003</v>
      </c>
      <c r="N67" s="211">
        <f>19710.93+7009.96+ 8900.54+165.98</f>
        <v>35787.410000000003</v>
      </c>
      <c r="O67" s="212">
        <f t="shared" si="1"/>
        <v>3232</v>
      </c>
      <c r="P67" s="213">
        <v>11</v>
      </c>
      <c r="Q67" s="21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34</v>
      </c>
      <c r="I68" s="75">
        <v>26</v>
      </c>
      <c r="J68" s="210">
        <v>45</v>
      </c>
      <c r="K68" s="209">
        <v>45</v>
      </c>
      <c r="L68" s="210">
        <v>45</v>
      </c>
      <c r="M68" s="211">
        <f>18750.75+2683.13</f>
        <v>21433.88</v>
      </c>
      <c r="N68" s="211">
        <f>18750.75</f>
        <v>18750.75</v>
      </c>
      <c r="O68" s="212">
        <f t="shared" si="1"/>
        <v>2683.130000000001</v>
      </c>
      <c r="P68" s="213">
        <v>10</v>
      </c>
      <c r="Q68" s="214">
        <v>10</v>
      </c>
      <c r="R68" s="215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125</v>
      </c>
      <c r="E69" s="106" t="s">
        <v>126</v>
      </c>
      <c r="F69" s="170" t="s">
        <v>106</v>
      </c>
      <c r="G69" s="72" t="s">
        <v>188</v>
      </c>
      <c r="H69" s="77">
        <v>9</v>
      </c>
      <c r="I69" s="75">
        <v>5</v>
      </c>
      <c r="J69" s="210">
        <v>5</v>
      </c>
      <c r="K69" s="209">
        <v>5</v>
      </c>
      <c r="L69" s="210">
        <v>5</v>
      </c>
      <c r="M69" s="211">
        <f>2756+1240.2+1305</f>
        <v>5301.2</v>
      </c>
      <c r="N69" s="211">
        <f>2756+1240.2+1305</f>
        <v>5301.2</v>
      </c>
      <c r="O69" s="212">
        <f t="shared" si="1"/>
        <v>0</v>
      </c>
      <c r="P69" s="213"/>
      <c r="Q69" s="214"/>
      <c r="R69" s="215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13</v>
      </c>
      <c r="I70" s="75">
        <v>7</v>
      </c>
      <c r="J70" s="210">
        <v>8</v>
      </c>
      <c r="K70" s="209">
        <v>8</v>
      </c>
      <c r="L70" s="210">
        <v>6</v>
      </c>
      <c r="M70" s="211">
        <f>2039.44+3242.32+2027.39+3567</f>
        <v>10876.150000000001</v>
      </c>
      <c r="N70" s="211">
        <f>2039.44+3242.32+2027.39</f>
        <v>7309.1500000000005</v>
      </c>
      <c r="O70" s="212">
        <f t="shared" si="1"/>
        <v>3567.0000000000009</v>
      </c>
      <c r="P70" s="213">
        <v>6</v>
      </c>
      <c r="Q70" s="214">
        <v>6</v>
      </c>
      <c r="R70" s="215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20</v>
      </c>
      <c r="I71" s="75">
        <v>15</v>
      </c>
      <c r="J71" s="210">
        <v>15</v>
      </c>
      <c r="K71" s="209">
        <v>15</v>
      </c>
      <c r="L71" s="210">
        <v>14</v>
      </c>
      <c r="M71" s="211">
        <f>2383.53+3781.9+7505.17+507+5161.87</f>
        <v>19339.47</v>
      </c>
      <c r="N71" s="211">
        <f>2383.53+3781.9</f>
        <v>6165.43</v>
      </c>
      <c r="O71" s="212">
        <f t="shared" si="1"/>
        <v>13174.04</v>
      </c>
      <c r="P71" s="213">
        <v>24</v>
      </c>
      <c r="Q71" s="214">
        <v>24</v>
      </c>
      <c r="R71" s="215">
        <v>23</v>
      </c>
      <c r="S71" s="97">
        <f>52337.46+18000.02</f>
        <v>70337.48</v>
      </c>
      <c r="T71" s="97">
        <v>52337.46</v>
      </c>
      <c r="U71" s="97">
        <f t="shared" si="2"/>
        <v>18000.019999999997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13</v>
      </c>
      <c r="I72" s="75">
        <v>6</v>
      </c>
      <c r="J72" s="210">
        <v>7</v>
      </c>
      <c r="K72" s="209">
        <v>7</v>
      </c>
      <c r="L72" s="210">
        <v>7</v>
      </c>
      <c r="M72" s="211">
        <f>4703.53+544.32+1960.26</f>
        <v>7208.11</v>
      </c>
      <c r="N72" s="211">
        <v>4703.53</v>
      </c>
      <c r="O72" s="212">
        <f t="shared" si="1"/>
        <v>2504.58</v>
      </c>
      <c r="P72" s="213">
        <v>7</v>
      </c>
      <c r="Q72" s="21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34</v>
      </c>
      <c r="I73" s="75">
        <v>23</v>
      </c>
      <c r="J73" s="210">
        <v>23</v>
      </c>
      <c r="K73" s="209">
        <v>23</v>
      </c>
      <c r="L73" s="210">
        <v>23</v>
      </c>
      <c r="M73" s="211">
        <f>2095.52+746.9+4941.1+3310.3</f>
        <v>11093.82</v>
      </c>
      <c r="N73" s="211">
        <f>2095.52+746.9</f>
        <v>2842.42</v>
      </c>
      <c r="O73" s="212">
        <f t="shared" si="1"/>
        <v>8251.4</v>
      </c>
      <c r="P73" s="213">
        <v>6</v>
      </c>
      <c r="Q73" s="214">
        <v>6</v>
      </c>
      <c r="R73" s="215">
        <v>6</v>
      </c>
      <c r="S73" s="97">
        <f>1821.06+4580.19+1240.2</f>
        <v>7641.45</v>
      </c>
      <c r="T73" s="97">
        <f>1821.06+4580.19</f>
        <v>6401.25</v>
      </c>
      <c r="U73" s="97">
        <f t="shared" si="2"/>
        <v>1240.1999999999998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75"/>
      <c r="J74" s="210"/>
      <c r="K74" s="209"/>
      <c r="L74" s="210"/>
      <c r="M74" s="211"/>
      <c r="N74" s="211"/>
      <c r="O74" s="212">
        <f t="shared" si="1"/>
        <v>0</v>
      </c>
      <c r="P74" s="213">
        <v>1</v>
      </c>
      <c r="Q74" s="21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7</v>
      </c>
      <c r="I75" s="75">
        <v>5</v>
      </c>
      <c r="J75" s="210">
        <v>6</v>
      </c>
      <c r="K75" s="209">
        <v>6</v>
      </c>
      <c r="L75" s="210">
        <v>6</v>
      </c>
      <c r="M75" s="211">
        <f>275.6+741.36+14287.26</f>
        <v>15304.220000000001</v>
      </c>
      <c r="N75" s="211">
        <f>275.6+741.36+14287.26</f>
        <v>15304.220000000001</v>
      </c>
      <c r="O75" s="212">
        <f t="shared" ref="O75:O104" si="4" xml:space="preserve"> (M75-N75)</f>
        <v>0</v>
      </c>
      <c r="P75" s="213">
        <v>3</v>
      </c>
      <c r="Q75" s="21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29</v>
      </c>
      <c r="I76" s="75">
        <v>23</v>
      </c>
      <c r="J76" s="210">
        <v>31</v>
      </c>
      <c r="K76" s="209">
        <v>31</v>
      </c>
      <c r="L76" s="210">
        <v>26</v>
      </c>
      <c r="M76" s="211">
        <f>11803.63+1320.23+3132.15+12104.63+822.42</f>
        <v>29183.059999999998</v>
      </c>
      <c r="N76" s="211">
        <f>11803.63+1320.23+3132.15+12927.05</f>
        <v>29183.059999999998</v>
      </c>
      <c r="O76" s="212">
        <f t="shared" si="4"/>
        <v>0</v>
      </c>
      <c r="P76" s="213">
        <v>5</v>
      </c>
      <c r="Q76" s="214">
        <v>5</v>
      </c>
      <c r="R76" s="215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22</v>
      </c>
      <c r="I77" s="75">
        <v>12</v>
      </c>
      <c r="J77" s="210">
        <v>14</v>
      </c>
      <c r="K77" s="209">
        <v>14</v>
      </c>
      <c r="L77" s="210">
        <v>14</v>
      </c>
      <c r="M77" s="211">
        <f>4234.67+4498.63+1766.87+2083.87+1368.44</f>
        <v>13952.479999999998</v>
      </c>
      <c r="N77" s="211">
        <f>4234.67+4498.63</f>
        <v>8733.2999999999993</v>
      </c>
      <c r="O77" s="212">
        <f t="shared" si="4"/>
        <v>5219.1799999999985</v>
      </c>
      <c r="P77" s="213"/>
      <c r="Q77" s="214"/>
      <c r="R77" s="215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80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75"/>
      <c r="J78" s="210"/>
      <c r="K78" s="209"/>
      <c r="L78" s="210"/>
      <c r="M78" s="211"/>
      <c r="N78" s="211"/>
      <c r="O78" s="212">
        <f t="shared" si="4"/>
        <v>0</v>
      </c>
      <c r="P78" s="213">
        <v>8</v>
      </c>
      <c r="Q78" s="214">
        <v>8</v>
      </c>
      <c r="R78" s="215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20</v>
      </c>
      <c r="I79" s="75">
        <v>15</v>
      </c>
      <c r="J79" s="210">
        <v>21</v>
      </c>
      <c r="K79" s="209">
        <v>21</v>
      </c>
      <c r="L79" s="210">
        <v>21</v>
      </c>
      <c r="M79" s="211">
        <f>8913.81+7027.61+1244.33+15395.91+4278.3</f>
        <v>36859.96</v>
      </c>
      <c r="N79" s="211">
        <f>8913.81+7027.61+1244.33+15395.91</f>
        <v>32581.66</v>
      </c>
      <c r="O79" s="212">
        <f t="shared" si="4"/>
        <v>4278.2999999999993</v>
      </c>
      <c r="P79" s="213">
        <v>4</v>
      </c>
      <c r="Q79" s="21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18</v>
      </c>
      <c r="I80" s="75">
        <v>14</v>
      </c>
      <c r="J80" s="210">
        <v>20</v>
      </c>
      <c r="K80" s="209">
        <v>20</v>
      </c>
      <c r="L80" s="210">
        <v>20</v>
      </c>
      <c r="M80" s="211">
        <f>14959.64+7384.39+14758.51+362.5</f>
        <v>37465.040000000001</v>
      </c>
      <c r="N80" s="211">
        <f>14959.64+7384.39+14758.51</f>
        <v>37102.54</v>
      </c>
      <c r="O80" s="212">
        <f t="shared" si="4"/>
        <v>362.5</v>
      </c>
      <c r="P80" s="213">
        <v>9</v>
      </c>
      <c r="Q80" s="214">
        <v>9</v>
      </c>
      <c r="R80" s="215">
        <v>9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3</v>
      </c>
      <c r="I81" s="75"/>
      <c r="J81" s="210"/>
      <c r="K81" s="209"/>
      <c r="L81" s="210"/>
      <c r="M81" s="211"/>
      <c r="N81" s="211"/>
      <c r="O81" s="212">
        <f t="shared" si="4"/>
        <v>0</v>
      </c>
      <c r="P81" s="213">
        <v>1</v>
      </c>
      <c r="Q81" s="214">
        <v>1</v>
      </c>
      <c r="R81" s="215">
        <v>1</v>
      </c>
      <c r="S81" s="97">
        <v>2673.24</v>
      </c>
      <c r="T81" s="97"/>
      <c r="U81" s="97">
        <f t="shared" si="5"/>
        <v>2673.24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18</v>
      </c>
      <c r="I82" s="75">
        <v>15</v>
      </c>
      <c r="J82" s="210">
        <v>16</v>
      </c>
      <c r="K82" s="209">
        <v>16</v>
      </c>
      <c r="L82" s="210">
        <v>16</v>
      </c>
      <c r="M82" s="211">
        <f>2626.75+8084.46+600.05+7445.83+942.5</f>
        <v>19699.589999999997</v>
      </c>
      <c r="N82" s="211">
        <f>2626.75+8084.46+600.05+7445.83</f>
        <v>18757.089999999997</v>
      </c>
      <c r="O82" s="212">
        <f t="shared" si="4"/>
        <v>942.5</v>
      </c>
      <c r="P82" s="213">
        <v>9</v>
      </c>
      <c r="Q82" s="214">
        <v>9</v>
      </c>
      <c r="R82" s="215">
        <v>9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20</v>
      </c>
      <c r="I83" s="75">
        <v>13</v>
      </c>
      <c r="J83" s="210">
        <v>22</v>
      </c>
      <c r="K83" s="209">
        <v>22</v>
      </c>
      <c r="L83" s="210">
        <v>22</v>
      </c>
      <c r="M83" s="211">
        <f>11232.31+3440.1+14435.12-1360.99+3088.95</f>
        <v>30835.489999999998</v>
      </c>
      <c r="N83" s="211">
        <f>11232.31+3440.1+14435.12-1360.99</f>
        <v>27746.539999999997</v>
      </c>
      <c r="O83" s="212">
        <f t="shared" si="4"/>
        <v>3088.9500000000007</v>
      </c>
      <c r="P83" s="213">
        <v>7</v>
      </c>
      <c r="Q83" s="21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18</v>
      </c>
      <c r="I84" s="75">
        <v>12</v>
      </c>
      <c r="J84" s="210">
        <v>18</v>
      </c>
      <c r="K84" s="209">
        <v>18</v>
      </c>
      <c r="L84" s="210">
        <v>17</v>
      </c>
      <c r="M84" s="211">
        <f>5429.56+2272.28+2029.9+2976.46+1243.6</f>
        <v>13951.800000000001</v>
      </c>
      <c r="N84" s="211">
        <f>5429.56+2272.28+2029.9</f>
        <v>9731.74</v>
      </c>
      <c r="O84" s="212">
        <f t="shared" si="4"/>
        <v>4220.0600000000013</v>
      </c>
      <c r="P84" s="213">
        <v>1</v>
      </c>
      <c r="Q84" s="21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33</v>
      </c>
      <c r="I85" s="75">
        <v>27</v>
      </c>
      <c r="J85" s="210">
        <v>49</v>
      </c>
      <c r="K85" s="209">
        <v>49</v>
      </c>
      <c r="L85" s="210">
        <v>49</v>
      </c>
      <c r="M85" s="211">
        <f>15506.09+4089.12+1924.78+1267.55+6546.86+1962.04+654.22+1080.22</f>
        <v>33030.879999999997</v>
      </c>
      <c r="N85" s="211">
        <f>15506.09+4089.12+1924.78+1267.55+6546.86</f>
        <v>29334.399999999998</v>
      </c>
      <c r="O85" s="212">
        <f t="shared" si="4"/>
        <v>3696.4799999999996</v>
      </c>
      <c r="P85" s="213">
        <v>5</v>
      </c>
      <c r="Q85" s="21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12</v>
      </c>
      <c r="I86" s="75">
        <v>6</v>
      </c>
      <c r="J86" s="210">
        <v>7</v>
      </c>
      <c r="K86" s="209">
        <v>7</v>
      </c>
      <c r="L86" s="210">
        <v>7</v>
      </c>
      <c r="M86" s="211">
        <f>1956.76+1128.38</f>
        <v>3085.1400000000003</v>
      </c>
      <c r="N86" s="211">
        <v>1956.76</v>
      </c>
      <c r="O86" s="212">
        <f t="shared" si="4"/>
        <v>1128.3800000000003</v>
      </c>
      <c r="P86" s="213">
        <v>2</v>
      </c>
      <c r="Q86" s="21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8</v>
      </c>
      <c r="I87" s="75">
        <v>6</v>
      </c>
      <c r="J87" s="210">
        <v>7</v>
      </c>
      <c r="K87" s="209">
        <v>7</v>
      </c>
      <c r="L87" s="210">
        <v>7</v>
      </c>
      <c r="M87" s="211">
        <f>795.8+4099.92+1305+358.88</f>
        <v>6559.6</v>
      </c>
      <c r="N87" s="211">
        <f>795.8+4099.92+1305</f>
        <v>6200.72</v>
      </c>
      <c r="O87" s="212">
        <f t="shared" si="4"/>
        <v>358.88000000000011</v>
      </c>
      <c r="P87" s="213">
        <v>5</v>
      </c>
      <c r="Q87" s="214">
        <v>5</v>
      </c>
      <c r="R87" s="215">
        <v>5</v>
      </c>
      <c r="S87" s="97">
        <f>2723.78+3718.48+4265.16</f>
        <v>10707.42</v>
      </c>
      <c r="T87" s="97">
        <f>2723.78+3718.48</f>
        <v>6442.26</v>
      </c>
      <c r="U87" s="97">
        <f t="shared" si="5"/>
        <v>4265.16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75"/>
      <c r="J88" s="210"/>
      <c r="K88" s="209"/>
      <c r="L88" s="210"/>
      <c r="M88" s="211"/>
      <c r="N88" s="211"/>
      <c r="O88" s="212">
        <f t="shared" si="4"/>
        <v>0</v>
      </c>
      <c r="P88" s="213">
        <v>6</v>
      </c>
      <c r="Q88" s="21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12</v>
      </c>
      <c r="I89" s="75">
        <v>8</v>
      </c>
      <c r="J89" s="210">
        <v>9</v>
      </c>
      <c r="K89" s="209">
        <v>9</v>
      </c>
      <c r="L89" s="210">
        <v>8</v>
      </c>
      <c r="M89" s="211">
        <f>2874.33+1509.2+1943</f>
        <v>6326.53</v>
      </c>
      <c r="N89" s="211">
        <f>2874.33+1509.2+1943</f>
        <v>6326.53</v>
      </c>
      <c r="O89" s="212">
        <f t="shared" si="4"/>
        <v>0</v>
      </c>
      <c r="P89" s="213">
        <v>6</v>
      </c>
      <c r="Q89" s="214">
        <v>6</v>
      </c>
      <c r="R89" s="215">
        <v>5</v>
      </c>
      <c r="S89" s="97">
        <f>8161.92+1118.75+3779.58</f>
        <v>13060.25</v>
      </c>
      <c r="T89" s="97">
        <f>8161.92+1118.75+3779.58</f>
        <v>13060.25</v>
      </c>
      <c r="U89" s="97">
        <f t="shared" si="5"/>
        <v>0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43</v>
      </c>
      <c r="I90" s="75">
        <v>37</v>
      </c>
      <c r="J90" s="210">
        <v>66</v>
      </c>
      <c r="K90" s="209">
        <v>65</v>
      </c>
      <c r="L90" s="210">
        <v>65</v>
      </c>
      <c r="M90" s="211">
        <f>14303.46+6714.67+1828.05+13505.93+582.9+8733.75</f>
        <v>45668.76</v>
      </c>
      <c r="N90" s="211">
        <f>14303.46+6714.67+1828.05+13505.93</f>
        <v>36352.11</v>
      </c>
      <c r="O90" s="212">
        <f t="shared" si="4"/>
        <v>9316.6500000000015</v>
      </c>
      <c r="P90" s="213">
        <v>8</v>
      </c>
      <c r="Q90" s="214">
        <v>8</v>
      </c>
      <c r="R90" s="215">
        <v>8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27</v>
      </c>
      <c r="I91" s="75">
        <v>12</v>
      </c>
      <c r="J91" s="210">
        <v>18</v>
      </c>
      <c r="K91" s="209">
        <v>18</v>
      </c>
      <c r="L91" s="210">
        <v>18</v>
      </c>
      <c r="M91" s="211">
        <f>5384.83+3572.76+8100.09</f>
        <v>17057.68</v>
      </c>
      <c r="N91" s="211">
        <v>5384.83</v>
      </c>
      <c r="O91" s="212">
        <f t="shared" si="4"/>
        <v>11672.85</v>
      </c>
      <c r="P91" s="213">
        <v>7</v>
      </c>
      <c r="Q91" s="214">
        <v>7</v>
      </c>
      <c r="R91" s="215">
        <v>7</v>
      </c>
      <c r="S91" s="97">
        <f>6219.66+748.35+1502.94</f>
        <v>8470.9500000000007</v>
      </c>
      <c r="T91" s="97">
        <f>6219.66+748.35</f>
        <v>6968.01</v>
      </c>
      <c r="U91" s="97">
        <f t="shared" si="5"/>
        <v>1502.9400000000005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17</v>
      </c>
      <c r="I92" s="75">
        <v>14</v>
      </c>
      <c r="J92" s="210">
        <v>18</v>
      </c>
      <c r="K92" s="209">
        <v>18</v>
      </c>
      <c r="L92" s="210">
        <v>18</v>
      </c>
      <c r="M92" s="211">
        <f>2301.54+4352.56+3555.69+1798.94+1481.14+763.69+2342.6</f>
        <v>16596.16</v>
      </c>
      <c r="N92" s="211">
        <f>2301.54+4352.56+3555.69+1798.94+1481.14</f>
        <v>13489.87</v>
      </c>
      <c r="O92" s="212">
        <f t="shared" si="4"/>
        <v>3106.2899999999991</v>
      </c>
      <c r="P92" s="213">
        <v>1</v>
      </c>
      <c r="Q92" s="21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90</v>
      </c>
      <c r="I93" s="75">
        <v>51</v>
      </c>
      <c r="J93" s="210">
        <v>62</v>
      </c>
      <c r="K93" s="209">
        <v>62</v>
      </c>
      <c r="L93" s="210">
        <v>57</v>
      </c>
      <c r="M93" s="211">
        <f>14656.12+3543.47+2420.25+2112.66+1299.21595</f>
        <v>24031.715950000002</v>
      </c>
      <c r="N93" s="211">
        <f>14656.12+3543.47+2764.75</f>
        <v>20964.34</v>
      </c>
      <c r="O93" s="212">
        <f t="shared" si="4"/>
        <v>3067.3759500000015</v>
      </c>
      <c r="P93" s="213">
        <v>9</v>
      </c>
      <c r="Q93" s="214">
        <v>9</v>
      </c>
      <c r="R93" s="215">
        <v>9</v>
      </c>
      <c r="S93" s="97">
        <f>11083.64+344.5</f>
        <v>11428.14</v>
      </c>
      <c r="T93" s="97">
        <v>11083.64</v>
      </c>
      <c r="U93" s="97">
        <f t="shared" si="5"/>
        <v>344.5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38</v>
      </c>
      <c r="I94" s="75">
        <v>19</v>
      </c>
      <c r="J94" s="210">
        <v>22</v>
      </c>
      <c r="K94" s="210">
        <v>18</v>
      </c>
      <c r="L94" s="210">
        <v>16</v>
      </c>
      <c r="M94" s="211">
        <f>6576.32+217.5+2898.52+939.6+1008.45</f>
        <v>11640.390000000001</v>
      </c>
      <c r="N94" s="211">
        <f>6576.32+217.5+2898.52</f>
        <v>9692.34</v>
      </c>
      <c r="O94" s="212">
        <f t="shared" si="4"/>
        <v>1948.0500000000011</v>
      </c>
      <c r="P94" s="213">
        <v>24</v>
      </c>
      <c r="Q94" s="215">
        <v>24</v>
      </c>
      <c r="R94" s="215">
        <v>24</v>
      </c>
      <c r="S94" s="97">
        <f>18253.04+4245.2+858.65+1546.26+14802.65</f>
        <v>39705.800000000003</v>
      </c>
      <c r="T94" s="97">
        <f>18253.04+4245.2+858.65</f>
        <v>23356.890000000003</v>
      </c>
      <c r="U94" s="97">
        <f t="shared" si="5"/>
        <v>16348.91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28</v>
      </c>
      <c r="I95" s="75">
        <v>13</v>
      </c>
      <c r="J95" s="210">
        <v>15</v>
      </c>
      <c r="K95" s="209">
        <v>15</v>
      </c>
      <c r="L95" s="210">
        <v>15</v>
      </c>
      <c r="M95" s="211">
        <f>2362.32+22110.36+455.21+2039.58+953.22+699.73</f>
        <v>28620.420000000002</v>
      </c>
      <c r="N95" s="211">
        <f>2362.32+22110.36+455.21+2039.58</f>
        <v>26967.47</v>
      </c>
      <c r="O95" s="212">
        <f t="shared" si="4"/>
        <v>1652.9500000000007</v>
      </c>
      <c r="P95" s="213">
        <v>16</v>
      </c>
      <c r="Q95" s="214">
        <v>16</v>
      </c>
      <c r="R95" s="215">
        <v>16</v>
      </c>
      <c r="S95" s="97">
        <f>24552.24+1001.28+122.46+1729.98-1</f>
        <v>27404.959999999999</v>
      </c>
      <c r="T95" s="97">
        <f>24552.24+1001.28+122.46</f>
        <v>25675.98</v>
      </c>
      <c r="U95" s="97">
        <f t="shared" si="5"/>
        <v>1728.9799999999996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9</v>
      </c>
      <c r="I96" s="75">
        <v>7</v>
      </c>
      <c r="J96" s="210">
        <v>10</v>
      </c>
      <c r="K96" s="209">
        <v>10</v>
      </c>
      <c r="L96" s="210">
        <v>10</v>
      </c>
      <c r="M96" s="211">
        <f>826.8+2786.41+2401.3</f>
        <v>6014.51</v>
      </c>
      <c r="N96" s="211">
        <f>826.8+2786.41</f>
        <v>3613.21</v>
      </c>
      <c r="O96" s="212">
        <f t="shared" si="4"/>
        <v>2401.3000000000002</v>
      </c>
      <c r="P96" s="213"/>
      <c r="Q96" s="214"/>
      <c r="R96" s="215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75">
        <v>7</v>
      </c>
      <c r="J97" s="210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</f>
        <v>4629.18</v>
      </c>
      <c r="O97" s="212">
        <f t="shared" si="4"/>
        <v>380.63000000000011</v>
      </c>
      <c r="P97" s="213">
        <v>4</v>
      </c>
      <c r="Q97" s="21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16</v>
      </c>
      <c r="I98" s="75">
        <v>9</v>
      </c>
      <c r="J98" s="210">
        <v>9</v>
      </c>
      <c r="K98" s="209">
        <v>9</v>
      </c>
      <c r="L98" s="210">
        <v>9</v>
      </c>
      <c r="M98" s="211">
        <f>757.9+551.2+895.7+290+725</f>
        <v>3219.8</v>
      </c>
      <c r="N98" s="211">
        <f>757.9+551.2+895.7+290</f>
        <v>2494.8000000000002</v>
      </c>
      <c r="O98" s="212">
        <f t="shared" si="4"/>
        <v>725</v>
      </c>
      <c r="P98" s="213">
        <v>12</v>
      </c>
      <c r="Q98" s="214">
        <v>12</v>
      </c>
      <c r="R98" s="215">
        <v>10</v>
      </c>
      <c r="S98" s="97">
        <f>8034.56+3466.13</f>
        <v>11500.69</v>
      </c>
      <c r="T98" s="97">
        <f>8034.56+3466.13</f>
        <v>11500.69</v>
      </c>
      <c r="U98" s="97">
        <f t="shared" si="5"/>
        <v>0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25</v>
      </c>
      <c r="I99" s="75">
        <v>15</v>
      </c>
      <c r="J99" s="210">
        <v>17</v>
      </c>
      <c r="K99" s="209">
        <v>17</v>
      </c>
      <c r="L99" s="210">
        <v>16</v>
      </c>
      <c r="M99" s="211">
        <f>4782.23+1353.89+2195.41+1197.7+1340.79+681.5</f>
        <v>11551.52</v>
      </c>
      <c r="N99" s="211">
        <f>4782.23+1353.89+2195.41+1197.7</f>
        <v>9529.23</v>
      </c>
      <c r="O99" s="212">
        <f t="shared" si="4"/>
        <v>2022.2900000000009</v>
      </c>
      <c r="P99" s="213">
        <v>11</v>
      </c>
      <c r="Q99" s="214">
        <v>11</v>
      </c>
      <c r="R99" s="215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19</v>
      </c>
      <c r="I100" s="75">
        <v>12</v>
      </c>
      <c r="J100" s="210">
        <v>17</v>
      </c>
      <c r="K100" s="209">
        <v>17</v>
      </c>
      <c r="L100" s="210">
        <v>17</v>
      </c>
      <c r="M100" s="211">
        <f>10862.96+2375.03+5632.11</f>
        <v>18870.099999999999</v>
      </c>
      <c r="N100" s="211">
        <f>10862.96+2375.03+5632.11</f>
        <v>18870.099999999999</v>
      </c>
      <c r="O100" s="212">
        <f t="shared" si="4"/>
        <v>0</v>
      </c>
      <c r="P100" s="213">
        <v>10</v>
      </c>
      <c r="Q100" s="214">
        <v>10</v>
      </c>
      <c r="R100" s="215">
        <v>10</v>
      </c>
      <c r="S100" s="97">
        <v>4780.1000000000004</v>
      </c>
      <c r="T100" s="97">
        <v>4780.1000000000004</v>
      </c>
      <c r="U100" s="97">
        <f t="shared" si="5"/>
        <v>0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75</v>
      </c>
      <c r="I101" s="75">
        <v>42</v>
      </c>
      <c r="J101" s="210">
        <v>45</v>
      </c>
      <c r="K101" s="209">
        <v>40</v>
      </c>
      <c r="L101" s="210">
        <v>34</v>
      </c>
      <c r="M101" s="211">
        <f>16276.16+4466.66+1078.5+4011.53+435+1493.5</f>
        <v>27761.35</v>
      </c>
      <c r="N101" s="211">
        <f>16276.16+4466.66+1078.5+4011.53+435</f>
        <v>26267.85</v>
      </c>
      <c r="O101" s="212">
        <f t="shared" si="4"/>
        <v>1493.5</v>
      </c>
      <c r="P101" s="213">
        <v>34</v>
      </c>
      <c r="Q101" s="214">
        <v>34</v>
      </c>
      <c r="R101" s="215">
        <v>33</v>
      </c>
      <c r="S101" s="97">
        <f>21329.45-2252.12+532.3+345.99+26455.28+1.67+3039.85-3960.98</f>
        <v>45491.439999999995</v>
      </c>
      <c r="T101" s="97">
        <f>21329.45-2252.12+532.3+345.98+26456.96-1774.49</f>
        <v>44638.080000000002</v>
      </c>
      <c r="U101" s="97">
        <f t="shared" si="5"/>
        <v>853.35999999999331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9</v>
      </c>
      <c r="I102" s="114">
        <v>8</v>
      </c>
      <c r="J102" s="217">
        <v>11</v>
      </c>
      <c r="K102" s="216">
        <v>11</v>
      </c>
      <c r="L102" s="217">
        <v>11</v>
      </c>
      <c r="M102" s="218">
        <f>3259.83+1328.19+2964.21+8477.19</f>
        <v>16029.420000000002</v>
      </c>
      <c r="N102" s="218">
        <v>3259.83</v>
      </c>
      <c r="O102" s="212">
        <f t="shared" si="4"/>
        <v>12769.590000000002</v>
      </c>
      <c r="P102" s="219">
        <v>4</v>
      </c>
      <c r="Q102" s="220">
        <v>4</v>
      </c>
      <c r="R102" s="221">
        <v>4</v>
      </c>
      <c r="S102" s="147">
        <f>1193.3+5843.89</f>
        <v>7037.1900000000005</v>
      </c>
      <c r="T102" s="147">
        <v>1193.3</v>
      </c>
      <c r="U102" s="147">
        <f t="shared" si="5"/>
        <v>5843.89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18</v>
      </c>
      <c r="I103" s="75">
        <v>3</v>
      </c>
      <c r="J103" s="210">
        <v>3</v>
      </c>
      <c r="K103" s="209">
        <v>3</v>
      </c>
      <c r="L103" s="210">
        <v>3</v>
      </c>
      <c r="M103" s="211">
        <f>699.33+580</f>
        <v>1279.33</v>
      </c>
      <c r="N103" s="211">
        <f>699.33+580</f>
        <v>1279.33</v>
      </c>
      <c r="O103" s="212">
        <f t="shared" si="4"/>
        <v>0</v>
      </c>
      <c r="P103" s="215"/>
      <c r="Q103" s="214"/>
      <c r="R103" s="215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75">
        <v>2</v>
      </c>
      <c r="J104" s="210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214"/>
      <c r="R104" s="215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2068</v>
      </c>
      <c r="I105" s="119">
        <f t="shared" si="7"/>
        <v>1289</v>
      </c>
      <c r="J105" s="223">
        <f t="shared" si="7"/>
        <v>1700</v>
      </c>
      <c r="K105" s="222">
        <f t="shared" si="7"/>
        <v>1648</v>
      </c>
      <c r="L105" s="223">
        <f t="shared" si="7"/>
        <v>1550</v>
      </c>
      <c r="M105" s="224">
        <f t="shared" si="7"/>
        <v>1318715.4259500001</v>
      </c>
      <c r="N105" s="224">
        <f t="shared" si="7"/>
        <v>1046158.1700000002</v>
      </c>
      <c r="O105" s="224">
        <f t="shared" si="7"/>
        <v>272557.25595000002</v>
      </c>
      <c r="P105" s="225">
        <f t="shared" si="7"/>
        <v>723</v>
      </c>
      <c r="Q105" s="226">
        <f>SUM(Q10:Q104)</f>
        <v>721</v>
      </c>
      <c r="R105" s="225">
        <f>SUM(R11:R104)</f>
        <v>697</v>
      </c>
      <c r="S105" s="151">
        <f>SUM(S10:S104)</f>
        <v>993367.24999999977</v>
      </c>
      <c r="T105" s="151">
        <f>SUM(T10:T104)</f>
        <v>887631.8</v>
      </c>
      <c r="U105" s="151">
        <f>SUM(U10:U104)</f>
        <v>105735.45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236"/>
      <c r="AG105" s="236"/>
      <c r="AH105" s="236"/>
    </row>
    <row r="106" spans="1:35" x14ac:dyDescent="0.25">
      <c r="V106" s="160"/>
      <c r="W106" s="159"/>
      <c r="X106" s="160"/>
      <c r="Y106" s="160"/>
      <c r="Z106" s="160"/>
      <c r="AA106" s="160"/>
      <c r="AB106" s="160"/>
      <c r="AC106" s="160"/>
      <c r="AD106" s="160"/>
      <c r="AE106" s="160"/>
      <c r="AF106" s="235"/>
      <c r="AG106" s="235"/>
      <c r="AH106" s="235"/>
    </row>
    <row r="107" spans="1:35" x14ac:dyDescent="0.25">
      <c r="V107" s="145"/>
      <c r="W107" s="145"/>
      <c r="AF107" s="234"/>
      <c r="AG107" s="234"/>
      <c r="AH107" s="234"/>
      <c r="AI107" s="145"/>
    </row>
    <row r="108" spans="1:35" x14ac:dyDescent="0.25">
      <c r="W108" s="145"/>
      <c r="AF108" s="234"/>
      <c r="AG108" s="235"/>
      <c r="AH108" s="235"/>
    </row>
    <row r="109" spans="1:35" x14ac:dyDescent="0.25">
      <c r="AF109" s="235"/>
      <c r="AG109" s="235"/>
      <c r="AH109" s="234"/>
    </row>
    <row r="110" spans="1:35" x14ac:dyDescent="0.25">
      <c r="AF110" s="235"/>
      <c r="AG110" s="235"/>
      <c r="AH110" s="234"/>
    </row>
    <row r="111" spans="1:35" x14ac:dyDescent="0.25">
      <c r="AF111" s="235"/>
      <c r="AG111" s="235"/>
      <c r="AH111" s="235"/>
    </row>
    <row r="112" spans="1:35" x14ac:dyDescent="0.25">
      <c r="AF112" s="235"/>
      <c r="AG112" s="235"/>
      <c r="AH112" s="235"/>
    </row>
    <row r="113" spans="32:34" x14ac:dyDescent="0.25">
      <c r="AF113" s="235"/>
      <c r="AG113" s="235"/>
      <c r="AH113" s="235"/>
    </row>
    <row r="114" spans="32:34" x14ac:dyDescent="0.25">
      <c r="AF114" s="235"/>
      <c r="AG114" s="235"/>
      <c r="AH114" s="23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308" priority="10" stopIfTrue="1" operator="equal">
      <formula>0</formula>
    </cfRule>
  </conditionalFormatting>
  <conditionalFormatting sqref="AL45">
    <cfRule type="cellIs" dxfId="307" priority="9" stopIfTrue="1" operator="equal">
      <formula>0</formula>
    </cfRule>
  </conditionalFormatting>
  <conditionalFormatting sqref="T45">
    <cfRule type="cellIs" dxfId="306" priority="8" stopIfTrue="1" operator="equal">
      <formula>0</formula>
    </cfRule>
  </conditionalFormatting>
  <conditionalFormatting sqref="T45">
    <cfRule type="cellIs" dxfId="305" priority="7" stopIfTrue="1" operator="equal">
      <formula>0</formula>
    </cfRule>
  </conditionalFormatting>
  <conditionalFormatting sqref="T45">
    <cfRule type="cellIs" dxfId="304" priority="6" stopIfTrue="1" operator="equal">
      <formula>0</formula>
    </cfRule>
  </conditionalFormatting>
  <conditionalFormatting sqref="T45">
    <cfRule type="cellIs" dxfId="303" priority="5" stopIfTrue="1" operator="equal">
      <formula>0</formula>
    </cfRule>
  </conditionalFormatting>
  <conditionalFormatting sqref="T45">
    <cfRule type="cellIs" dxfId="302" priority="4" stopIfTrue="1" operator="equal">
      <formula>0</formula>
    </cfRule>
  </conditionalFormatting>
  <conditionalFormatting sqref="T45">
    <cfRule type="cellIs" dxfId="301" priority="3" stopIfTrue="1" operator="equal">
      <formula>0</formula>
    </cfRule>
  </conditionalFormatting>
  <conditionalFormatting sqref="T45">
    <cfRule type="cellIs" dxfId="300" priority="2" stopIfTrue="1" operator="equal">
      <formula>0</formula>
    </cfRule>
  </conditionalFormatting>
  <conditionalFormatting sqref="T45">
    <cfRule type="cellIs" dxfId="29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E79" zoomScale="80" zoomScaleNormal="80" workbookViewId="0">
      <selection activeCell="T105" sqref="T105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4.42578125" style="184" customWidth="1"/>
    <col min="4" max="4" width="9.140625" style="184" customWidth="1"/>
    <col min="5" max="5" width="14.5703125" style="184" customWidth="1"/>
    <col min="6" max="6" width="25.140625" style="184" customWidth="1"/>
    <col min="7" max="7" width="20.42578125" style="184" customWidth="1"/>
    <col min="8" max="9" width="9.140625" style="184" customWidth="1"/>
    <col min="10" max="12" width="9.140625" style="227" customWidth="1"/>
    <col min="13" max="13" width="14.5703125" style="228" customWidth="1"/>
    <col min="14" max="14" width="12.42578125" style="228" customWidth="1"/>
    <col min="15" max="15" width="12.28515625" style="228" customWidth="1"/>
    <col min="16" max="18" width="9.140625" style="228" customWidth="1"/>
    <col min="19" max="19" width="16.85546875" style="185" customWidth="1"/>
    <col min="20" max="20" width="10.7109375" style="185" customWidth="1"/>
    <col min="21" max="21" width="10.85546875" style="186" customWidth="1"/>
    <col min="22" max="22" width="15" style="134" customWidth="1"/>
    <col min="23" max="23" width="14" style="134" hidden="1" customWidth="1"/>
    <col min="24" max="24" width="9.140625" style="134" hidden="1" customWidth="1"/>
    <col min="25" max="25" width="9.5703125" style="134" hidden="1" customWidth="1"/>
    <col min="26" max="26" width="9.140625" style="134" hidden="1" customWidth="1"/>
    <col min="27" max="27" width="9.5703125" style="134" hidden="1" customWidth="1"/>
    <col min="28" max="30" width="9.140625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3" style="134" customWidth="1"/>
    <col min="35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304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55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303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36</v>
      </c>
      <c r="I10" s="75">
        <v>20</v>
      </c>
      <c r="J10" s="210">
        <v>23</v>
      </c>
      <c r="K10" s="209">
        <v>23</v>
      </c>
      <c r="L10" s="210">
        <v>22</v>
      </c>
      <c r="M10" s="211">
        <f>8818.63+2629.32+1661.28+2228.94+580</f>
        <v>15918.17</v>
      </c>
      <c r="N10" s="211">
        <f>8818.63+2629.32+1661.28</f>
        <v>13109.23</v>
      </c>
      <c r="O10" s="212">
        <f xml:space="preserve"> (M10-N10)</f>
        <v>2808.9400000000005</v>
      </c>
      <c r="P10" s="213">
        <v>8</v>
      </c>
      <c r="Q10" s="214">
        <v>8</v>
      </c>
      <c r="R10" s="215">
        <v>8</v>
      </c>
      <c r="S10" s="97">
        <f>4246.75+895.7+2557.8</f>
        <v>7700.25</v>
      </c>
      <c r="T10" s="97">
        <f>4246.75+895.7</f>
        <v>5142.45</v>
      </c>
      <c r="U10" s="97">
        <f xml:space="preserve"> (S10-T10)</f>
        <v>2557.8000000000002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14</v>
      </c>
      <c r="I11" s="75">
        <v>13</v>
      </c>
      <c r="J11" s="210">
        <v>13</v>
      </c>
      <c r="K11" s="209">
        <v>13</v>
      </c>
      <c r="L11" s="210">
        <v>13</v>
      </c>
      <c r="M11" s="211">
        <f>1778.86+580+1740+464+580</f>
        <v>5142.8599999999997</v>
      </c>
      <c r="N11" s="211">
        <f>1778.86+580+1740</f>
        <v>4098.8599999999997</v>
      </c>
      <c r="O11" s="212">
        <f t="shared" ref="O11:O74" si="1" xml:space="preserve"> (M11-N11)</f>
        <v>1044</v>
      </c>
      <c r="P11" s="213">
        <v>2</v>
      </c>
      <c r="Q11" s="21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75"/>
      <c r="J12" s="210"/>
      <c r="K12" s="209"/>
      <c r="L12" s="210"/>
      <c r="M12" s="211"/>
      <c r="N12" s="211"/>
      <c r="O12" s="212">
        <f t="shared" si="1"/>
        <v>0</v>
      </c>
      <c r="P12" s="213">
        <v>3</v>
      </c>
      <c r="Q12" s="21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26</v>
      </c>
      <c r="I13" s="75">
        <v>8</v>
      </c>
      <c r="J13" s="210">
        <v>11</v>
      </c>
      <c r="K13" s="209">
        <v>11</v>
      </c>
      <c r="L13" s="210">
        <v>11</v>
      </c>
      <c r="M13" s="211">
        <f>272.84+2699.54+4096.17</f>
        <v>7068.55</v>
      </c>
      <c r="N13" s="211">
        <f>272.84+2699.54+4096.17</f>
        <v>7068.55</v>
      </c>
      <c r="O13" s="212">
        <f t="shared" si="1"/>
        <v>0</v>
      </c>
      <c r="P13" s="213">
        <v>5</v>
      </c>
      <c r="Q13" s="214">
        <v>5</v>
      </c>
      <c r="R13" s="215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32</v>
      </c>
      <c r="I14" s="75">
        <v>19</v>
      </c>
      <c r="J14" s="210">
        <v>24</v>
      </c>
      <c r="K14" s="209">
        <v>24</v>
      </c>
      <c r="L14" s="210">
        <v>19</v>
      </c>
      <c r="M14" s="211">
        <f>4932.74+3257.04+137+2487.39+344.5</f>
        <v>11158.669999999998</v>
      </c>
      <c r="N14" s="211">
        <f>4932.74+3257.04</f>
        <v>8189.78</v>
      </c>
      <c r="O14" s="212">
        <f t="shared" si="1"/>
        <v>2968.8899999999985</v>
      </c>
      <c r="P14" s="213">
        <v>7</v>
      </c>
      <c r="Q14" s="214">
        <v>7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28</v>
      </c>
      <c r="I15" s="75">
        <v>20</v>
      </c>
      <c r="J15" s="210">
        <v>26</v>
      </c>
      <c r="K15" s="209">
        <v>26</v>
      </c>
      <c r="L15" s="210">
        <v>26</v>
      </c>
      <c r="M15" s="211">
        <f>16942.87+1278.76+580+108.75</f>
        <v>18910.379999999997</v>
      </c>
      <c r="N15" s="211">
        <f>16942.87+1278.76</f>
        <v>18221.629999999997</v>
      </c>
      <c r="O15" s="212">
        <f t="shared" si="1"/>
        <v>688.75</v>
      </c>
      <c r="P15" s="213">
        <v>14</v>
      </c>
      <c r="Q15" s="214">
        <v>14</v>
      </c>
      <c r="R15" s="215">
        <v>14</v>
      </c>
      <c r="S15" s="97">
        <f>13813.9+1491.1</f>
        <v>15305</v>
      </c>
      <c r="T15" s="97">
        <v>13813.9</v>
      </c>
      <c r="U15" s="97">
        <f t="shared" si="2"/>
        <v>1491.1000000000004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75"/>
      <c r="J16" s="210"/>
      <c r="K16" s="209"/>
      <c r="L16" s="210"/>
      <c r="M16" s="211"/>
      <c r="N16" s="211"/>
      <c r="O16" s="212">
        <f t="shared" si="1"/>
        <v>0</v>
      </c>
      <c r="P16" s="213"/>
      <c r="Q16" s="21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32</v>
      </c>
      <c r="I17" s="75">
        <v>13</v>
      </c>
      <c r="J17" s="210">
        <v>17</v>
      </c>
      <c r="K17" s="209">
        <v>17</v>
      </c>
      <c r="L17" s="210">
        <v>15</v>
      </c>
      <c r="M17" s="211">
        <f>7235.14+4416.12+1559.66+658.56</f>
        <v>13869.48</v>
      </c>
      <c r="N17" s="211">
        <f>7235.14+4416.12+1559.66</f>
        <v>13210.92</v>
      </c>
      <c r="O17" s="212">
        <f t="shared" si="1"/>
        <v>658.55999999999949</v>
      </c>
      <c r="P17" s="213">
        <v>1</v>
      </c>
      <c r="Q17" s="21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31</v>
      </c>
      <c r="I18" s="75">
        <v>22</v>
      </c>
      <c r="J18" s="210">
        <v>26</v>
      </c>
      <c r="K18" s="210">
        <v>26</v>
      </c>
      <c r="L18" s="210">
        <v>17</v>
      </c>
      <c r="M18" s="211">
        <f>2118.92+12936.58+4403.89+2411.49</f>
        <v>21870.879999999997</v>
      </c>
      <c r="N18" s="211">
        <v>2118.92</v>
      </c>
      <c r="O18" s="212">
        <f t="shared" si="1"/>
        <v>19751.96</v>
      </c>
      <c r="P18" s="213">
        <v>6</v>
      </c>
      <c r="Q18" s="215">
        <v>6</v>
      </c>
      <c r="R18" s="215">
        <v>6</v>
      </c>
      <c r="S18" s="97">
        <f>14748.55+934.31</f>
        <v>15682.859999999999</v>
      </c>
      <c r="T18" s="97">
        <v>14748.55</v>
      </c>
      <c r="U18" s="97">
        <f t="shared" si="2"/>
        <v>934.30999999999949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27</v>
      </c>
      <c r="I19" s="75">
        <v>13</v>
      </c>
      <c r="J19" s="210">
        <v>25</v>
      </c>
      <c r="K19" s="209">
        <v>25</v>
      </c>
      <c r="L19" s="210">
        <v>23</v>
      </c>
      <c r="M19" s="211">
        <f>5345.36+3385.2+4242.79+7468.83</f>
        <v>20442.18</v>
      </c>
      <c r="N19" s="211">
        <f>5345.36+3385.2+4242.79</f>
        <v>12973.349999999999</v>
      </c>
      <c r="O19" s="212">
        <f t="shared" si="1"/>
        <v>7468.8300000000017</v>
      </c>
      <c r="P19" s="213">
        <v>15</v>
      </c>
      <c r="Q19" s="21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37</v>
      </c>
      <c r="I20" s="75">
        <v>18</v>
      </c>
      <c r="J20" s="210">
        <v>25</v>
      </c>
      <c r="K20" s="210">
        <v>25</v>
      </c>
      <c r="L20" s="210">
        <v>19</v>
      </c>
      <c r="M20" s="211">
        <f>5728.14+3727.02+315.94+2507.59+652.5+2191.47</f>
        <v>15122.66</v>
      </c>
      <c r="N20" s="211">
        <f>5728.14+3727.02+315.94</f>
        <v>9771.1</v>
      </c>
      <c r="O20" s="212">
        <f t="shared" si="1"/>
        <v>5351.5599999999995</v>
      </c>
      <c r="P20" s="213">
        <v>27</v>
      </c>
      <c r="Q20" s="215">
        <v>26</v>
      </c>
      <c r="R20" s="215">
        <v>26</v>
      </c>
      <c r="S20" s="97">
        <f>36404.57+1488.24+1902.09</f>
        <v>39794.899999999994</v>
      </c>
      <c r="T20" s="97">
        <f>36404.57+1488.24</f>
        <v>37892.81</v>
      </c>
      <c r="U20" s="97">
        <f t="shared" si="2"/>
        <v>1902.0899999999965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19</v>
      </c>
      <c r="I21" s="75">
        <v>10</v>
      </c>
      <c r="J21" s="210">
        <v>13</v>
      </c>
      <c r="K21" s="209">
        <v>13</v>
      </c>
      <c r="L21" s="210">
        <v>13</v>
      </c>
      <c r="M21" s="211">
        <f>3586.84+1791.4+1337.88+413.4+1061.35+942.5</f>
        <v>9133.369999999999</v>
      </c>
      <c r="N21" s="211">
        <f>3586.84+1791.4+1337.88+413.4</f>
        <v>7129.5199999999995</v>
      </c>
      <c r="O21" s="212">
        <f t="shared" si="1"/>
        <v>2003.8499999999995</v>
      </c>
      <c r="P21" s="213">
        <v>6</v>
      </c>
      <c r="Q21" s="214">
        <v>6</v>
      </c>
      <c r="R21" s="215">
        <v>6</v>
      </c>
      <c r="S21" s="97">
        <f>7288.02+447.62+2487.39</f>
        <v>10223.030000000001</v>
      </c>
      <c r="T21" s="97">
        <f>7288.02+447.62+2487.39</f>
        <v>10223.030000000001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102</v>
      </c>
      <c r="I22" s="75">
        <v>56</v>
      </c>
      <c r="J22" s="210">
        <v>69</v>
      </c>
      <c r="K22" s="210">
        <v>56</v>
      </c>
      <c r="L22" s="210">
        <v>56</v>
      </c>
      <c r="M22" s="211">
        <f>19787.02+2513.73+2255.05+12081.39+6786.96</f>
        <v>43424.15</v>
      </c>
      <c r="N22" s="211">
        <f>19787.02+2513.73</f>
        <v>22300.75</v>
      </c>
      <c r="O22" s="212">
        <f t="shared" si="1"/>
        <v>21123.4</v>
      </c>
      <c r="P22" s="213">
        <v>23</v>
      </c>
      <c r="Q22" s="215">
        <v>22</v>
      </c>
      <c r="R22" s="215">
        <v>20</v>
      </c>
      <c r="S22" s="97">
        <v>24103.23</v>
      </c>
      <c r="T22" s="97">
        <v>24103.23</v>
      </c>
      <c r="U22" s="97">
        <f t="shared" si="2"/>
        <v>0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15</v>
      </c>
      <c r="I23" s="75">
        <v>10</v>
      </c>
      <c r="J23" s="210">
        <v>16</v>
      </c>
      <c r="K23" s="209">
        <v>16</v>
      </c>
      <c r="L23" s="210">
        <v>12</v>
      </c>
      <c r="M23" s="211">
        <f>5739.04+1828.05+1440.72+631.62+564.05+641.19</f>
        <v>10844.67</v>
      </c>
      <c r="N23" s="211">
        <f>5739.04+1828.05+1440.72</f>
        <v>9007.81</v>
      </c>
      <c r="O23" s="212">
        <f t="shared" si="1"/>
        <v>1836.8600000000006</v>
      </c>
      <c r="P23" s="213">
        <v>11</v>
      </c>
      <c r="Q23" s="214">
        <v>11</v>
      </c>
      <c r="R23" s="215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19</v>
      </c>
      <c r="I24" s="75">
        <v>15</v>
      </c>
      <c r="J24" s="210">
        <v>17</v>
      </c>
      <c r="K24" s="209">
        <v>15</v>
      </c>
      <c r="L24" s="210">
        <v>15</v>
      </c>
      <c r="M24" s="211">
        <f>1515.11+3525.12</f>
        <v>5040.2299999999996</v>
      </c>
      <c r="N24" s="211">
        <f>1515.11+3525.12</f>
        <v>5040.2299999999996</v>
      </c>
      <c r="O24" s="212">
        <f t="shared" si="1"/>
        <v>0</v>
      </c>
      <c r="P24" s="213">
        <v>7</v>
      </c>
      <c r="Q24" s="21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30</v>
      </c>
      <c r="I25" s="75">
        <v>11</v>
      </c>
      <c r="J25" s="210">
        <v>29</v>
      </c>
      <c r="K25" s="210">
        <v>29</v>
      </c>
      <c r="L25" s="210">
        <v>29</v>
      </c>
      <c r="M25" s="211">
        <f>9005.69+15068.32+3714.72</f>
        <v>27788.730000000003</v>
      </c>
      <c r="N25" s="211">
        <f>9005.69+15068.32</f>
        <v>24074.010000000002</v>
      </c>
      <c r="O25" s="212">
        <f t="shared" si="1"/>
        <v>3714.7200000000012</v>
      </c>
      <c r="P25" s="213">
        <v>21</v>
      </c>
      <c r="Q25" s="215">
        <v>21</v>
      </c>
      <c r="R25" s="215">
        <v>21</v>
      </c>
      <c r="S25" s="97">
        <f>24213.05+6197.08+341.06</f>
        <v>30751.19</v>
      </c>
      <c r="T25" s="97">
        <v>24213.05</v>
      </c>
      <c r="U25" s="97">
        <f t="shared" si="2"/>
        <v>6538.1399999999994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75">
        <v>11</v>
      </c>
      <c r="J26" s="210">
        <v>18</v>
      </c>
      <c r="K26" s="209">
        <v>18</v>
      </c>
      <c r="L26" s="210">
        <v>18</v>
      </c>
      <c r="M26" s="211">
        <f>3777.1+6399.51+6251.64+358.88</f>
        <v>16787.13</v>
      </c>
      <c r="N26" s="211">
        <f>3777.1+6399.51</f>
        <v>10176.61</v>
      </c>
      <c r="O26" s="212">
        <f t="shared" si="1"/>
        <v>6610.52</v>
      </c>
      <c r="P26" s="213">
        <v>12</v>
      </c>
      <c r="Q26" s="214">
        <v>12</v>
      </c>
      <c r="R26" s="215">
        <v>12</v>
      </c>
      <c r="S26" s="97">
        <f>3386.7+2140.45</f>
        <v>5527.15</v>
      </c>
      <c r="T26" s="97">
        <v>3386.7</v>
      </c>
      <c r="U26" s="97">
        <f t="shared" si="2"/>
        <v>2140.4499999999998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27</v>
      </c>
      <c r="I27" s="75">
        <v>16</v>
      </c>
      <c r="J27" s="210">
        <v>28</v>
      </c>
      <c r="K27" s="209">
        <v>28</v>
      </c>
      <c r="L27" s="210">
        <v>28</v>
      </c>
      <c r="M27" s="211">
        <f>6801.73+4254.18+3948.81+757.9+1004.85+1005.5</f>
        <v>17772.969999999998</v>
      </c>
      <c r="N27" s="211">
        <f>6801.73+4254.18+3948.81</f>
        <v>15004.72</v>
      </c>
      <c r="O27" s="212">
        <f t="shared" si="1"/>
        <v>2768.2499999999982</v>
      </c>
      <c r="P27" s="213">
        <v>14</v>
      </c>
      <c r="Q27" s="21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75"/>
      <c r="J28" s="210"/>
      <c r="K28" s="209"/>
      <c r="L28" s="210"/>
      <c r="M28" s="211"/>
      <c r="N28" s="211"/>
      <c r="O28" s="212">
        <f t="shared" si="1"/>
        <v>0</v>
      </c>
      <c r="P28" s="213"/>
      <c r="Q28" s="21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23</v>
      </c>
      <c r="I29" s="75">
        <v>21</v>
      </c>
      <c r="J29" s="210">
        <v>29</v>
      </c>
      <c r="K29" s="209">
        <v>29</v>
      </c>
      <c r="L29" s="210">
        <v>27</v>
      </c>
      <c r="M29" s="211">
        <f>7765.28+1107.91+3282.4+1320.23+1580.98+622.05+447.4</f>
        <v>16126.249999999998</v>
      </c>
      <c r="N29" s="211">
        <f>7765.28+1107.91+3282.4+1320.23+1580.98</f>
        <v>15056.8</v>
      </c>
      <c r="O29" s="212">
        <f t="shared" si="1"/>
        <v>1069.4499999999989</v>
      </c>
      <c r="P29" s="213">
        <v>14</v>
      </c>
      <c r="Q29" s="21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33</v>
      </c>
      <c r="I30" s="75">
        <v>29</v>
      </c>
      <c r="J30" s="210">
        <v>41</v>
      </c>
      <c r="K30" s="210">
        <v>41</v>
      </c>
      <c r="L30" s="210">
        <v>28</v>
      </c>
      <c r="M30" s="211">
        <f>5246.17+4965.96+1939.12+3762.43+2342.38</f>
        <v>18256.060000000001</v>
      </c>
      <c r="N30" s="211">
        <f>5246.17+4965.96+1939.12</f>
        <v>12151.25</v>
      </c>
      <c r="O30" s="212">
        <f t="shared" si="1"/>
        <v>6104.8100000000013</v>
      </c>
      <c r="P30" s="213">
        <v>23</v>
      </c>
      <c r="Q30" s="215">
        <v>23</v>
      </c>
      <c r="R30" s="215">
        <v>22</v>
      </c>
      <c r="S30" s="97">
        <f>39414.6+4786.67+1562.33+638.43+2216.93</f>
        <v>48618.96</v>
      </c>
      <c r="T30" s="97">
        <f>39414.6+4786.67+1562.33+638.43</f>
        <v>46402.03</v>
      </c>
      <c r="U30" s="97">
        <f t="shared" si="2"/>
        <v>2216.9300000000003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75">
        <v>1</v>
      </c>
      <c r="J31" s="210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21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75"/>
      <c r="J32" s="210"/>
      <c r="K32" s="209"/>
      <c r="L32" s="210"/>
      <c r="M32" s="211"/>
      <c r="N32" s="211"/>
      <c r="O32" s="212">
        <f t="shared" si="1"/>
        <v>0</v>
      </c>
      <c r="P32" s="213"/>
      <c r="Q32" s="21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13</v>
      </c>
      <c r="I33" s="75">
        <v>9</v>
      </c>
      <c r="J33" s="210">
        <v>11</v>
      </c>
      <c r="K33" s="209">
        <v>11</v>
      </c>
      <c r="L33" s="210">
        <v>11</v>
      </c>
      <c r="M33" s="211">
        <f>4065+2226.4+2915.4+290</f>
        <v>9496.7999999999993</v>
      </c>
      <c r="N33" s="211">
        <f>4065+2226.4+2915.4</f>
        <v>9206.7999999999993</v>
      </c>
      <c r="O33" s="212">
        <f t="shared" si="1"/>
        <v>290</v>
      </c>
      <c r="P33" s="213"/>
      <c r="Q33" s="21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75">
        <v>14</v>
      </c>
      <c r="J34" s="210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11</v>
      </c>
      <c r="I35" s="75">
        <v>6</v>
      </c>
      <c r="J35" s="210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21</v>
      </c>
      <c r="I36" s="75">
        <v>13</v>
      </c>
      <c r="J36" s="210">
        <v>15</v>
      </c>
      <c r="K36" s="209">
        <v>15</v>
      </c>
      <c r="L36" s="210">
        <v>11</v>
      </c>
      <c r="M36" s="211">
        <f>2360+2665.25+2800.06</f>
        <v>7825.3099999999995</v>
      </c>
      <c r="N36" s="211">
        <f>2360+2665.25</f>
        <v>5025.25</v>
      </c>
      <c r="O36" s="212">
        <f t="shared" si="1"/>
        <v>2800.0599999999995</v>
      </c>
      <c r="P36" s="213">
        <v>6</v>
      </c>
      <c r="Q36" s="214">
        <v>6</v>
      </c>
      <c r="R36" s="215">
        <v>6</v>
      </c>
      <c r="S36" s="97">
        <f>1436.08+3433.93+5939.33+1723.52</f>
        <v>12532.86</v>
      </c>
      <c r="T36" s="97">
        <f>1436.08+3433.93+5939.33</f>
        <v>10809.34</v>
      </c>
      <c r="U36" s="97">
        <f t="shared" si="2"/>
        <v>1723.5200000000004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15</v>
      </c>
      <c r="I37" s="75">
        <v>12</v>
      </c>
      <c r="J37" s="210">
        <v>13</v>
      </c>
      <c r="K37" s="209">
        <v>13</v>
      </c>
      <c r="L37" s="210">
        <v>13</v>
      </c>
      <c r="M37" s="211">
        <f>4126.56+990.2+862.75+145+358.88+1424.06</f>
        <v>7907.4500000000007</v>
      </c>
      <c r="N37" s="211">
        <f>4126.56+990.2+862.75+145</f>
        <v>6124.51</v>
      </c>
      <c r="O37" s="212">
        <f t="shared" si="1"/>
        <v>1782.9400000000005</v>
      </c>
      <c r="P37" s="213">
        <v>2</v>
      </c>
      <c r="Q37" s="214">
        <v>2</v>
      </c>
      <c r="R37" s="215">
        <v>2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71</v>
      </c>
      <c r="I38" s="75">
        <v>36</v>
      </c>
      <c r="J38" s="210">
        <v>51</v>
      </c>
      <c r="K38" s="209">
        <v>51</v>
      </c>
      <c r="L38" s="210">
        <v>45</v>
      </c>
      <c r="M38" s="211">
        <f>18043.85+1739.74+12219.36+4084.73+2867.69+2388.56+1377.5</f>
        <v>42721.43</v>
      </c>
      <c r="N38" s="211">
        <f>18043.85+1739.74+12219.36+3053.47</f>
        <v>35056.42</v>
      </c>
      <c r="O38" s="212">
        <f t="shared" si="1"/>
        <v>7665.010000000002</v>
      </c>
      <c r="P38" s="213">
        <v>20</v>
      </c>
      <c r="Q38" s="214">
        <v>20</v>
      </c>
      <c r="R38" s="215">
        <v>20</v>
      </c>
      <c r="S38" s="97">
        <f>22326.77+417.74+1031.26</f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27</v>
      </c>
      <c r="I39" s="75">
        <v>11</v>
      </c>
      <c r="J39" s="210">
        <v>16</v>
      </c>
      <c r="K39" s="209">
        <v>16</v>
      </c>
      <c r="L39" s="210">
        <v>14</v>
      </c>
      <c r="M39" s="211">
        <f>4309.67+3353.38+84.05+2832.72+349.74</f>
        <v>10929.56</v>
      </c>
      <c r="N39" s="211">
        <f>4309.67+3353.38+84.93+2831.84</f>
        <v>10579.82</v>
      </c>
      <c r="O39" s="212">
        <f t="shared" si="1"/>
        <v>349.73999999999978</v>
      </c>
      <c r="P39" s="213">
        <v>3</v>
      </c>
      <c r="Q39" s="214">
        <v>3</v>
      </c>
      <c r="R39" s="215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8</v>
      </c>
      <c r="I40" s="75">
        <v>5</v>
      </c>
      <c r="J40" s="210">
        <v>5</v>
      </c>
      <c r="K40" s="209">
        <v>5</v>
      </c>
      <c r="L40" s="210">
        <v>5</v>
      </c>
      <c r="M40" s="211">
        <v>5430.01</v>
      </c>
      <c r="N40" s="211">
        <v>5430.01</v>
      </c>
      <c r="O40" s="212">
        <f t="shared" si="1"/>
        <v>0</v>
      </c>
      <c r="P40" s="213">
        <v>3</v>
      </c>
      <c r="Q40" s="214">
        <v>3</v>
      </c>
      <c r="R40" s="215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18</v>
      </c>
      <c r="I41" s="75">
        <v>17</v>
      </c>
      <c r="J41" s="210">
        <v>19</v>
      </c>
      <c r="K41" s="209">
        <v>11</v>
      </c>
      <c r="L41" s="210">
        <v>11</v>
      </c>
      <c r="M41" s="211">
        <f>4892.78+1033.5+545.69+1551.08</f>
        <v>8023.0499999999993</v>
      </c>
      <c r="N41" s="211">
        <f>4892.78+1033.5</f>
        <v>5926.28</v>
      </c>
      <c r="O41" s="212">
        <f t="shared" si="1"/>
        <v>2096.7699999999995</v>
      </c>
      <c r="P41" s="213">
        <v>4</v>
      </c>
      <c r="Q41" s="214">
        <v>4</v>
      </c>
      <c r="R41" s="215">
        <v>4</v>
      </c>
      <c r="S41" s="97">
        <f>1842.88+373.68</f>
        <v>2216.56</v>
      </c>
      <c r="T41" s="97">
        <f>1842.88</f>
        <v>1842.88</v>
      </c>
      <c r="U41" s="97">
        <f t="shared" si="2"/>
        <v>373.67999999999984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77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14</v>
      </c>
      <c r="I42" s="75">
        <v>7</v>
      </c>
      <c r="J42" s="210">
        <v>9</v>
      </c>
      <c r="K42" s="209">
        <v>9</v>
      </c>
      <c r="L42" s="210">
        <v>8</v>
      </c>
      <c r="M42" s="211">
        <f>5095.29+1605.75+430.65</f>
        <v>7131.69</v>
      </c>
      <c r="N42" s="211">
        <f>5095.29+1605.75</f>
        <v>6701.04</v>
      </c>
      <c r="O42" s="212">
        <f t="shared" si="1"/>
        <v>430.64999999999964</v>
      </c>
      <c r="P42" s="213">
        <v>5</v>
      </c>
      <c r="Q42" s="21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18</v>
      </c>
      <c r="I43" s="75">
        <v>9</v>
      </c>
      <c r="J43" s="210">
        <v>12</v>
      </c>
      <c r="K43" s="209">
        <v>11</v>
      </c>
      <c r="L43" s="210">
        <v>11</v>
      </c>
      <c r="M43" s="211">
        <f>1949.94+11241.95+1670.56+979+622.78+145</f>
        <v>16609.23</v>
      </c>
      <c r="N43" s="211">
        <f>1949.94+11241.95+1670.56+979</f>
        <v>15841.45</v>
      </c>
      <c r="O43" s="212">
        <f t="shared" si="1"/>
        <v>767.77999999999884</v>
      </c>
      <c r="P43" s="213">
        <v>6</v>
      </c>
      <c r="Q43" s="214">
        <v>6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11</v>
      </c>
      <c r="I44" s="75">
        <v>6</v>
      </c>
      <c r="J44" s="210">
        <v>13</v>
      </c>
      <c r="K44" s="209">
        <v>13</v>
      </c>
      <c r="L44" s="210">
        <v>13</v>
      </c>
      <c r="M44" s="211">
        <f>9600.95+145+2182.75+7980.88+580+287.1</f>
        <v>20776.68</v>
      </c>
      <c r="N44" s="211">
        <f>9600.95+145+2182.75</f>
        <v>11928.7</v>
      </c>
      <c r="O44" s="212">
        <f t="shared" si="1"/>
        <v>8847.98</v>
      </c>
      <c r="P44" s="213">
        <v>8</v>
      </c>
      <c r="Q44" s="214">
        <v>8</v>
      </c>
      <c r="R44" s="215">
        <v>8</v>
      </c>
      <c r="S44" s="97">
        <f>3997.92+850.65+4367.7+2262.73+189.48</f>
        <v>11668.48</v>
      </c>
      <c r="T44" s="97">
        <f>3997.92+850.65+4367.7</f>
        <v>9216.27</v>
      </c>
      <c r="U44" s="97">
        <f t="shared" si="2"/>
        <v>2452.2099999999991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75"/>
      <c r="J45" s="210"/>
      <c r="K45" s="209"/>
      <c r="L45" s="210"/>
      <c r="M45" s="211"/>
      <c r="N45" s="211"/>
      <c r="O45" s="212">
        <f t="shared" si="1"/>
        <v>0</v>
      </c>
      <c r="P45" s="213"/>
      <c r="Q45" s="21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13</v>
      </c>
      <c r="I46" s="75">
        <v>11</v>
      </c>
      <c r="J46" s="210">
        <v>12</v>
      </c>
      <c r="K46" s="209">
        <v>12</v>
      </c>
      <c r="L46" s="210">
        <v>12</v>
      </c>
      <c r="M46" s="211">
        <f>1290.6+2343.84+935.25</f>
        <v>4569.6900000000005</v>
      </c>
      <c r="N46" s="211">
        <f>1290.6+2343.84</f>
        <v>3634.44</v>
      </c>
      <c r="O46" s="212">
        <f t="shared" si="1"/>
        <v>935.25000000000045</v>
      </c>
      <c r="P46" s="213">
        <v>2</v>
      </c>
      <c r="Q46" s="21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36</v>
      </c>
      <c r="I47" s="75">
        <v>22</v>
      </c>
      <c r="J47" s="210">
        <v>31</v>
      </c>
      <c r="K47" s="209">
        <v>31</v>
      </c>
      <c r="L47" s="210">
        <v>29</v>
      </c>
      <c r="M47" s="211">
        <f>9335.56+3507.6+826.8+2284.16+1015</f>
        <v>16969.12</v>
      </c>
      <c r="N47" s="211">
        <f>9335.56+3507.6+826.8</f>
        <v>13669.96</v>
      </c>
      <c r="O47" s="212">
        <f t="shared" si="1"/>
        <v>3299.16</v>
      </c>
      <c r="P47" s="213">
        <v>2</v>
      </c>
      <c r="Q47" s="21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14</v>
      </c>
      <c r="I48" s="75">
        <v>6</v>
      </c>
      <c r="J48" s="210">
        <v>9</v>
      </c>
      <c r="K48" s="209">
        <v>9</v>
      </c>
      <c r="L48" s="210">
        <v>9</v>
      </c>
      <c r="M48" s="211">
        <f>8890.84+1828.05+435</f>
        <v>11153.89</v>
      </c>
      <c r="N48" s="211">
        <f>8890.84+1828.05</f>
        <v>10718.89</v>
      </c>
      <c r="O48" s="212">
        <f t="shared" si="1"/>
        <v>435</v>
      </c>
      <c r="P48" s="213">
        <v>3</v>
      </c>
      <c r="Q48" s="21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18</v>
      </c>
      <c r="I49" s="75">
        <v>9</v>
      </c>
      <c r="J49" s="210">
        <v>11</v>
      </c>
      <c r="K49" s="209">
        <v>11</v>
      </c>
      <c r="L49" s="210">
        <v>11</v>
      </c>
      <c r="M49" s="211">
        <f>1831.71+137.8+1816.78+290</f>
        <v>4076.29</v>
      </c>
      <c r="N49" s="211">
        <f>1831.71+137.8+1816.78</f>
        <v>3786.29</v>
      </c>
      <c r="O49" s="212">
        <f t="shared" si="1"/>
        <v>290</v>
      </c>
      <c r="P49" s="213">
        <v>9</v>
      </c>
      <c r="Q49" s="214">
        <v>9</v>
      </c>
      <c r="R49" s="215">
        <v>9</v>
      </c>
      <c r="S49" s="97">
        <f>8296.23+1378+5368</f>
        <v>15042.23</v>
      </c>
      <c r="T49" s="97">
        <f>8296.23+1378+5368</f>
        <v>15042.23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18</v>
      </c>
      <c r="I50" s="75">
        <v>14</v>
      </c>
      <c r="J50" s="210">
        <v>16</v>
      </c>
      <c r="K50" s="209">
        <v>16</v>
      </c>
      <c r="L50" s="210">
        <v>15</v>
      </c>
      <c r="M50" s="211">
        <f>8308.92+786.44+453+302</f>
        <v>9850.36</v>
      </c>
      <c r="N50" s="211">
        <f>8308.92+786.44+453+302</f>
        <v>9850.36</v>
      </c>
      <c r="O50" s="212">
        <f t="shared" si="1"/>
        <v>0</v>
      </c>
      <c r="P50" s="213">
        <v>6</v>
      </c>
      <c r="Q50" s="214">
        <v>6</v>
      </c>
      <c r="R50" s="215">
        <v>6</v>
      </c>
      <c r="S50" s="97">
        <f>2457.28+1725.6+5017.9+1584.7</f>
        <v>10785.48</v>
      </c>
      <c r="T50" s="97">
        <f>2457.28+1725.6+5017.9</f>
        <v>9200.7799999999988</v>
      </c>
      <c r="U50" s="97">
        <f t="shared" si="2"/>
        <v>1584.7000000000007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23</v>
      </c>
      <c r="I51" s="75">
        <v>12</v>
      </c>
      <c r="J51" s="210">
        <v>14</v>
      </c>
      <c r="K51" s="209">
        <v>14</v>
      </c>
      <c r="L51" s="210">
        <v>14</v>
      </c>
      <c r="M51" s="211">
        <f>5580.75+571.11+696.2+574.2+408.03+1234.53+1446.9</f>
        <v>10511.72</v>
      </c>
      <c r="N51" s="211">
        <f>5580.75+571.11+696.2+574.2</f>
        <v>7422.2599999999993</v>
      </c>
      <c r="O51" s="212">
        <f t="shared" si="1"/>
        <v>3089.46</v>
      </c>
      <c r="P51" s="213">
        <v>1</v>
      </c>
      <c r="Q51" s="214">
        <v>1</v>
      </c>
      <c r="R51" s="215">
        <v>1</v>
      </c>
      <c r="S51" s="97">
        <f>728.15</f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19</v>
      </c>
      <c r="I52" s="75">
        <v>11</v>
      </c>
      <c r="J52" s="210">
        <v>14</v>
      </c>
      <c r="K52" s="209">
        <v>14</v>
      </c>
      <c r="L52" s="210">
        <v>13</v>
      </c>
      <c r="M52" s="211">
        <f>3782.6+430.65+1221.61+2194.55</f>
        <v>7629.41</v>
      </c>
      <c r="N52" s="211">
        <f>3782.6+430.65+1221.61</f>
        <v>5434.86</v>
      </c>
      <c r="O52" s="212">
        <f t="shared" si="1"/>
        <v>2194.5500000000002</v>
      </c>
      <c r="P52" s="213">
        <v>9</v>
      </c>
      <c r="Q52" s="214">
        <v>9</v>
      </c>
      <c r="R52" s="215">
        <v>9</v>
      </c>
      <c r="S52" s="97">
        <f>1535.39+1035.3+828.82+12756.45</f>
        <v>16155.960000000001</v>
      </c>
      <c r="T52" s="97">
        <f>1535.39+1035.3+828.82</f>
        <v>3399.51</v>
      </c>
      <c r="U52" s="97">
        <f t="shared" si="2"/>
        <v>12756.45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8</v>
      </c>
      <c r="I53" s="75">
        <v>3</v>
      </c>
      <c r="J53" s="210">
        <v>3</v>
      </c>
      <c r="K53" s="209">
        <v>3</v>
      </c>
      <c r="L53" s="210">
        <v>3</v>
      </c>
      <c r="M53" s="211">
        <f>1102.4+328.37</f>
        <v>1430.77</v>
      </c>
      <c r="N53" s="211">
        <v>1102.4000000000001</v>
      </c>
      <c r="O53" s="212">
        <f t="shared" si="1"/>
        <v>328.36999999999989</v>
      </c>
      <c r="P53" s="213">
        <v>2</v>
      </c>
      <c r="Q53" s="21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92</v>
      </c>
      <c r="I54" s="75">
        <v>74</v>
      </c>
      <c r="J54" s="210">
        <v>89</v>
      </c>
      <c r="K54" s="209">
        <v>89</v>
      </c>
      <c r="L54" s="210">
        <v>65</v>
      </c>
      <c r="M54" s="211">
        <f>12031.27+4728.85+7137.01+1218+507+4175.93</f>
        <v>29798.060000000005</v>
      </c>
      <c r="N54" s="211">
        <f>12031.27+4728.85+7137.01</f>
        <v>23897.130000000005</v>
      </c>
      <c r="O54" s="212">
        <f t="shared" si="1"/>
        <v>5900.93</v>
      </c>
      <c r="P54" s="213">
        <v>17</v>
      </c>
      <c r="Q54" s="21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7</v>
      </c>
      <c r="I55" s="75">
        <v>3</v>
      </c>
      <c r="J55" s="210">
        <v>3</v>
      </c>
      <c r="K55" s="209">
        <v>3</v>
      </c>
      <c r="L55" s="210">
        <v>3</v>
      </c>
      <c r="M55" s="211">
        <f>5677.4+870</f>
        <v>6547.4</v>
      </c>
      <c r="N55" s="211">
        <v>5677.4</v>
      </c>
      <c r="O55" s="212">
        <f t="shared" si="1"/>
        <v>870</v>
      </c>
      <c r="P55" s="213">
        <v>3</v>
      </c>
      <c r="Q55" s="21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54</v>
      </c>
      <c r="I56" s="75">
        <v>36</v>
      </c>
      <c r="J56" s="210">
        <v>53</v>
      </c>
      <c r="K56" s="209">
        <v>53</v>
      </c>
      <c r="L56" s="210">
        <v>45</v>
      </c>
      <c r="M56" s="211">
        <f>13145.7+14183.3+726.22+3195.47+5181.98+1425.26+6804.83+1811</f>
        <v>46473.760000000002</v>
      </c>
      <c r="N56" s="211">
        <f>13145.7+14183.3+726.22+1428.26</f>
        <v>29483.48</v>
      </c>
      <c r="O56" s="212">
        <f t="shared" si="1"/>
        <v>16990.280000000002</v>
      </c>
      <c r="P56" s="213">
        <v>35</v>
      </c>
      <c r="Q56" s="214">
        <v>35</v>
      </c>
      <c r="R56" s="215">
        <v>32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75">
        <v>4</v>
      </c>
      <c r="J57" s="210">
        <v>3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21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75"/>
      <c r="J58" s="210"/>
      <c r="K58" s="209"/>
      <c r="L58" s="210"/>
      <c r="M58" s="211"/>
      <c r="N58" s="211"/>
      <c r="O58" s="212">
        <f t="shared" si="1"/>
        <v>0</v>
      </c>
      <c r="P58" s="213">
        <v>1</v>
      </c>
      <c r="Q58" s="214">
        <v>1</v>
      </c>
      <c r="R58" s="215">
        <v>1</v>
      </c>
      <c r="S58" s="97">
        <v>548.1</v>
      </c>
      <c r="T58" s="97"/>
      <c r="U58" s="97">
        <f t="shared" si="2"/>
        <v>548.1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75"/>
      <c r="J59" s="210"/>
      <c r="K59" s="209"/>
      <c r="L59" s="210"/>
      <c r="M59" s="211"/>
      <c r="N59" s="211"/>
      <c r="O59" s="212">
        <f t="shared" si="1"/>
        <v>0</v>
      </c>
      <c r="P59" s="213"/>
      <c r="Q59" s="21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45</v>
      </c>
      <c r="I60" s="75">
        <v>26</v>
      </c>
      <c r="J60" s="210">
        <v>41</v>
      </c>
      <c r="K60" s="209">
        <v>41</v>
      </c>
      <c r="L60" s="210">
        <v>41</v>
      </c>
      <c r="M60" s="211">
        <f>19657.67+3859.57+3638.88+11285.84+2356.7+1870.22+2374.32</f>
        <v>45043.199999999997</v>
      </c>
      <c r="N60" s="211">
        <f>19657.67+3859.57+3638.88</f>
        <v>27156.12</v>
      </c>
      <c r="O60" s="212">
        <f t="shared" si="1"/>
        <v>17887.079999999998</v>
      </c>
      <c r="P60" s="213">
        <v>6</v>
      </c>
      <c r="Q60" s="214">
        <v>6</v>
      </c>
      <c r="R60" s="215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23</v>
      </c>
      <c r="I61" s="75">
        <v>14</v>
      </c>
      <c r="J61" s="210">
        <v>18</v>
      </c>
      <c r="K61" s="209">
        <v>18</v>
      </c>
      <c r="L61" s="210">
        <v>18</v>
      </c>
      <c r="M61" s="211">
        <f>3986.21+989.8+3814.75+1492.92+2107.58+1990.86</f>
        <v>14382.12</v>
      </c>
      <c r="N61" s="211">
        <f>3986.21+989.8+3814.75</f>
        <v>8790.76</v>
      </c>
      <c r="O61" s="212">
        <f t="shared" si="1"/>
        <v>5591.3600000000006</v>
      </c>
      <c r="P61" s="213"/>
      <c r="Q61" s="21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77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18</v>
      </c>
      <c r="I62" s="75">
        <v>11</v>
      </c>
      <c r="J62" s="210">
        <v>14</v>
      </c>
      <c r="K62" s="209">
        <v>14</v>
      </c>
      <c r="L62" s="210">
        <v>14</v>
      </c>
      <c r="M62" s="211">
        <f>1263.45+2111.32+5011.35+4260.64</f>
        <v>12646.760000000002</v>
      </c>
      <c r="N62" s="211">
        <f>1263.45+2111.32+5011.35</f>
        <v>8386.1200000000008</v>
      </c>
      <c r="O62" s="212">
        <f t="shared" si="1"/>
        <v>4260.6400000000012</v>
      </c>
      <c r="P62" s="213">
        <v>7</v>
      </c>
      <c r="Q62" s="214">
        <v>7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75"/>
      <c r="J63" s="210"/>
      <c r="K63" s="209"/>
      <c r="L63" s="210"/>
      <c r="M63" s="211"/>
      <c r="N63" s="211"/>
      <c r="O63" s="212">
        <f t="shared" si="1"/>
        <v>0</v>
      </c>
      <c r="P63" s="213">
        <v>29</v>
      </c>
      <c r="Q63" s="214">
        <v>29</v>
      </c>
      <c r="R63" s="215">
        <v>29</v>
      </c>
      <c r="S63" s="97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</row>
    <row r="64" spans="1:40" ht="17.25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23</v>
      </c>
      <c r="I64" s="75">
        <v>15</v>
      </c>
      <c r="J64" s="210">
        <v>17</v>
      </c>
      <c r="K64" s="209">
        <v>16</v>
      </c>
      <c r="L64" s="210">
        <v>16</v>
      </c>
      <c r="M64" s="211">
        <f>6496.16+4335.01+2477.65+2687.1</f>
        <v>15995.92</v>
      </c>
      <c r="N64" s="211">
        <f>6496.16+4335.01+2477.65</f>
        <v>13308.82</v>
      </c>
      <c r="O64" s="212">
        <f t="shared" si="1"/>
        <v>2687.1000000000004</v>
      </c>
      <c r="P64" s="213">
        <v>12</v>
      </c>
      <c r="Q64" s="214">
        <v>12</v>
      </c>
      <c r="R64" s="215">
        <v>11</v>
      </c>
      <c r="S64" s="97">
        <f>6866.56+548.1</f>
        <v>7414.6600000000008</v>
      </c>
      <c r="T64" s="97">
        <v>6866.56</v>
      </c>
      <c r="U64" s="97">
        <f t="shared" si="2"/>
        <v>548.10000000000036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46</v>
      </c>
      <c r="I65" s="75">
        <v>39</v>
      </c>
      <c r="J65" s="210">
        <v>49</v>
      </c>
      <c r="K65" s="209">
        <v>45</v>
      </c>
      <c r="L65" s="210">
        <v>45</v>
      </c>
      <c r="M65" s="211">
        <f>21561.61+5719.7+1305+4149.27+2397.37+5906.18+1251.03+829.55+4633.7</f>
        <v>47753.41</v>
      </c>
      <c r="N65" s="211">
        <f>21561.61+5719.7+1305+4149.27</f>
        <v>32735.58</v>
      </c>
      <c r="O65" s="212">
        <f t="shared" si="1"/>
        <v>15017.830000000002</v>
      </c>
      <c r="P65" s="213">
        <v>11</v>
      </c>
      <c r="Q65" s="214">
        <v>11</v>
      </c>
      <c r="R65" s="215">
        <v>11</v>
      </c>
      <c r="S65" s="97">
        <f>7456.7+19131.63</f>
        <v>26588.33</v>
      </c>
      <c r="T65" s="97">
        <v>7456.7</v>
      </c>
      <c r="U65" s="97">
        <f t="shared" si="2"/>
        <v>19131.63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75">
        <v>2</v>
      </c>
      <c r="J66" s="210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53</v>
      </c>
      <c r="I67" s="75">
        <v>45</v>
      </c>
      <c r="J67" s="210">
        <v>55</v>
      </c>
      <c r="K67" s="209">
        <v>47</v>
      </c>
      <c r="L67" s="210">
        <v>44</v>
      </c>
      <c r="M67" s="211">
        <f>19710.93+7009.96+ 8900.54+165.98+1497.55+1081.95+652.5</f>
        <v>39019.410000000003</v>
      </c>
      <c r="N67" s="211">
        <f>19710.93+7009.96+ 8900.54+165.98</f>
        <v>35787.410000000003</v>
      </c>
      <c r="O67" s="212">
        <f t="shared" si="1"/>
        <v>3232</v>
      </c>
      <c r="P67" s="213">
        <v>11</v>
      </c>
      <c r="Q67" s="21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35</v>
      </c>
      <c r="I68" s="75">
        <v>26</v>
      </c>
      <c r="J68" s="210">
        <v>45</v>
      </c>
      <c r="K68" s="209">
        <v>45</v>
      </c>
      <c r="L68" s="210">
        <v>45</v>
      </c>
      <c r="M68" s="211">
        <f>18750.75+2683.13</f>
        <v>21433.88</v>
      </c>
      <c r="N68" s="211">
        <f>18750.75</f>
        <v>18750.75</v>
      </c>
      <c r="O68" s="212">
        <f t="shared" si="1"/>
        <v>2683.130000000001</v>
      </c>
      <c r="P68" s="213">
        <v>10</v>
      </c>
      <c r="Q68" s="214">
        <v>10</v>
      </c>
      <c r="R68" s="215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9</v>
      </c>
      <c r="I69" s="75">
        <v>5</v>
      </c>
      <c r="J69" s="210">
        <v>5</v>
      </c>
      <c r="K69" s="209">
        <v>5</v>
      </c>
      <c r="L69" s="210">
        <v>5</v>
      </c>
      <c r="M69" s="211">
        <f>2756+1240.2+1305</f>
        <v>5301.2</v>
      </c>
      <c r="N69" s="211">
        <f>2756+1240.2+1305</f>
        <v>5301.2</v>
      </c>
      <c r="O69" s="212">
        <f t="shared" si="1"/>
        <v>0</v>
      </c>
      <c r="P69" s="213"/>
      <c r="Q69" s="214"/>
      <c r="R69" s="215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13</v>
      </c>
      <c r="I70" s="75">
        <v>7</v>
      </c>
      <c r="J70" s="210">
        <v>8</v>
      </c>
      <c r="K70" s="209">
        <v>8</v>
      </c>
      <c r="L70" s="210">
        <v>8</v>
      </c>
      <c r="M70" s="211">
        <f>2039.44+3242.32+2027.39+3567+822.15</f>
        <v>11698.300000000001</v>
      </c>
      <c r="N70" s="211">
        <f>2039.44+3242.32+2027.39</f>
        <v>7309.1500000000005</v>
      </c>
      <c r="O70" s="212">
        <f t="shared" si="1"/>
        <v>4389.1500000000005</v>
      </c>
      <c r="P70" s="213">
        <v>6</v>
      </c>
      <c r="Q70" s="214">
        <v>6</v>
      </c>
      <c r="R70" s="215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21</v>
      </c>
      <c r="I71" s="75">
        <v>15</v>
      </c>
      <c r="J71" s="210">
        <v>16</v>
      </c>
      <c r="K71" s="209">
        <v>15</v>
      </c>
      <c r="L71" s="210">
        <v>15</v>
      </c>
      <c r="M71" s="211">
        <f>2383.53+3781.9+7505.17+507+5161.87+1335.02</f>
        <v>20674.490000000002</v>
      </c>
      <c r="N71" s="211">
        <f>2383.53+3781.9</f>
        <v>6165.43</v>
      </c>
      <c r="O71" s="212">
        <f t="shared" si="1"/>
        <v>14509.060000000001</v>
      </c>
      <c r="P71" s="213">
        <v>24</v>
      </c>
      <c r="Q71" s="214">
        <v>24</v>
      </c>
      <c r="R71" s="215">
        <v>24</v>
      </c>
      <c r="S71" s="97">
        <f>52337.46+18000.02+1926.09</f>
        <v>72263.569999999992</v>
      </c>
      <c r="T71" s="97">
        <v>52337.46</v>
      </c>
      <c r="U71" s="97">
        <f t="shared" si="2"/>
        <v>19926.109999999993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13</v>
      </c>
      <c r="I72" s="75">
        <v>7</v>
      </c>
      <c r="J72" s="210">
        <v>9</v>
      </c>
      <c r="K72" s="209">
        <v>7</v>
      </c>
      <c r="L72" s="210">
        <v>7</v>
      </c>
      <c r="M72" s="211">
        <f>4703.53+544.32+1960.26</f>
        <v>7208.11</v>
      </c>
      <c r="N72" s="211">
        <v>4703.53</v>
      </c>
      <c r="O72" s="212">
        <f t="shared" si="1"/>
        <v>2504.58</v>
      </c>
      <c r="P72" s="213">
        <v>7</v>
      </c>
      <c r="Q72" s="21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34</v>
      </c>
      <c r="I73" s="75">
        <v>25</v>
      </c>
      <c r="J73" s="210">
        <v>25</v>
      </c>
      <c r="K73" s="209">
        <v>25</v>
      </c>
      <c r="L73" s="210">
        <v>23</v>
      </c>
      <c r="M73" s="211">
        <f>2095.52+746.9+4941.1+3310.3</f>
        <v>11093.82</v>
      </c>
      <c r="N73" s="211">
        <f>2095.52+746.9</f>
        <v>2842.42</v>
      </c>
      <c r="O73" s="212">
        <f t="shared" si="1"/>
        <v>8251.4</v>
      </c>
      <c r="P73" s="213">
        <v>7</v>
      </c>
      <c r="Q73" s="214">
        <v>7</v>
      </c>
      <c r="R73" s="215">
        <v>6</v>
      </c>
      <c r="S73" s="97">
        <f>1821.06+4580.19+1240.2</f>
        <v>7641.45</v>
      </c>
      <c r="T73" s="97">
        <f>1821.06+4580.19</f>
        <v>6401.25</v>
      </c>
      <c r="U73" s="97">
        <f t="shared" si="2"/>
        <v>1240.1999999999998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75"/>
      <c r="J74" s="210"/>
      <c r="K74" s="209"/>
      <c r="L74" s="210"/>
      <c r="M74" s="211"/>
      <c r="N74" s="211"/>
      <c r="O74" s="212">
        <f t="shared" si="1"/>
        <v>0</v>
      </c>
      <c r="P74" s="213">
        <v>1</v>
      </c>
      <c r="Q74" s="21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8</v>
      </c>
      <c r="I75" s="75">
        <v>5</v>
      </c>
      <c r="J75" s="210">
        <v>6</v>
      </c>
      <c r="K75" s="209">
        <v>6</v>
      </c>
      <c r="L75" s="210">
        <v>6</v>
      </c>
      <c r="M75" s="211">
        <f>275.6+741.36+14287.26</f>
        <v>15304.220000000001</v>
      </c>
      <c r="N75" s="211">
        <f>275.6+741.36+14287.26</f>
        <v>15304.220000000001</v>
      </c>
      <c r="O75" s="212">
        <f t="shared" ref="O75:O104" si="4" xml:space="preserve"> (M75-N75)</f>
        <v>0</v>
      </c>
      <c r="P75" s="213">
        <v>3</v>
      </c>
      <c r="Q75" s="21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29</v>
      </c>
      <c r="I76" s="75">
        <v>23</v>
      </c>
      <c r="J76" s="210">
        <v>31</v>
      </c>
      <c r="K76" s="209">
        <v>31</v>
      </c>
      <c r="L76" s="210">
        <v>31</v>
      </c>
      <c r="M76" s="211">
        <f>11803.63+1320.23+3132.15+12104.63+822.42+4875.99</f>
        <v>34059.049999999996</v>
      </c>
      <c r="N76" s="211">
        <f>11803.63+1320.23+3132.15+12927.05</f>
        <v>29183.059999999998</v>
      </c>
      <c r="O76" s="212">
        <f t="shared" si="4"/>
        <v>4875.989999999998</v>
      </c>
      <c r="P76" s="213">
        <v>5</v>
      </c>
      <c r="Q76" s="214">
        <v>5</v>
      </c>
      <c r="R76" s="215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22</v>
      </c>
      <c r="I77" s="75">
        <v>12</v>
      </c>
      <c r="J77" s="210">
        <v>14</v>
      </c>
      <c r="K77" s="209">
        <v>14</v>
      </c>
      <c r="L77" s="210">
        <v>14</v>
      </c>
      <c r="M77" s="211">
        <f>4234.67+4498.63+1766.87+2083.87+1368.44</f>
        <v>13952.479999999998</v>
      </c>
      <c r="N77" s="211">
        <f>4234.67+4498.63</f>
        <v>8733.2999999999993</v>
      </c>
      <c r="O77" s="212">
        <f t="shared" si="4"/>
        <v>5219.1799999999985</v>
      </c>
      <c r="P77" s="213"/>
      <c r="Q77" s="214"/>
      <c r="R77" s="215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80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75"/>
      <c r="J78" s="210"/>
      <c r="K78" s="209"/>
      <c r="L78" s="210"/>
      <c r="M78" s="211"/>
      <c r="N78" s="211"/>
      <c r="O78" s="212">
        <f t="shared" si="4"/>
        <v>0</v>
      </c>
      <c r="P78" s="213">
        <v>8</v>
      </c>
      <c r="Q78" s="214">
        <v>8</v>
      </c>
      <c r="R78" s="215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20</v>
      </c>
      <c r="I79" s="75">
        <v>15</v>
      </c>
      <c r="J79" s="210">
        <v>21</v>
      </c>
      <c r="K79" s="209">
        <v>21</v>
      </c>
      <c r="L79" s="210">
        <v>21</v>
      </c>
      <c r="M79" s="211">
        <f>8913.81+7027.61+1244.33+15395.91+4278.3</f>
        <v>36859.96</v>
      </c>
      <c r="N79" s="211">
        <f>8913.81+7027.61+1244.33+15395.91</f>
        <v>32581.66</v>
      </c>
      <c r="O79" s="212">
        <f t="shared" si="4"/>
        <v>4278.2999999999993</v>
      </c>
      <c r="P79" s="213">
        <v>4</v>
      </c>
      <c r="Q79" s="21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18</v>
      </c>
      <c r="I80" s="75">
        <v>14</v>
      </c>
      <c r="J80" s="210">
        <v>20</v>
      </c>
      <c r="K80" s="209">
        <v>20</v>
      </c>
      <c r="L80" s="210">
        <v>20</v>
      </c>
      <c r="M80" s="211">
        <f>14959.64+7384.39+14758.51+362.5</f>
        <v>37465.040000000001</v>
      </c>
      <c r="N80" s="211">
        <f>14959.64+7384.39+14758.51</f>
        <v>37102.54</v>
      </c>
      <c r="O80" s="212">
        <f t="shared" si="4"/>
        <v>362.5</v>
      </c>
      <c r="P80" s="213">
        <v>9</v>
      </c>
      <c r="Q80" s="214">
        <v>9</v>
      </c>
      <c r="R80" s="215">
        <v>9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3</v>
      </c>
      <c r="I81" s="75"/>
      <c r="J81" s="210"/>
      <c r="K81" s="209"/>
      <c r="L81" s="210"/>
      <c r="M81" s="211"/>
      <c r="N81" s="211"/>
      <c r="O81" s="212">
        <f t="shared" si="4"/>
        <v>0</v>
      </c>
      <c r="P81" s="213">
        <v>1</v>
      </c>
      <c r="Q81" s="214">
        <v>1</v>
      </c>
      <c r="R81" s="215">
        <v>1</v>
      </c>
      <c r="S81" s="97">
        <v>2673.24</v>
      </c>
      <c r="T81" s="97"/>
      <c r="U81" s="97">
        <f t="shared" si="5"/>
        <v>2673.24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18</v>
      </c>
      <c r="I82" s="75">
        <v>16</v>
      </c>
      <c r="J82" s="210">
        <v>17</v>
      </c>
      <c r="K82" s="209">
        <v>17</v>
      </c>
      <c r="L82" s="210">
        <v>16</v>
      </c>
      <c r="M82" s="211">
        <f>2626.75+8084.46+600.05+7445.83+942.5</f>
        <v>19699.589999999997</v>
      </c>
      <c r="N82" s="211">
        <f>2626.75+8084.46+600.05+7445.83</f>
        <v>18757.089999999997</v>
      </c>
      <c r="O82" s="212">
        <f t="shared" si="4"/>
        <v>942.5</v>
      </c>
      <c r="P82" s="213">
        <v>10</v>
      </c>
      <c r="Q82" s="214">
        <v>10</v>
      </c>
      <c r="R82" s="215">
        <v>9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20</v>
      </c>
      <c r="I83" s="75">
        <v>14</v>
      </c>
      <c r="J83" s="210">
        <v>25</v>
      </c>
      <c r="K83" s="209">
        <v>25</v>
      </c>
      <c r="L83" s="210">
        <v>22</v>
      </c>
      <c r="M83" s="211">
        <f>11232.31+3440.1+14435.12-1360.99+3088.95</f>
        <v>30835.489999999998</v>
      </c>
      <c r="N83" s="211">
        <f>11232.31+3440.1+14435.12-1360.99</f>
        <v>27746.539999999997</v>
      </c>
      <c r="O83" s="212">
        <f t="shared" si="4"/>
        <v>3088.9500000000007</v>
      </c>
      <c r="P83" s="213">
        <v>7</v>
      </c>
      <c r="Q83" s="21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19</v>
      </c>
      <c r="I84" s="75">
        <v>12</v>
      </c>
      <c r="J84" s="210">
        <v>18</v>
      </c>
      <c r="K84" s="209">
        <v>18</v>
      </c>
      <c r="L84" s="210">
        <v>17</v>
      </c>
      <c r="M84" s="211">
        <f>5429.56+2272.28+2029.9+2976.46+1243.6</f>
        <v>13951.800000000001</v>
      </c>
      <c r="N84" s="211">
        <f>5429.56+2272.28+2029.9</f>
        <v>9731.74</v>
      </c>
      <c r="O84" s="212">
        <f t="shared" si="4"/>
        <v>4220.0600000000013</v>
      </c>
      <c r="P84" s="213">
        <v>1</v>
      </c>
      <c r="Q84" s="21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34</v>
      </c>
      <c r="I85" s="75">
        <v>27</v>
      </c>
      <c r="J85" s="210">
        <v>50</v>
      </c>
      <c r="K85" s="209">
        <v>50</v>
      </c>
      <c r="L85" s="210">
        <v>49</v>
      </c>
      <c r="M85" s="211">
        <f>15506.09+4089.12+1924.78+1267.55+6546.86+1962.04+654.22+1080.22</f>
        <v>33030.879999999997</v>
      </c>
      <c r="N85" s="211">
        <f>15506.09+4089.12+1924.78+1267.55+6546.86</f>
        <v>29334.399999999998</v>
      </c>
      <c r="O85" s="212">
        <f t="shared" si="4"/>
        <v>3696.4799999999996</v>
      </c>
      <c r="P85" s="213">
        <v>5</v>
      </c>
      <c r="Q85" s="21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14</v>
      </c>
      <c r="I86" s="75">
        <v>6</v>
      </c>
      <c r="J86" s="210">
        <v>7</v>
      </c>
      <c r="K86" s="209">
        <v>7</v>
      </c>
      <c r="L86" s="210">
        <v>7</v>
      </c>
      <c r="M86" s="211">
        <f>1956.76+1128.38</f>
        <v>3085.1400000000003</v>
      </c>
      <c r="N86" s="211">
        <v>1956.76</v>
      </c>
      <c r="O86" s="212">
        <f t="shared" si="4"/>
        <v>1128.3800000000003</v>
      </c>
      <c r="P86" s="213">
        <v>2</v>
      </c>
      <c r="Q86" s="21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8</v>
      </c>
      <c r="I87" s="75">
        <v>7</v>
      </c>
      <c r="J87" s="210">
        <v>8</v>
      </c>
      <c r="K87" s="209">
        <v>8</v>
      </c>
      <c r="L87" s="210">
        <v>7</v>
      </c>
      <c r="M87" s="211">
        <f>795.8+4099.92+1305+358.88</f>
        <v>6559.6</v>
      </c>
      <c r="N87" s="211">
        <f>795.8+4099.92+1305</f>
        <v>6200.72</v>
      </c>
      <c r="O87" s="212">
        <f t="shared" si="4"/>
        <v>358.88000000000011</v>
      </c>
      <c r="P87" s="213">
        <v>6</v>
      </c>
      <c r="Q87" s="214">
        <v>6</v>
      </c>
      <c r="R87" s="215">
        <v>5</v>
      </c>
      <c r="S87" s="97">
        <f>2723.78+3718.48+4265.16</f>
        <v>10707.42</v>
      </c>
      <c r="T87" s="97">
        <f>2723.78+3718.48</f>
        <v>6442.26</v>
      </c>
      <c r="U87" s="97">
        <f t="shared" si="5"/>
        <v>4265.16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75"/>
      <c r="J88" s="210"/>
      <c r="K88" s="209"/>
      <c r="L88" s="210"/>
      <c r="M88" s="211"/>
      <c r="N88" s="211"/>
      <c r="O88" s="212">
        <f t="shared" si="4"/>
        <v>0</v>
      </c>
      <c r="P88" s="213">
        <v>6</v>
      </c>
      <c r="Q88" s="21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13</v>
      </c>
      <c r="I89" s="75">
        <v>8</v>
      </c>
      <c r="J89" s="210">
        <v>9</v>
      </c>
      <c r="K89" s="209">
        <v>9</v>
      </c>
      <c r="L89" s="210">
        <v>9</v>
      </c>
      <c r="M89" s="211">
        <f>2874.33+1509.2+1943+315.81</f>
        <v>6642.34</v>
      </c>
      <c r="N89" s="211">
        <f>2874.33+1509.2+1943</f>
        <v>6326.53</v>
      </c>
      <c r="O89" s="212">
        <f t="shared" si="4"/>
        <v>315.8100000000004</v>
      </c>
      <c r="P89" s="213">
        <v>6</v>
      </c>
      <c r="Q89" s="214">
        <v>6</v>
      </c>
      <c r="R89" s="215">
        <v>6</v>
      </c>
      <c r="S89" s="97">
        <f>8161.92+1118.75+3779.58+1127.2</f>
        <v>14187.45</v>
      </c>
      <c r="T89" s="97">
        <f>8161.92+1118.75+3779.58</f>
        <v>13060.25</v>
      </c>
      <c r="U89" s="97">
        <f t="shared" si="5"/>
        <v>1127.2000000000007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45</v>
      </c>
      <c r="I90" s="75">
        <v>37</v>
      </c>
      <c r="J90" s="210">
        <v>66</v>
      </c>
      <c r="K90" s="209">
        <v>66</v>
      </c>
      <c r="L90" s="210">
        <v>65</v>
      </c>
      <c r="M90" s="211">
        <f>14303.46+6714.67+1828.05+13505.93+582.9+8733.75</f>
        <v>45668.76</v>
      </c>
      <c r="N90" s="211">
        <f>14303.46+6714.67+1828.05+13505.93</f>
        <v>36352.11</v>
      </c>
      <c r="O90" s="212">
        <f t="shared" si="4"/>
        <v>9316.6500000000015</v>
      </c>
      <c r="P90" s="213">
        <v>8</v>
      </c>
      <c r="Q90" s="214">
        <v>8</v>
      </c>
      <c r="R90" s="215">
        <v>8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28</v>
      </c>
      <c r="I91" s="75">
        <v>12</v>
      </c>
      <c r="J91" s="210">
        <v>18</v>
      </c>
      <c r="K91" s="209">
        <v>18</v>
      </c>
      <c r="L91" s="210">
        <v>18</v>
      </c>
      <c r="M91" s="211">
        <f>5384.83+3572.76+8100.09</f>
        <v>17057.68</v>
      </c>
      <c r="N91" s="211">
        <v>5384.83</v>
      </c>
      <c r="O91" s="212">
        <f t="shared" si="4"/>
        <v>11672.85</v>
      </c>
      <c r="P91" s="213">
        <v>7</v>
      </c>
      <c r="Q91" s="214">
        <v>7</v>
      </c>
      <c r="R91" s="215">
        <v>7</v>
      </c>
      <c r="S91" s="97">
        <f>6219.66+748.35+1502.94</f>
        <v>8470.9500000000007</v>
      </c>
      <c r="T91" s="97">
        <f>6219.66+748.35</f>
        <v>6968.01</v>
      </c>
      <c r="U91" s="97">
        <f t="shared" si="5"/>
        <v>1502.9400000000005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19</v>
      </c>
      <c r="I92" s="75">
        <v>14</v>
      </c>
      <c r="J92" s="210">
        <v>18</v>
      </c>
      <c r="K92" s="209">
        <v>18</v>
      </c>
      <c r="L92" s="210">
        <v>18</v>
      </c>
      <c r="M92" s="211">
        <f>2301.54+4352.56+3555.69+1798.94+1481.14+763.69+2342.6</f>
        <v>16596.16</v>
      </c>
      <c r="N92" s="211">
        <f>2301.54+4352.56+3555.69+1798.94+1481.14</f>
        <v>13489.87</v>
      </c>
      <c r="O92" s="212">
        <f t="shared" si="4"/>
        <v>3106.2899999999991</v>
      </c>
      <c r="P92" s="213">
        <v>1</v>
      </c>
      <c r="Q92" s="21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96</v>
      </c>
      <c r="I93" s="75">
        <v>61</v>
      </c>
      <c r="J93" s="210">
        <v>73</v>
      </c>
      <c r="K93" s="209">
        <v>63</v>
      </c>
      <c r="L93" s="210">
        <v>63</v>
      </c>
      <c r="M93" s="211">
        <f>14656.12+3543.47+2420.25+2112.66+1299.21+2099.6</f>
        <v>26131.309999999998</v>
      </c>
      <c r="N93" s="211">
        <f>14656.12+3543.47+2764.75</f>
        <v>20964.34</v>
      </c>
      <c r="O93" s="212">
        <f t="shared" si="4"/>
        <v>5166.9699999999975</v>
      </c>
      <c r="P93" s="213">
        <v>9</v>
      </c>
      <c r="Q93" s="214">
        <v>9</v>
      </c>
      <c r="R93" s="215">
        <v>9</v>
      </c>
      <c r="S93" s="97">
        <f>11083.64+344.5</f>
        <v>11428.14</v>
      </c>
      <c r="T93" s="97">
        <v>11083.64</v>
      </c>
      <c r="U93" s="97">
        <f t="shared" si="5"/>
        <v>344.5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38</v>
      </c>
      <c r="I94" s="75">
        <v>20</v>
      </c>
      <c r="J94" s="210">
        <v>24</v>
      </c>
      <c r="K94" s="210">
        <v>20</v>
      </c>
      <c r="L94" s="210">
        <v>16</v>
      </c>
      <c r="M94" s="211">
        <f>6576.32+217.5+2898.52+939.6+1008.45</f>
        <v>11640.390000000001</v>
      </c>
      <c r="N94" s="211">
        <f>6576.32+217.5+2898.52</f>
        <v>9692.34</v>
      </c>
      <c r="O94" s="212">
        <f t="shared" si="4"/>
        <v>1948.0500000000011</v>
      </c>
      <c r="P94" s="213">
        <v>24</v>
      </c>
      <c r="Q94" s="215">
        <v>24</v>
      </c>
      <c r="R94" s="215">
        <v>24</v>
      </c>
      <c r="S94" s="97">
        <f>18253.04+4245.2+858.65+1546.26+14802.65</f>
        <v>39705.800000000003</v>
      </c>
      <c r="T94" s="97">
        <f>18253.04+4245.2+858.65</f>
        <v>23356.890000000003</v>
      </c>
      <c r="U94" s="97">
        <f t="shared" si="5"/>
        <v>16348.91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29</v>
      </c>
      <c r="I95" s="75">
        <v>13</v>
      </c>
      <c r="J95" s="210">
        <v>17</v>
      </c>
      <c r="K95" s="209">
        <v>17</v>
      </c>
      <c r="L95" s="210">
        <v>15</v>
      </c>
      <c r="M95" s="211">
        <f>2362.32+22110.36+455.21+2039.58+953.22+699.73</f>
        <v>28620.420000000002</v>
      </c>
      <c r="N95" s="211">
        <f>2362.32+22110.36+455.21+2039.58</f>
        <v>26967.47</v>
      </c>
      <c r="O95" s="212">
        <f t="shared" si="4"/>
        <v>1652.9500000000007</v>
      </c>
      <c r="P95" s="213">
        <v>16</v>
      </c>
      <c r="Q95" s="214">
        <v>16</v>
      </c>
      <c r="R95" s="215">
        <v>16</v>
      </c>
      <c r="S95" s="97">
        <f>24552.24+1001.28+122.46+1729.98-1</f>
        <v>27404.959999999999</v>
      </c>
      <c r="T95" s="97">
        <f>24552.24+1001.28+122.46</f>
        <v>25675.98</v>
      </c>
      <c r="U95" s="97">
        <f t="shared" si="5"/>
        <v>1728.9799999999996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9</v>
      </c>
      <c r="I96" s="75">
        <v>7</v>
      </c>
      <c r="J96" s="210">
        <v>10</v>
      </c>
      <c r="K96" s="209">
        <v>10</v>
      </c>
      <c r="L96" s="210">
        <v>10</v>
      </c>
      <c r="M96" s="211">
        <f>826.8+2786.41+2401.3</f>
        <v>6014.51</v>
      </c>
      <c r="N96" s="211">
        <f>826.8+2786.41</f>
        <v>3613.21</v>
      </c>
      <c r="O96" s="212">
        <f t="shared" si="4"/>
        <v>2401.3000000000002</v>
      </c>
      <c r="P96" s="213"/>
      <c r="Q96" s="214"/>
      <c r="R96" s="215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75">
        <v>7</v>
      </c>
      <c r="J97" s="210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</f>
        <v>4629.18</v>
      </c>
      <c r="O97" s="212">
        <f t="shared" si="4"/>
        <v>380.63000000000011</v>
      </c>
      <c r="P97" s="213">
        <v>4</v>
      </c>
      <c r="Q97" s="21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18</v>
      </c>
      <c r="I98" s="75">
        <v>9</v>
      </c>
      <c r="J98" s="210">
        <v>9</v>
      </c>
      <c r="K98" s="209">
        <v>9</v>
      </c>
      <c r="L98" s="210">
        <v>9</v>
      </c>
      <c r="M98" s="211">
        <f>757.9+551.2+895.7+290+725</f>
        <v>3219.8</v>
      </c>
      <c r="N98" s="211">
        <f>757.9+551.2+895.7+290</f>
        <v>2494.8000000000002</v>
      </c>
      <c r="O98" s="212">
        <f t="shared" si="4"/>
        <v>725</v>
      </c>
      <c r="P98" s="213">
        <v>12</v>
      </c>
      <c r="Q98" s="214">
        <v>12</v>
      </c>
      <c r="R98" s="215">
        <v>12</v>
      </c>
      <c r="S98" s="97">
        <f>8034.56+3466.13+4060.73</f>
        <v>15561.42</v>
      </c>
      <c r="T98" s="97">
        <f>8034.56+3466.13</f>
        <v>11500.69</v>
      </c>
      <c r="U98" s="97">
        <f t="shared" si="5"/>
        <v>4060.7299999999996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27</v>
      </c>
      <c r="I99" s="75">
        <v>15</v>
      </c>
      <c r="J99" s="210">
        <v>17</v>
      </c>
      <c r="K99" s="209">
        <v>17</v>
      </c>
      <c r="L99" s="210">
        <v>16</v>
      </c>
      <c r="M99" s="211">
        <f>4782.23+1353.89+2195.41+1197.7+1340.79+681.5</f>
        <v>11551.52</v>
      </c>
      <c r="N99" s="211">
        <f>4782.23+1353.89+2195.41+1197.7</f>
        <v>9529.23</v>
      </c>
      <c r="O99" s="212">
        <f t="shared" si="4"/>
        <v>2022.2900000000009</v>
      </c>
      <c r="P99" s="213">
        <v>11</v>
      </c>
      <c r="Q99" s="214">
        <v>11</v>
      </c>
      <c r="R99" s="215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20</v>
      </c>
      <c r="I100" s="75">
        <v>12</v>
      </c>
      <c r="J100" s="210">
        <v>17</v>
      </c>
      <c r="K100" s="209">
        <v>17</v>
      </c>
      <c r="L100" s="210">
        <v>17</v>
      </c>
      <c r="M100" s="211">
        <f>10862.96+2375.03+5632.11+356.47</f>
        <v>19226.57</v>
      </c>
      <c r="N100" s="211">
        <f>10862.96+2375.03+5632.11</f>
        <v>18870.099999999999</v>
      </c>
      <c r="O100" s="212">
        <f t="shared" si="4"/>
        <v>356.47000000000116</v>
      </c>
      <c r="P100" s="213">
        <v>10</v>
      </c>
      <c r="Q100" s="214">
        <v>10</v>
      </c>
      <c r="R100" s="215">
        <v>10</v>
      </c>
      <c r="S100" s="97">
        <f>4780.1+2135.9</f>
        <v>6916</v>
      </c>
      <c r="T100" s="97">
        <v>4780.1000000000004</v>
      </c>
      <c r="U100" s="97">
        <f t="shared" si="5"/>
        <v>2135.8999999999996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81</v>
      </c>
      <c r="I101" s="75">
        <v>47</v>
      </c>
      <c r="J101" s="210">
        <v>55</v>
      </c>
      <c r="K101" s="209">
        <v>40</v>
      </c>
      <c r="L101" s="210">
        <v>40</v>
      </c>
      <c r="M101" s="211">
        <f>16276.16+4466.66+1078.5+4011.53+435+1493.5+2243.15</f>
        <v>30004.5</v>
      </c>
      <c r="N101" s="211">
        <f>16276.16+4466.66+1078.5+4011.53+435</f>
        <v>26267.85</v>
      </c>
      <c r="O101" s="212">
        <f t="shared" si="4"/>
        <v>3736.6500000000015</v>
      </c>
      <c r="P101" s="213">
        <v>34</v>
      </c>
      <c r="Q101" s="214">
        <v>34</v>
      </c>
      <c r="R101" s="215">
        <v>33</v>
      </c>
      <c r="S101" s="97">
        <f>21329.45-2252.12+532.3+345.99+26455.28+1.67+3039.85-3960.98</f>
        <v>45491.439999999995</v>
      </c>
      <c r="T101" s="97">
        <f>21329.45-2252.12+532.3+345.98+26456.96-1774.49</f>
        <v>44638.080000000002</v>
      </c>
      <c r="U101" s="97">
        <f t="shared" si="5"/>
        <v>853.35999999999331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10</v>
      </c>
      <c r="I102" s="114">
        <v>8</v>
      </c>
      <c r="J102" s="217">
        <v>11</v>
      </c>
      <c r="K102" s="216">
        <v>11</v>
      </c>
      <c r="L102" s="217">
        <v>11</v>
      </c>
      <c r="M102" s="218">
        <f>3259.83+1328.19+2964.21+8477.2</f>
        <v>16029.43</v>
      </c>
      <c r="N102" s="218">
        <v>3259.83</v>
      </c>
      <c r="O102" s="212">
        <f t="shared" si="4"/>
        <v>12769.6</v>
      </c>
      <c r="P102" s="219">
        <v>4</v>
      </c>
      <c r="Q102" s="220">
        <v>4</v>
      </c>
      <c r="R102" s="221">
        <v>4</v>
      </c>
      <c r="S102" s="147">
        <f>1193.3+5843.89</f>
        <v>7037.1900000000005</v>
      </c>
      <c r="T102" s="147">
        <v>1193.3</v>
      </c>
      <c r="U102" s="147">
        <f t="shared" si="5"/>
        <v>5843.89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19</v>
      </c>
      <c r="I103" s="75">
        <v>3</v>
      </c>
      <c r="J103" s="210">
        <v>3</v>
      </c>
      <c r="K103" s="209">
        <v>3</v>
      </c>
      <c r="L103" s="210">
        <v>3</v>
      </c>
      <c r="M103" s="211">
        <f>699.33+580</f>
        <v>1279.33</v>
      </c>
      <c r="N103" s="211">
        <f>699.33+580</f>
        <v>1279.33</v>
      </c>
      <c r="O103" s="212">
        <f t="shared" si="4"/>
        <v>0</v>
      </c>
      <c r="P103" s="215"/>
      <c r="Q103" s="214"/>
      <c r="R103" s="215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75">
        <v>2</v>
      </c>
      <c r="J104" s="210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214"/>
      <c r="R104" s="215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2136</v>
      </c>
      <c r="I105" s="119">
        <f t="shared" si="7"/>
        <v>1339</v>
      </c>
      <c r="J105" s="223">
        <f t="shared" si="7"/>
        <v>1787</v>
      </c>
      <c r="K105" s="222">
        <f t="shared" si="7"/>
        <v>1718</v>
      </c>
      <c r="L105" s="223">
        <f t="shared" si="7"/>
        <v>1605</v>
      </c>
      <c r="M105" s="224">
        <f t="shared" si="7"/>
        <v>1356251.51</v>
      </c>
      <c r="N105" s="224">
        <f t="shared" si="7"/>
        <v>1046158.1700000002</v>
      </c>
      <c r="O105" s="224">
        <f t="shared" si="7"/>
        <v>310093.33999999997</v>
      </c>
      <c r="P105" s="225">
        <f t="shared" si="7"/>
        <v>728</v>
      </c>
      <c r="Q105" s="226">
        <f>SUM(Q10:Q104)</f>
        <v>726</v>
      </c>
      <c r="R105" s="225">
        <f>SUM(R11:R104)</f>
        <v>706</v>
      </c>
      <c r="S105" s="151">
        <f>SUM(S10:S104)</f>
        <v>1006582.1299999998</v>
      </c>
      <c r="T105" s="151">
        <f>SUM(T10:T104)</f>
        <v>887631.8</v>
      </c>
      <c r="U105" s="151">
        <f>SUM(U10:U104)</f>
        <v>118950.32999999997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236"/>
      <c r="AG105" s="236"/>
      <c r="AH105" s="236"/>
    </row>
    <row r="106" spans="1:35" x14ac:dyDescent="0.25">
      <c r="V106" s="160"/>
      <c r="W106" s="159"/>
      <c r="X106" s="160"/>
      <c r="Y106" s="160"/>
      <c r="Z106" s="160"/>
      <c r="AA106" s="160"/>
      <c r="AB106" s="160"/>
      <c r="AC106" s="160"/>
      <c r="AD106" s="160"/>
      <c r="AE106" s="160"/>
      <c r="AF106" s="235"/>
      <c r="AG106" s="235"/>
      <c r="AH106" s="235"/>
    </row>
    <row r="107" spans="1:35" x14ac:dyDescent="0.25">
      <c r="V107" s="145"/>
      <c r="W107" s="145"/>
      <c r="AF107" s="234"/>
      <c r="AG107" s="234"/>
      <c r="AH107" s="234"/>
      <c r="AI107" s="145"/>
    </row>
    <row r="108" spans="1:35" x14ac:dyDescent="0.25">
      <c r="W108" s="145"/>
      <c r="AF108" s="234"/>
      <c r="AG108" s="235"/>
      <c r="AH108" s="235"/>
    </row>
    <row r="109" spans="1:35" x14ac:dyDescent="0.25">
      <c r="AF109" s="235"/>
      <c r="AG109" s="235"/>
      <c r="AH109" s="234"/>
    </row>
    <row r="110" spans="1:35" x14ac:dyDescent="0.25">
      <c r="AF110" s="235"/>
      <c r="AG110" s="235"/>
      <c r="AH110" s="234"/>
    </row>
    <row r="111" spans="1:35" x14ac:dyDescent="0.25">
      <c r="AF111" s="235"/>
      <c r="AG111" s="235"/>
      <c r="AH111" s="235"/>
    </row>
    <row r="112" spans="1:35" x14ac:dyDescent="0.25">
      <c r="AF112" s="235"/>
      <c r="AG112" s="235"/>
      <c r="AH112" s="235"/>
    </row>
    <row r="113" spans="32:34" x14ac:dyDescent="0.25">
      <c r="AF113" s="235"/>
      <c r="AG113" s="235"/>
      <c r="AH113" s="235"/>
    </row>
    <row r="114" spans="32:34" x14ac:dyDescent="0.25">
      <c r="AF114" s="235"/>
      <c r="AG114" s="235"/>
      <c r="AH114" s="23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298" priority="10" stopIfTrue="1" operator="equal">
      <formula>0</formula>
    </cfRule>
  </conditionalFormatting>
  <conditionalFormatting sqref="AL45">
    <cfRule type="cellIs" dxfId="297" priority="9" stopIfTrue="1" operator="equal">
      <formula>0</formula>
    </cfRule>
  </conditionalFormatting>
  <conditionalFormatting sqref="T45">
    <cfRule type="cellIs" dxfId="296" priority="8" stopIfTrue="1" operator="equal">
      <formula>0</formula>
    </cfRule>
  </conditionalFormatting>
  <conditionalFormatting sqref="T45">
    <cfRule type="cellIs" dxfId="295" priority="7" stopIfTrue="1" operator="equal">
      <formula>0</formula>
    </cfRule>
  </conditionalFormatting>
  <conditionalFormatting sqref="T45">
    <cfRule type="cellIs" dxfId="294" priority="6" stopIfTrue="1" operator="equal">
      <formula>0</formula>
    </cfRule>
  </conditionalFormatting>
  <conditionalFormatting sqref="T45">
    <cfRule type="cellIs" dxfId="293" priority="5" stopIfTrue="1" operator="equal">
      <formula>0</formula>
    </cfRule>
  </conditionalFormatting>
  <conditionalFormatting sqref="T45">
    <cfRule type="cellIs" dxfId="292" priority="4" stopIfTrue="1" operator="equal">
      <formula>0</formula>
    </cfRule>
  </conditionalFormatting>
  <conditionalFormatting sqref="T45">
    <cfRule type="cellIs" dxfId="291" priority="3" stopIfTrue="1" operator="equal">
      <formula>0</formula>
    </cfRule>
  </conditionalFormatting>
  <conditionalFormatting sqref="T45">
    <cfRule type="cellIs" dxfId="290" priority="2" stopIfTrue="1" operator="equal">
      <formula>0</formula>
    </cfRule>
  </conditionalFormatting>
  <conditionalFormatting sqref="T45">
    <cfRule type="cellIs" dxfId="28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B88" zoomScale="80" zoomScaleNormal="80" workbookViewId="0">
      <selection activeCell="A88" sqref="A1:A65536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4.42578125" style="184" customWidth="1"/>
    <col min="4" max="4" width="9.140625" style="184" customWidth="1"/>
    <col min="5" max="5" width="14.5703125" style="184" customWidth="1"/>
    <col min="6" max="6" width="25.140625" style="184" customWidth="1"/>
    <col min="7" max="7" width="20.42578125" style="184" customWidth="1"/>
    <col min="8" max="10" width="9.140625" style="184" customWidth="1"/>
    <col min="11" max="12" width="9.140625" style="227" customWidth="1"/>
    <col min="13" max="13" width="14.5703125" style="228" customWidth="1"/>
    <col min="14" max="14" width="12.42578125" style="228" customWidth="1"/>
    <col min="15" max="15" width="12.28515625" style="228" customWidth="1"/>
    <col min="16" max="18" width="9.140625" style="228" customWidth="1"/>
    <col min="19" max="19" width="16.85546875" style="185" customWidth="1"/>
    <col min="20" max="20" width="10.7109375" style="185" customWidth="1"/>
    <col min="21" max="21" width="10.85546875" style="186" customWidth="1"/>
    <col min="22" max="22" width="15" style="134" customWidth="1"/>
    <col min="23" max="23" width="14" style="134" hidden="1" customWidth="1"/>
    <col min="24" max="24" width="9.140625" style="134" hidden="1" customWidth="1"/>
    <col min="25" max="25" width="9.5703125" style="134" hidden="1" customWidth="1"/>
    <col min="26" max="26" width="9.140625" style="134" hidden="1" customWidth="1"/>
    <col min="27" max="27" width="9.5703125" style="134" hidden="1" customWidth="1"/>
    <col min="28" max="30" width="9.140625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3" style="134" customWidth="1"/>
    <col min="35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305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82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306</v>
      </c>
      <c r="Q7" s="360"/>
      <c r="R7" s="360"/>
      <c r="S7" s="360"/>
      <c r="T7" s="360"/>
      <c r="U7" s="361"/>
    </row>
    <row r="8" spans="1:40" ht="362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39</v>
      </c>
      <c r="I10" s="75">
        <v>27</v>
      </c>
      <c r="J10" s="75">
        <v>30</v>
      </c>
      <c r="K10" s="209">
        <v>30</v>
      </c>
      <c r="L10" s="210">
        <v>22</v>
      </c>
      <c r="M10" s="211">
        <f>8818.63+2629.32+1661.28+2228.94+580</f>
        <v>15918.17</v>
      </c>
      <c r="N10" s="211">
        <f>8818.63+2629.32+1661.28</f>
        <v>13109.23</v>
      </c>
      <c r="O10" s="212">
        <f xml:space="preserve"> (M10-N10)</f>
        <v>2808.9400000000005</v>
      </c>
      <c r="P10" s="213">
        <v>8</v>
      </c>
      <c r="Q10" s="214">
        <v>8</v>
      </c>
      <c r="R10" s="215">
        <v>8</v>
      </c>
      <c r="S10" s="97">
        <f>4246.75+895.7+2557.8</f>
        <v>7700.25</v>
      </c>
      <c r="T10" s="97">
        <f>4246.75+895.7</f>
        <v>5142.45</v>
      </c>
      <c r="U10" s="97">
        <f xml:space="preserve"> (S10-T10)</f>
        <v>2557.8000000000002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14</v>
      </c>
      <c r="I11" s="75">
        <v>13</v>
      </c>
      <c r="J11" s="75">
        <v>13</v>
      </c>
      <c r="K11" s="209">
        <v>13</v>
      </c>
      <c r="L11" s="210">
        <v>13</v>
      </c>
      <c r="M11" s="211">
        <f>1778.86+580+1740+464+580</f>
        <v>5142.8599999999997</v>
      </c>
      <c r="N11" s="211">
        <f>1778.86+580+1740</f>
        <v>4098.8599999999997</v>
      </c>
      <c r="O11" s="212">
        <f t="shared" ref="O11:O74" si="1" xml:space="preserve"> (M11-N11)</f>
        <v>1044</v>
      </c>
      <c r="P11" s="213">
        <v>2</v>
      </c>
      <c r="Q11" s="21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75"/>
      <c r="J12" s="75"/>
      <c r="K12" s="209"/>
      <c r="L12" s="210"/>
      <c r="M12" s="211"/>
      <c r="N12" s="211"/>
      <c r="O12" s="212">
        <f t="shared" si="1"/>
        <v>0</v>
      </c>
      <c r="P12" s="213">
        <v>3</v>
      </c>
      <c r="Q12" s="21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27</v>
      </c>
      <c r="I13" s="75">
        <v>20</v>
      </c>
      <c r="J13" s="75">
        <v>26</v>
      </c>
      <c r="K13" s="209">
        <v>11</v>
      </c>
      <c r="L13" s="210">
        <v>11</v>
      </c>
      <c r="M13" s="211">
        <f>272.84+2699.54+4096.17</f>
        <v>7068.55</v>
      </c>
      <c r="N13" s="211">
        <f>272.84+2699.54+4096.17</f>
        <v>7068.55</v>
      </c>
      <c r="O13" s="212">
        <f t="shared" si="1"/>
        <v>0</v>
      </c>
      <c r="P13" s="213">
        <v>5</v>
      </c>
      <c r="Q13" s="214">
        <v>5</v>
      </c>
      <c r="R13" s="215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33</v>
      </c>
      <c r="I14" s="75">
        <v>19</v>
      </c>
      <c r="J14" s="75">
        <v>24</v>
      </c>
      <c r="K14" s="209">
        <v>24</v>
      </c>
      <c r="L14" s="210">
        <v>22</v>
      </c>
      <c r="M14" s="211">
        <f>4932.74+3257.04+137+2487.39+344.5+725</f>
        <v>11883.669999999998</v>
      </c>
      <c r="N14" s="211">
        <f>4932.74+3257.04</f>
        <v>8189.78</v>
      </c>
      <c r="O14" s="212">
        <f t="shared" si="1"/>
        <v>3693.8899999999985</v>
      </c>
      <c r="P14" s="213">
        <v>7</v>
      </c>
      <c r="Q14" s="214">
        <v>7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29</v>
      </c>
      <c r="I15" s="75">
        <v>20</v>
      </c>
      <c r="J15" s="75">
        <v>26</v>
      </c>
      <c r="K15" s="209">
        <v>26</v>
      </c>
      <c r="L15" s="210">
        <v>26</v>
      </c>
      <c r="M15" s="211">
        <f>16942.87+1278.76+580+108.75</f>
        <v>18910.379999999997</v>
      </c>
      <c r="N15" s="211">
        <f>16942.87+1278.76</f>
        <v>18221.629999999997</v>
      </c>
      <c r="O15" s="212">
        <f t="shared" si="1"/>
        <v>688.75</v>
      </c>
      <c r="P15" s="213">
        <v>14</v>
      </c>
      <c r="Q15" s="214">
        <v>14</v>
      </c>
      <c r="R15" s="215">
        <v>14</v>
      </c>
      <c r="S15" s="97">
        <f>13813.9+1491.1</f>
        <v>15305</v>
      </c>
      <c r="T15" s="97">
        <v>13813.9</v>
      </c>
      <c r="U15" s="97">
        <f t="shared" si="2"/>
        <v>1491.1000000000004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75"/>
      <c r="J16" s="75"/>
      <c r="K16" s="209"/>
      <c r="L16" s="210"/>
      <c r="M16" s="211"/>
      <c r="N16" s="211"/>
      <c r="O16" s="212">
        <f t="shared" si="1"/>
        <v>0</v>
      </c>
      <c r="P16" s="213"/>
      <c r="Q16" s="21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36</v>
      </c>
      <c r="I17" s="75">
        <v>14</v>
      </c>
      <c r="J17" s="75">
        <v>18</v>
      </c>
      <c r="K17" s="209">
        <v>17</v>
      </c>
      <c r="L17" s="210">
        <v>16</v>
      </c>
      <c r="M17" s="211">
        <f>7235.14+4416.12+1559.66+658.56+1087.5</f>
        <v>14956.98</v>
      </c>
      <c r="N17" s="211">
        <f>7235.14+4416.12+1559.66</f>
        <v>13210.92</v>
      </c>
      <c r="O17" s="212">
        <f t="shared" si="1"/>
        <v>1746.0599999999995</v>
      </c>
      <c r="P17" s="213">
        <v>1</v>
      </c>
      <c r="Q17" s="21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31</v>
      </c>
      <c r="I18" s="75">
        <v>23</v>
      </c>
      <c r="J18" s="75">
        <v>26</v>
      </c>
      <c r="K18" s="210">
        <v>26</v>
      </c>
      <c r="L18" s="210">
        <v>22</v>
      </c>
      <c r="M18" s="211">
        <f>2118.92+12936.58+4403.89+2411.49+2972.12</f>
        <v>24842.999999999996</v>
      </c>
      <c r="N18" s="211">
        <v>2118.92</v>
      </c>
      <c r="O18" s="212">
        <f t="shared" si="1"/>
        <v>22724.079999999994</v>
      </c>
      <c r="P18" s="213">
        <v>7</v>
      </c>
      <c r="Q18" s="215">
        <v>6</v>
      </c>
      <c r="R18" s="215">
        <v>6</v>
      </c>
      <c r="S18" s="97">
        <f>14748.55+934.31</f>
        <v>15682.859999999999</v>
      </c>
      <c r="T18" s="97">
        <v>14748.55</v>
      </c>
      <c r="U18" s="97">
        <f t="shared" si="2"/>
        <v>934.30999999999949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28</v>
      </c>
      <c r="I19" s="75">
        <v>13</v>
      </c>
      <c r="J19" s="75">
        <v>25</v>
      </c>
      <c r="K19" s="209">
        <v>25</v>
      </c>
      <c r="L19" s="210">
        <v>24</v>
      </c>
      <c r="M19" s="211">
        <f>5345.36+3385.2+4242.79+7468.83+387.77</f>
        <v>20829.95</v>
      </c>
      <c r="N19" s="211">
        <f>5345.36+3385.2+4242.79</f>
        <v>12973.349999999999</v>
      </c>
      <c r="O19" s="212">
        <f t="shared" si="1"/>
        <v>7856.6000000000022</v>
      </c>
      <c r="P19" s="213">
        <v>15</v>
      </c>
      <c r="Q19" s="21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37</v>
      </c>
      <c r="I20" s="75">
        <v>18</v>
      </c>
      <c r="J20" s="75">
        <v>25</v>
      </c>
      <c r="K20" s="210">
        <v>25</v>
      </c>
      <c r="L20" s="210">
        <v>22</v>
      </c>
      <c r="M20" s="211">
        <f>5728.14+3727.02+315.94+2507.59+652.5+2191.47+1855.28</f>
        <v>16977.939999999999</v>
      </c>
      <c r="N20" s="211">
        <f>5728.14+3727.02+315.94</f>
        <v>9771.1</v>
      </c>
      <c r="O20" s="212">
        <f t="shared" si="1"/>
        <v>7206.8399999999983</v>
      </c>
      <c r="P20" s="213">
        <v>27</v>
      </c>
      <c r="Q20" s="215">
        <v>26</v>
      </c>
      <c r="R20" s="215">
        <v>26</v>
      </c>
      <c r="S20" s="97">
        <f>36404.57+1488.24+1902.09</f>
        <v>39794.899999999994</v>
      </c>
      <c r="T20" s="97">
        <f>36404.57+1488.24</f>
        <v>37892.81</v>
      </c>
      <c r="U20" s="97">
        <f t="shared" si="2"/>
        <v>1902.0899999999965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19</v>
      </c>
      <c r="I21" s="75">
        <v>10</v>
      </c>
      <c r="J21" s="75">
        <v>13</v>
      </c>
      <c r="K21" s="209">
        <v>13</v>
      </c>
      <c r="L21" s="210">
        <v>13</v>
      </c>
      <c r="M21" s="211">
        <f>3586.84+1791.4+1337.88+413.4+1061.35+942.5</f>
        <v>9133.369999999999</v>
      </c>
      <c r="N21" s="211">
        <f>3586.84+1791.4+1337.88+413.4</f>
        <v>7129.5199999999995</v>
      </c>
      <c r="O21" s="212">
        <f t="shared" si="1"/>
        <v>2003.8499999999995</v>
      </c>
      <c r="P21" s="213">
        <v>6</v>
      </c>
      <c r="Q21" s="214">
        <v>6</v>
      </c>
      <c r="R21" s="215">
        <v>6</v>
      </c>
      <c r="S21" s="97">
        <f>7288.02+447.62+2487.39</f>
        <v>10223.030000000001</v>
      </c>
      <c r="T21" s="97">
        <f>7288.02+447.62+2487.39</f>
        <v>10223.030000000001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105</v>
      </c>
      <c r="I22" s="75">
        <v>68</v>
      </c>
      <c r="J22" s="75">
        <v>83</v>
      </c>
      <c r="K22" s="210">
        <v>57</v>
      </c>
      <c r="L22" s="210">
        <v>56</v>
      </c>
      <c r="M22" s="211">
        <f>19787.02+2513.73+2255.05+12081.39+6786.96</f>
        <v>43424.15</v>
      </c>
      <c r="N22" s="211">
        <f>19787.02+2513.73</f>
        <v>22300.75</v>
      </c>
      <c r="O22" s="212">
        <f t="shared" si="1"/>
        <v>21123.4</v>
      </c>
      <c r="P22" s="213">
        <v>23</v>
      </c>
      <c r="Q22" s="215">
        <v>22</v>
      </c>
      <c r="R22" s="215">
        <v>21</v>
      </c>
      <c r="S22" s="97">
        <f>24103.23+3334.5</f>
        <v>27437.73</v>
      </c>
      <c r="T22" s="97">
        <v>24103.23</v>
      </c>
      <c r="U22" s="97">
        <f t="shared" si="2"/>
        <v>3334.5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16</v>
      </c>
      <c r="I23" s="75">
        <v>11</v>
      </c>
      <c r="J23" s="75">
        <v>16</v>
      </c>
      <c r="K23" s="209">
        <v>16</v>
      </c>
      <c r="L23" s="210">
        <v>14</v>
      </c>
      <c r="M23" s="211">
        <f>5739.04+1828.05+1440.72+631.62+564.05+641.19+793.15</f>
        <v>11637.82</v>
      </c>
      <c r="N23" s="211">
        <f>5739.04+1828.05+1440.72</f>
        <v>9007.81</v>
      </c>
      <c r="O23" s="212">
        <f t="shared" si="1"/>
        <v>2630.01</v>
      </c>
      <c r="P23" s="213">
        <v>12</v>
      </c>
      <c r="Q23" s="214">
        <v>11</v>
      </c>
      <c r="R23" s="215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20</v>
      </c>
      <c r="I24" s="75">
        <v>15</v>
      </c>
      <c r="J24" s="75">
        <v>17</v>
      </c>
      <c r="K24" s="209">
        <v>15</v>
      </c>
      <c r="L24" s="210">
        <v>15</v>
      </c>
      <c r="M24" s="211">
        <f>1515.11+3525.12</f>
        <v>5040.2299999999996</v>
      </c>
      <c r="N24" s="211">
        <f>1515.11+3525.12</f>
        <v>5040.2299999999996</v>
      </c>
      <c r="O24" s="212">
        <f t="shared" si="1"/>
        <v>0</v>
      </c>
      <c r="P24" s="213">
        <v>7</v>
      </c>
      <c r="Q24" s="21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33</v>
      </c>
      <c r="I25" s="75">
        <v>13</v>
      </c>
      <c r="J25" s="75">
        <v>31</v>
      </c>
      <c r="K25" s="210">
        <v>31</v>
      </c>
      <c r="L25" s="210">
        <v>29</v>
      </c>
      <c r="M25" s="211">
        <f>9005.69+15068.32+3714.72</f>
        <v>27788.730000000003</v>
      </c>
      <c r="N25" s="211">
        <f>9005.69+15068.32</f>
        <v>24074.010000000002</v>
      </c>
      <c r="O25" s="212">
        <f t="shared" si="1"/>
        <v>3714.7200000000012</v>
      </c>
      <c r="P25" s="213">
        <v>22</v>
      </c>
      <c r="Q25" s="215">
        <v>21</v>
      </c>
      <c r="R25" s="215">
        <v>21</v>
      </c>
      <c r="S25" s="97">
        <f>24213.05+6197.08+341.06</f>
        <v>30751.19</v>
      </c>
      <c r="T25" s="97">
        <v>24213.05</v>
      </c>
      <c r="U25" s="97">
        <f t="shared" si="2"/>
        <v>6538.1399999999994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75">
        <v>11</v>
      </c>
      <c r="J26" s="75">
        <v>18</v>
      </c>
      <c r="K26" s="209">
        <v>18</v>
      </c>
      <c r="L26" s="210">
        <v>18</v>
      </c>
      <c r="M26" s="211">
        <f>3777.1+6399.51+6251.64+358.88</f>
        <v>16787.13</v>
      </c>
      <c r="N26" s="211">
        <f>3777.1+6399.51</f>
        <v>10176.61</v>
      </c>
      <c r="O26" s="212">
        <f t="shared" si="1"/>
        <v>6610.52</v>
      </c>
      <c r="P26" s="213">
        <v>12</v>
      </c>
      <c r="Q26" s="214">
        <v>12</v>
      </c>
      <c r="R26" s="215">
        <v>12</v>
      </c>
      <c r="S26" s="97">
        <f>3386.7+2140.45</f>
        <v>5527.15</v>
      </c>
      <c r="T26" s="97">
        <v>3386.7</v>
      </c>
      <c r="U26" s="97">
        <f t="shared" si="2"/>
        <v>2140.4499999999998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27</v>
      </c>
      <c r="I27" s="75">
        <v>20</v>
      </c>
      <c r="J27" s="75">
        <v>36</v>
      </c>
      <c r="K27" s="209">
        <v>36</v>
      </c>
      <c r="L27" s="210">
        <v>28</v>
      </c>
      <c r="M27" s="211">
        <f>6801.73+4254.18+3948.81+757.9+1004.85+1005.5</f>
        <v>17772.969999999998</v>
      </c>
      <c r="N27" s="211">
        <f>6801.73+4254.18+3948.81</f>
        <v>15004.72</v>
      </c>
      <c r="O27" s="212">
        <f t="shared" si="1"/>
        <v>2768.2499999999982</v>
      </c>
      <c r="P27" s="213">
        <v>14</v>
      </c>
      <c r="Q27" s="21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75"/>
      <c r="J28" s="75"/>
      <c r="K28" s="209"/>
      <c r="L28" s="210"/>
      <c r="M28" s="211"/>
      <c r="N28" s="211"/>
      <c r="O28" s="212">
        <f t="shared" si="1"/>
        <v>0</v>
      </c>
      <c r="P28" s="213"/>
      <c r="Q28" s="21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23</v>
      </c>
      <c r="I29" s="75">
        <v>21</v>
      </c>
      <c r="J29" s="75">
        <v>29</v>
      </c>
      <c r="K29" s="209">
        <v>29</v>
      </c>
      <c r="L29" s="210">
        <v>27</v>
      </c>
      <c r="M29" s="211">
        <f>7765.28+1107.91+3282.4+1320.23+1580.98+622.05+447.4</f>
        <v>16126.249999999998</v>
      </c>
      <c r="N29" s="211">
        <f>7765.28+1107.91+3282.4+1320.23+1580.98</f>
        <v>15056.8</v>
      </c>
      <c r="O29" s="212">
        <f t="shared" si="1"/>
        <v>1069.4499999999989</v>
      </c>
      <c r="P29" s="213">
        <v>14</v>
      </c>
      <c r="Q29" s="21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34</v>
      </c>
      <c r="I30" s="75">
        <v>29</v>
      </c>
      <c r="J30" s="75">
        <v>41</v>
      </c>
      <c r="K30" s="210">
        <v>41</v>
      </c>
      <c r="L30" s="210">
        <v>35</v>
      </c>
      <c r="M30" s="211">
        <f>5246.17+4965.96+1939.12+3762.43+2342.38+4011.61</f>
        <v>22267.670000000002</v>
      </c>
      <c r="N30" s="211">
        <f>5246.17+4965.96+1939.12</f>
        <v>12151.25</v>
      </c>
      <c r="O30" s="212">
        <f t="shared" si="1"/>
        <v>10116.420000000002</v>
      </c>
      <c r="P30" s="213">
        <v>23</v>
      </c>
      <c r="Q30" s="215">
        <v>23</v>
      </c>
      <c r="R30" s="215">
        <v>23</v>
      </c>
      <c r="S30" s="97">
        <f>39414.6+4786.67+1562.33+638.43+2216.93+1293.2</f>
        <v>49912.159999999996</v>
      </c>
      <c r="T30" s="97">
        <f>39414.6+4786.67+1562.33+638.43</f>
        <v>46402.03</v>
      </c>
      <c r="U30" s="97">
        <f t="shared" si="2"/>
        <v>3510.1299999999974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75">
        <v>1</v>
      </c>
      <c r="J31" s="75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21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75"/>
      <c r="J32" s="75"/>
      <c r="K32" s="209"/>
      <c r="L32" s="210"/>
      <c r="M32" s="211"/>
      <c r="N32" s="211"/>
      <c r="O32" s="212">
        <f t="shared" si="1"/>
        <v>0</v>
      </c>
      <c r="P32" s="213"/>
      <c r="Q32" s="21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13</v>
      </c>
      <c r="I33" s="75">
        <v>9</v>
      </c>
      <c r="J33" s="75">
        <v>11</v>
      </c>
      <c r="K33" s="209">
        <v>11</v>
      </c>
      <c r="L33" s="210">
        <v>11</v>
      </c>
      <c r="M33" s="211">
        <f>4065+2226.4+2915.4+290</f>
        <v>9496.7999999999993</v>
      </c>
      <c r="N33" s="211">
        <f>4065+2226.4+2915.4</f>
        <v>9206.7999999999993</v>
      </c>
      <c r="O33" s="212">
        <f t="shared" si="1"/>
        <v>290</v>
      </c>
      <c r="P33" s="213"/>
      <c r="Q33" s="21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75">
        <v>14</v>
      </c>
      <c r="J34" s="75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11</v>
      </c>
      <c r="I35" s="75">
        <v>6</v>
      </c>
      <c r="J35" s="75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21</v>
      </c>
      <c r="I36" s="75">
        <v>13</v>
      </c>
      <c r="J36" s="75">
        <v>15</v>
      </c>
      <c r="K36" s="209">
        <v>15</v>
      </c>
      <c r="L36" s="210">
        <v>15</v>
      </c>
      <c r="M36" s="211">
        <f>2360+2665.25+2800.06+3488.89</f>
        <v>11314.199999999999</v>
      </c>
      <c r="N36" s="211">
        <f>2360+2665.25</f>
        <v>5025.25</v>
      </c>
      <c r="O36" s="212">
        <f t="shared" si="1"/>
        <v>6288.9499999999989</v>
      </c>
      <c r="P36" s="213">
        <v>6</v>
      </c>
      <c r="Q36" s="214">
        <v>6</v>
      </c>
      <c r="R36" s="215">
        <v>6</v>
      </c>
      <c r="S36" s="97">
        <f>1436.08+3433.93+5939.33+1723.52</f>
        <v>12532.86</v>
      </c>
      <c r="T36" s="97">
        <f>1436.08+3433.93+5939.33</f>
        <v>10809.34</v>
      </c>
      <c r="U36" s="97">
        <f t="shared" si="2"/>
        <v>1723.5200000000004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15</v>
      </c>
      <c r="I37" s="75">
        <v>12</v>
      </c>
      <c r="J37" s="75">
        <v>13</v>
      </c>
      <c r="K37" s="209">
        <v>13</v>
      </c>
      <c r="L37" s="210">
        <v>13</v>
      </c>
      <c r="M37" s="211">
        <f>4126.56+990.2+862.75+145+358.88+1424.06</f>
        <v>7907.4500000000007</v>
      </c>
      <c r="N37" s="211">
        <f>4126.56+990.2+862.75+145</f>
        <v>6124.51</v>
      </c>
      <c r="O37" s="212">
        <f t="shared" si="1"/>
        <v>1782.9400000000005</v>
      </c>
      <c r="P37" s="213">
        <v>2</v>
      </c>
      <c r="Q37" s="214">
        <v>2</v>
      </c>
      <c r="R37" s="215">
        <v>2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74</v>
      </c>
      <c r="I38" s="75">
        <v>36</v>
      </c>
      <c r="J38" s="75">
        <v>51</v>
      </c>
      <c r="K38" s="209">
        <v>51</v>
      </c>
      <c r="L38" s="210">
        <v>51</v>
      </c>
      <c r="M38" s="211">
        <f>18043.85+1739.74+12219.36+4084.73+2867.69+2388.56+1377.5+2533.95</f>
        <v>45255.38</v>
      </c>
      <c r="N38" s="211">
        <f>18043.85+1739.74+12219.36+3053.47</f>
        <v>35056.42</v>
      </c>
      <c r="O38" s="212">
        <f t="shared" si="1"/>
        <v>10198.959999999999</v>
      </c>
      <c r="P38" s="213">
        <v>20</v>
      </c>
      <c r="Q38" s="214">
        <v>20</v>
      </c>
      <c r="R38" s="215">
        <v>20</v>
      </c>
      <c r="S38" s="97">
        <f>22326.77+417.74+1031.26</f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27</v>
      </c>
      <c r="I39" s="75">
        <v>14</v>
      </c>
      <c r="J39" s="75">
        <v>18</v>
      </c>
      <c r="K39" s="209">
        <v>16</v>
      </c>
      <c r="L39" s="210">
        <v>15</v>
      </c>
      <c r="M39" s="211">
        <f>4309.67+3353.38+84.05+2832.72+349.74+868</f>
        <v>11797.56</v>
      </c>
      <c r="N39" s="211">
        <f>4309.67+3353.38+84.93+2831.84</f>
        <v>10579.82</v>
      </c>
      <c r="O39" s="212">
        <f t="shared" si="1"/>
        <v>1217.7399999999998</v>
      </c>
      <c r="P39" s="213">
        <v>3</v>
      </c>
      <c r="Q39" s="214">
        <v>3</v>
      </c>
      <c r="R39" s="215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9</v>
      </c>
      <c r="I40" s="75">
        <v>5</v>
      </c>
      <c r="J40" s="75">
        <v>5</v>
      </c>
      <c r="K40" s="209">
        <v>5</v>
      </c>
      <c r="L40" s="210">
        <v>5</v>
      </c>
      <c r="M40" s="211">
        <v>5430.01</v>
      </c>
      <c r="N40" s="211">
        <v>5430.01</v>
      </c>
      <c r="O40" s="212">
        <f t="shared" si="1"/>
        <v>0</v>
      </c>
      <c r="P40" s="213">
        <v>3</v>
      </c>
      <c r="Q40" s="214">
        <v>3</v>
      </c>
      <c r="R40" s="215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18</v>
      </c>
      <c r="I41" s="75">
        <v>17</v>
      </c>
      <c r="J41" s="75">
        <v>19</v>
      </c>
      <c r="K41" s="209">
        <v>11</v>
      </c>
      <c r="L41" s="210">
        <v>11</v>
      </c>
      <c r="M41" s="211">
        <f>4892.78+1033.5+545.69+1551.08</f>
        <v>8023.0499999999993</v>
      </c>
      <c r="N41" s="211">
        <f>4892.78+1033.5</f>
        <v>5926.28</v>
      </c>
      <c r="O41" s="212">
        <f t="shared" si="1"/>
        <v>2096.7699999999995</v>
      </c>
      <c r="P41" s="213">
        <v>4</v>
      </c>
      <c r="Q41" s="214">
        <v>4</v>
      </c>
      <c r="R41" s="215">
        <v>4</v>
      </c>
      <c r="S41" s="97">
        <f>1842.88+373.68</f>
        <v>2216.56</v>
      </c>
      <c r="T41" s="97">
        <f>1842.88</f>
        <v>1842.88</v>
      </c>
      <c r="U41" s="97">
        <f t="shared" si="2"/>
        <v>373.67999999999984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177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14</v>
      </c>
      <c r="I42" s="75">
        <v>7</v>
      </c>
      <c r="J42" s="75">
        <v>9</v>
      </c>
      <c r="K42" s="209">
        <v>9</v>
      </c>
      <c r="L42" s="210">
        <v>9</v>
      </c>
      <c r="M42" s="211">
        <f>5095.29+1605.75+430.65</f>
        <v>7131.69</v>
      </c>
      <c r="N42" s="211">
        <f>5095.29+1605.75</f>
        <v>6701.04</v>
      </c>
      <c r="O42" s="212">
        <f t="shared" si="1"/>
        <v>430.64999999999964</v>
      </c>
      <c r="P42" s="213">
        <v>5</v>
      </c>
      <c r="Q42" s="21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20</v>
      </c>
      <c r="I43" s="75">
        <v>9</v>
      </c>
      <c r="J43" s="75">
        <v>12</v>
      </c>
      <c r="K43" s="209">
        <v>11</v>
      </c>
      <c r="L43" s="210">
        <v>11</v>
      </c>
      <c r="M43" s="211">
        <f>1949.94+11241.95+1670.56+979+622.78+145+551.2</f>
        <v>17160.43</v>
      </c>
      <c r="N43" s="211">
        <f>1949.94+11241.95+1670.56+979</f>
        <v>15841.45</v>
      </c>
      <c r="O43" s="212">
        <f t="shared" si="1"/>
        <v>1318.9799999999996</v>
      </c>
      <c r="P43" s="213">
        <v>6</v>
      </c>
      <c r="Q43" s="214">
        <v>6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11</v>
      </c>
      <c r="I44" s="75">
        <v>6</v>
      </c>
      <c r="J44" s="75">
        <v>13</v>
      </c>
      <c r="K44" s="209">
        <v>13</v>
      </c>
      <c r="L44" s="210">
        <v>13</v>
      </c>
      <c r="M44" s="211">
        <f>9600.95+145+2182.75+7980.88+580+287.1</f>
        <v>20776.68</v>
      </c>
      <c r="N44" s="211">
        <f>9600.95+145+2182.75</f>
        <v>11928.7</v>
      </c>
      <c r="O44" s="212">
        <f t="shared" si="1"/>
        <v>8847.98</v>
      </c>
      <c r="P44" s="213">
        <v>8</v>
      </c>
      <c r="Q44" s="214">
        <v>8</v>
      </c>
      <c r="R44" s="215">
        <v>8</v>
      </c>
      <c r="S44" s="97">
        <f>3997.92+850.65+4367.7+2262.73+189.48</f>
        <v>11668.48</v>
      </c>
      <c r="T44" s="97">
        <f>3997.92+850.65+4367.7</f>
        <v>9216.27</v>
      </c>
      <c r="U44" s="97">
        <f t="shared" si="2"/>
        <v>2452.2099999999991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75"/>
      <c r="J45" s="75"/>
      <c r="K45" s="209"/>
      <c r="L45" s="210"/>
      <c r="M45" s="211"/>
      <c r="N45" s="211"/>
      <c r="O45" s="212">
        <f t="shared" si="1"/>
        <v>0</v>
      </c>
      <c r="P45" s="213"/>
      <c r="Q45" s="21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13</v>
      </c>
      <c r="I46" s="75">
        <v>11</v>
      </c>
      <c r="J46" s="75">
        <v>12</v>
      </c>
      <c r="K46" s="209">
        <v>12</v>
      </c>
      <c r="L46" s="210">
        <v>12</v>
      </c>
      <c r="M46" s="211">
        <f>1290.6+2343.84+935.25</f>
        <v>4569.6900000000005</v>
      </c>
      <c r="N46" s="211">
        <f>1290.6+2343.84</f>
        <v>3634.44</v>
      </c>
      <c r="O46" s="212">
        <f t="shared" si="1"/>
        <v>935.25000000000045</v>
      </c>
      <c r="P46" s="213">
        <v>2</v>
      </c>
      <c r="Q46" s="21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36</v>
      </c>
      <c r="I47" s="75">
        <v>23</v>
      </c>
      <c r="J47" s="75">
        <v>32</v>
      </c>
      <c r="K47" s="209">
        <v>32</v>
      </c>
      <c r="L47" s="210">
        <v>29</v>
      </c>
      <c r="M47" s="211">
        <f>9335.56+3507.6+826.8+2284.16+1015</f>
        <v>16969.12</v>
      </c>
      <c r="N47" s="211">
        <f>9335.56+3507.6+826.8</f>
        <v>13669.96</v>
      </c>
      <c r="O47" s="212">
        <f t="shared" si="1"/>
        <v>3299.16</v>
      </c>
      <c r="P47" s="213">
        <v>2</v>
      </c>
      <c r="Q47" s="21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15</v>
      </c>
      <c r="I48" s="75">
        <v>6</v>
      </c>
      <c r="J48" s="75">
        <v>9</v>
      </c>
      <c r="K48" s="209">
        <v>9</v>
      </c>
      <c r="L48" s="210">
        <v>9</v>
      </c>
      <c r="M48" s="211">
        <f>8890.84+1828.05+435</f>
        <v>11153.89</v>
      </c>
      <c r="N48" s="211">
        <f>8890.84+1828.05</f>
        <v>10718.89</v>
      </c>
      <c r="O48" s="212">
        <f t="shared" si="1"/>
        <v>435</v>
      </c>
      <c r="P48" s="213">
        <v>3</v>
      </c>
      <c r="Q48" s="21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18</v>
      </c>
      <c r="I49" s="75">
        <v>10</v>
      </c>
      <c r="J49" s="75">
        <v>13</v>
      </c>
      <c r="K49" s="209">
        <v>13</v>
      </c>
      <c r="L49" s="210">
        <v>11</v>
      </c>
      <c r="M49" s="211">
        <f>1831.71+137.8+1816.78+290</f>
        <v>4076.29</v>
      </c>
      <c r="N49" s="211">
        <f>1831.71+137.8+1816.78</f>
        <v>3786.29</v>
      </c>
      <c r="O49" s="212">
        <f t="shared" si="1"/>
        <v>290</v>
      </c>
      <c r="P49" s="213">
        <v>9</v>
      </c>
      <c r="Q49" s="214">
        <v>9</v>
      </c>
      <c r="R49" s="215">
        <v>9</v>
      </c>
      <c r="S49" s="97">
        <f>8296.23+1378+5368</f>
        <v>15042.23</v>
      </c>
      <c r="T49" s="97">
        <f>8296.23+1378+5368</f>
        <v>15042.23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20</v>
      </c>
      <c r="I50" s="75">
        <v>15</v>
      </c>
      <c r="J50" s="75">
        <v>17</v>
      </c>
      <c r="K50" s="209">
        <v>17</v>
      </c>
      <c r="L50" s="210">
        <v>16</v>
      </c>
      <c r="M50" s="211">
        <f>8308.92+786.44+453+302+1256.5</f>
        <v>11106.86</v>
      </c>
      <c r="N50" s="211">
        <f>8308.92+786.44+453+302</f>
        <v>9850.36</v>
      </c>
      <c r="O50" s="212">
        <f t="shared" si="1"/>
        <v>1256.5</v>
      </c>
      <c r="P50" s="213">
        <v>6</v>
      </c>
      <c r="Q50" s="214">
        <v>6</v>
      </c>
      <c r="R50" s="215">
        <v>6</v>
      </c>
      <c r="S50" s="97">
        <f>2457.28+1725.6+5017.9+1584.7</f>
        <v>10785.48</v>
      </c>
      <c r="T50" s="97">
        <f>2457.28+1725.6+5017.9</f>
        <v>9200.7799999999988</v>
      </c>
      <c r="U50" s="97">
        <f t="shared" si="2"/>
        <v>1584.7000000000007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24</v>
      </c>
      <c r="I51" s="75">
        <v>12</v>
      </c>
      <c r="J51" s="75">
        <v>14</v>
      </c>
      <c r="K51" s="209">
        <v>14</v>
      </c>
      <c r="L51" s="210">
        <v>14</v>
      </c>
      <c r="M51" s="211">
        <f>5580.75+571.11+696.2+574.2+408.03+1234.53+1446.9</f>
        <v>10511.72</v>
      </c>
      <c r="N51" s="211">
        <f>5580.75+571.11+696.2+574.2</f>
        <v>7422.2599999999993</v>
      </c>
      <c r="O51" s="212">
        <f t="shared" si="1"/>
        <v>3089.46</v>
      </c>
      <c r="P51" s="213">
        <v>1</v>
      </c>
      <c r="Q51" s="214">
        <v>1</v>
      </c>
      <c r="R51" s="215">
        <v>1</v>
      </c>
      <c r="S51" s="97">
        <f>728.15</f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19</v>
      </c>
      <c r="I52" s="75">
        <v>11</v>
      </c>
      <c r="J52" s="75">
        <v>14</v>
      </c>
      <c r="K52" s="209">
        <v>14</v>
      </c>
      <c r="L52" s="210">
        <v>13</v>
      </c>
      <c r="M52" s="211">
        <f>3782.6+430.65+1221.61+2194.55</f>
        <v>7629.41</v>
      </c>
      <c r="N52" s="211">
        <f>3782.6+430.65+1221.61</f>
        <v>5434.86</v>
      </c>
      <c r="O52" s="212">
        <f t="shared" si="1"/>
        <v>2194.5500000000002</v>
      </c>
      <c r="P52" s="213">
        <v>9</v>
      </c>
      <c r="Q52" s="214">
        <v>9</v>
      </c>
      <c r="R52" s="215">
        <v>9</v>
      </c>
      <c r="S52" s="97">
        <f>1535.39+1035.3+828.82+12756.45</f>
        <v>16155.960000000001</v>
      </c>
      <c r="T52" s="97">
        <f>1535.39+1035.3+828.82</f>
        <v>3399.51</v>
      </c>
      <c r="U52" s="97">
        <f t="shared" si="2"/>
        <v>12756.45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8</v>
      </c>
      <c r="I53" s="75">
        <v>3</v>
      </c>
      <c r="J53" s="75">
        <v>3</v>
      </c>
      <c r="K53" s="209">
        <v>3</v>
      </c>
      <c r="L53" s="210">
        <v>3</v>
      </c>
      <c r="M53" s="211">
        <f>1102.4+328.37</f>
        <v>1430.77</v>
      </c>
      <c r="N53" s="211">
        <v>1102.4000000000001</v>
      </c>
      <c r="O53" s="212">
        <f t="shared" si="1"/>
        <v>328.36999999999989</v>
      </c>
      <c r="P53" s="213">
        <v>2</v>
      </c>
      <c r="Q53" s="21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97</v>
      </c>
      <c r="I54" s="75">
        <v>74</v>
      </c>
      <c r="J54" s="75">
        <v>89</v>
      </c>
      <c r="K54" s="209">
        <v>89</v>
      </c>
      <c r="L54" s="210">
        <v>77</v>
      </c>
      <c r="M54" s="211">
        <f>12031.27+4728.85+7137.01+1218+507+4175.93+5308.12</f>
        <v>35106.180000000008</v>
      </c>
      <c r="N54" s="211">
        <f>12031.27+4728.85+7137.01</f>
        <v>23897.130000000005</v>
      </c>
      <c r="O54" s="212">
        <f t="shared" si="1"/>
        <v>11209.050000000003</v>
      </c>
      <c r="P54" s="213">
        <v>17</v>
      </c>
      <c r="Q54" s="21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7</v>
      </c>
      <c r="I55" s="75">
        <v>3</v>
      </c>
      <c r="J55" s="75">
        <v>3</v>
      </c>
      <c r="K55" s="209">
        <v>3</v>
      </c>
      <c r="L55" s="210">
        <v>3</v>
      </c>
      <c r="M55" s="211">
        <f>5677.4+870</f>
        <v>6547.4</v>
      </c>
      <c r="N55" s="211">
        <v>5677.4</v>
      </c>
      <c r="O55" s="212">
        <f t="shared" si="1"/>
        <v>870</v>
      </c>
      <c r="P55" s="213">
        <v>3</v>
      </c>
      <c r="Q55" s="21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57</v>
      </c>
      <c r="I56" s="75">
        <v>36</v>
      </c>
      <c r="J56" s="75">
        <v>55</v>
      </c>
      <c r="K56" s="209">
        <v>55</v>
      </c>
      <c r="L56" s="210">
        <v>51</v>
      </c>
      <c r="M56" s="211">
        <f>13145.7+14183.3+726.22+3195.47+5181.98+1425.26+6804.83+1811+6356.42</f>
        <v>52830.18</v>
      </c>
      <c r="N56" s="211">
        <f>13145.7+14183.3+726.22+1428.26</f>
        <v>29483.48</v>
      </c>
      <c r="O56" s="212">
        <f t="shared" si="1"/>
        <v>23346.7</v>
      </c>
      <c r="P56" s="213">
        <v>35</v>
      </c>
      <c r="Q56" s="214">
        <v>35</v>
      </c>
      <c r="R56" s="215">
        <v>32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75">
        <v>4</v>
      </c>
      <c r="J57" s="75">
        <v>3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21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75"/>
      <c r="J58" s="75"/>
      <c r="K58" s="209"/>
      <c r="L58" s="210"/>
      <c r="M58" s="211"/>
      <c r="N58" s="211"/>
      <c r="O58" s="212">
        <f t="shared" si="1"/>
        <v>0</v>
      </c>
      <c r="P58" s="213">
        <v>1</v>
      </c>
      <c r="Q58" s="214">
        <v>1</v>
      </c>
      <c r="R58" s="215">
        <v>1</v>
      </c>
      <c r="S58" s="97">
        <v>548.1</v>
      </c>
      <c r="T58" s="97"/>
      <c r="U58" s="97">
        <f t="shared" si="2"/>
        <v>548.1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75"/>
      <c r="J59" s="75"/>
      <c r="K59" s="209"/>
      <c r="L59" s="210"/>
      <c r="M59" s="211"/>
      <c r="N59" s="211"/>
      <c r="O59" s="212">
        <f t="shared" si="1"/>
        <v>0</v>
      </c>
      <c r="P59" s="213"/>
      <c r="Q59" s="21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48</v>
      </c>
      <c r="I60" s="75">
        <v>28</v>
      </c>
      <c r="J60" s="75">
        <v>42</v>
      </c>
      <c r="K60" s="209">
        <v>41</v>
      </c>
      <c r="L60" s="210">
        <v>41</v>
      </c>
      <c r="M60" s="211">
        <f>19657.67+3859.57+3638.88+11285.84+2356.7+1870.22+2374.32</f>
        <v>45043.199999999997</v>
      </c>
      <c r="N60" s="211">
        <f>19657.67+3859.57+3638.88</f>
        <v>27156.12</v>
      </c>
      <c r="O60" s="212">
        <f t="shared" si="1"/>
        <v>17887.079999999998</v>
      </c>
      <c r="P60" s="213">
        <v>6</v>
      </c>
      <c r="Q60" s="214">
        <v>6</v>
      </c>
      <c r="R60" s="215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23</v>
      </c>
      <c r="I61" s="75">
        <v>14</v>
      </c>
      <c r="J61" s="75">
        <v>18</v>
      </c>
      <c r="K61" s="209">
        <v>18</v>
      </c>
      <c r="L61" s="210">
        <v>18</v>
      </c>
      <c r="M61" s="211">
        <f>3986.21+989.8+3814.75+1492.92+2107.58+1990.86</f>
        <v>14382.12</v>
      </c>
      <c r="N61" s="211">
        <f>3986.21+989.8+3814.75</f>
        <v>8790.76</v>
      </c>
      <c r="O61" s="212">
        <f t="shared" si="1"/>
        <v>5591.3600000000006</v>
      </c>
      <c r="P61" s="213"/>
      <c r="Q61" s="21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177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18</v>
      </c>
      <c r="I62" s="75">
        <v>11</v>
      </c>
      <c r="J62" s="75">
        <v>14</v>
      </c>
      <c r="K62" s="209">
        <v>14</v>
      </c>
      <c r="L62" s="210">
        <v>14</v>
      </c>
      <c r="M62" s="211">
        <f>1263.45+2111.32+5011.35+4260.64</f>
        <v>12646.760000000002</v>
      </c>
      <c r="N62" s="211">
        <f>1263.45+2111.32+5011.35</f>
        <v>8386.1200000000008</v>
      </c>
      <c r="O62" s="212">
        <f t="shared" si="1"/>
        <v>4260.6400000000012</v>
      </c>
      <c r="P62" s="213">
        <v>7</v>
      </c>
      <c r="Q62" s="214">
        <v>7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75"/>
      <c r="J63" s="75"/>
      <c r="K63" s="209"/>
      <c r="L63" s="210"/>
      <c r="M63" s="211"/>
      <c r="N63" s="211"/>
      <c r="O63" s="212">
        <f t="shared" si="1"/>
        <v>0</v>
      </c>
      <c r="P63" s="213">
        <v>29</v>
      </c>
      <c r="Q63" s="214">
        <v>29</v>
      </c>
      <c r="R63" s="215">
        <v>29</v>
      </c>
      <c r="S63" s="97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</row>
    <row r="64" spans="1:40" ht="17.25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24</v>
      </c>
      <c r="I64" s="75">
        <v>15</v>
      </c>
      <c r="J64" s="75">
        <v>17</v>
      </c>
      <c r="K64" s="209">
        <v>16</v>
      </c>
      <c r="L64" s="210">
        <v>16</v>
      </c>
      <c r="M64" s="211">
        <f>6496.16+4335.01+2477.65+2687.1+609</f>
        <v>16604.919999999998</v>
      </c>
      <c r="N64" s="211">
        <f>6496.16+4335.01+2477.65</f>
        <v>13308.82</v>
      </c>
      <c r="O64" s="212">
        <f t="shared" si="1"/>
        <v>3296.0999999999985</v>
      </c>
      <c r="P64" s="213">
        <v>12</v>
      </c>
      <c r="Q64" s="214">
        <v>12</v>
      </c>
      <c r="R64" s="215">
        <v>12</v>
      </c>
      <c r="S64" s="97">
        <f>6866.56+548.1</f>
        <v>7414.6600000000008</v>
      </c>
      <c r="T64" s="97">
        <v>6866.56</v>
      </c>
      <c r="U64" s="97">
        <f t="shared" si="2"/>
        <v>548.10000000000036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47</v>
      </c>
      <c r="I65" s="75">
        <v>40</v>
      </c>
      <c r="J65" s="75">
        <v>50</v>
      </c>
      <c r="K65" s="209">
        <v>47</v>
      </c>
      <c r="L65" s="210">
        <v>45</v>
      </c>
      <c r="M65" s="211">
        <f>21561.61+5719.7+1305+4149.27+2397.37+5906.18+1251.03+829.55+4633.7</f>
        <v>47753.41</v>
      </c>
      <c r="N65" s="211">
        <f>21561.61+5719.7+1305+4149.27</f>
        <v>32735.58</v>
      </c>
      <c r="O65" s="212">
        <f t="shared" si="1"/>
        <v>15017.830000000002</v>
      </c>
      <c r="P65" s="213">
        <v>11</v>
      </c>
      <c r="Q65" s="214">
        <v>11</v>
      </c>
      <c r="R65" s="215">
        <v>11</v>
      </c>
      <c r="S65" s="97">
        <f>7456.7+19131.63</f>
        <v>26588.33</v>
      </c>
      <c r="T65" s="97">
        <v>7456.7</v>
      </c>
      <c r="U65" s="97">
        <f t="shared" si="2"/>
        <v>19131.63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75">
        <v>2</v>
      </c>
      <c r="J66" s="75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54</v>
      </c>
      <c r="I67" s="75">
        <v>45</v>
      </c>
      <c r="J67" s="75">
        <v>55</v>
      </c>
      <c r="K67" s="209">
        <v>55</v>
      </c>
      <c r="L67" s="210">
        <v>46</v>
      </c>
      <c r="M67" s="211">
        <f>19710.93+7009.96+ 8900.54+165.98+1497.55+1081.95+652.5+834</f>
        <v>39853.410000000003</v>
      </c>
      <c r="N67" s="211">
        <f>19710.93+7009.96+ 8900.54+165.98</f>
        <v>35787.410000000003</v>
      </c>
      <c r="O67" s="212">
        <f t="shared" si="1"/>
        <v>4066</v>
      </c>
      <c r="P67" s="213">
        <v>11</v>
      </c>
      <c r="Q67" s="21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35</v>
      </c>
      <c r="I68" s="75">
        <v>29</v>
      </c>
      <c r="J68" s="75">
        <v>49</v>
      </c>
      <c r="K68" s="209">
        <v>49</v>
      </c>
      <c r="L68" s="210">
        <v>45</v>
      </c>
      <c r="M68" s="211">
        <f>18750.75+2683.13</f>
        <v>21433.88</v>
      </c>
      <c r="N68" s="211">
        <f>18750.75</f>
        <v>18750.75</v>
      </c>
      <c r="O68" s="212">
        <f t="shared" si="1"/>
        <v>2683.130000000001</v>
      </c>
      <c r="P68" s="213">
        <v>11</v>
      </c>
      <c r="Q68" s="214">
        <v>11</v>
      </c>
      <c r="R68" s="215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9</v>
      </c>
      <c r="I69" s="75">
        <v>5</v>
      </c>
      <c r="J69" s="75">
        <v>5</v>
      </c>
      <c r="K69" s="209">
        <v>5</v>
      </c>
      <c r="L69" s="210">
        <v>5</v>
      </c>
      <c r="M69" s="211">
        <f>2756+1240.2+1305</f>
        <v>5301.2</v>
      </c>
      <c r="N69" s="211">
        <f>2756+1240.2+1305</f>
        <v>5301.2</v>
      </c>
      <c r="O69" s="212">
        <f t="shared" si="1"/>
        <v>0</v>
      </c>
      <c r="P69" s="213"/>
      <c r="Q69" s="214"/>
      <c r="R69" s="215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13</v>
      </c>
      <c r="I70" s="75">
        <v>7</v>
      </c>
      <c r="J70" s="75">
        <v>8</v>
      </c>
      <c r="K70" s="209">
        <v>8</v>
      </c>
      <c r="L70" s="210">
        <v>8</v>
      </c>
      <c r="M70" s="211">
        <f>2039.44+3242.32+2027.39+3567+822.15</f>
        <v>11698.300000000001</v>
      </c>
      <c r="N70" s="211">
        <f>2039.44+3242.32+2027.39</f>
        <v>7309.1500000000005</v>
      </c>
      <c r="O70" s="212">
        <f t="shared" si="1"/>
        <v>4389.1500000000005</v>
      </c>
      <c r="P70" s="213">
        <v>6</v>
      </c>
      <c r="Q70" s="214">
        <v>6</v>
      </c>
      <c r="R70" s="215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21</v>
      </c>
      <c r="I71" s="75">
        <v>16</v>
      </c>
      <c r="J71" s="75">
        <v>19</v>
      </c>
      <c r="K71" s="209">
        <v>15</v>
      </c>
      <c r="L71" s="210">
        <v>15</v>
      </c>
      <c r="M71" s="211">
        <f>2383.53+3781.9+7505.17+507+5161.87+1335.02</f>
        <v>20674.490000000002</v>
      </c>
      <c r="N71" s="211">
        <f>2383.53+3781.9</f>
        <v>6165.43</v>
      </c>
      <c r="O71" s="212">
        <f t="shared" si="1"/>
        <v>14509.060000000001</v>
      </c>
      <c r="P71" s="213">
        <v>24</v>
      </c>
      <c r="Q71" s="214">
        <v>24</v>
      </c>
      <c r="R71" s="215">
        <v>24</v>
      </c>
      <c r="S71" s="97">
        <f>52337.46+18000.02+1926.09</f>
        <v>72263.569999999992</v>
      </c>
      <c r="T71" s="97">
        <v>52337.46</v>
      </c>
      <c r="U71" s="97">
        <f t="shared" si="2"/>
        <v>19926.109999999993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14</v>
      </c>
      <c r="I72" s="75">
        <v>7</v>
      </c>
      <c r="J72" s="75">
        <v>9</v>
      </c>
      <c r="K72" s="209">
        <v>9</v>
      </c>
      <c r="L72" s="210">
        <v>7</v>
      </c>
      <c r="M72" s="211">
        <f>4703.53+544.32+1960.26</f>
        <v>7208.11</v>
      </c>
      <c r="N72" s="211">
        <v>4703.53</v>
      </c>
      <c r="O72" s="212">
        <f t="shared" si="1"/>
        <v>2504.58</v>
      </c>
      <c r="P72" s="213">
        <v>7</v>
      </c>
      <c r="Q72" s="21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34</v>
      </c>
      <c r="I73" s="75">
        <v>25</v>
      </c>
      <c r="J73" s="75">
        <v>25</v>
      </c>
      <c r="K73" s="209">
        <v>25</v>
      </c>
      <c r="L73" s="210">
        <v>25</v>
      </c>
      <c r="M73" s="211">
        <f>2095.52+746.9+4941.1+3310.3+2104.91</f>
        <v>13198.73</v>
      </c>
      <c r="N73" s="211">
        <f>2095.52+746.9</f>
        <v>2842.42</v>
      </c>
      <c r="O73" s="212">
        <f t="shared" si="1"/>
        <v>10356.31</v>
      </c>
      <c r="P73" s="213">
        <v>7</v>
      </c>
      <c r="Q73" s="214">
        <v>7</v>
      </c>
      <c r="R73" s="215">
        <v>7</v>
      </c>
      <c r="S73" s="97">
        <f>1821.06+4580.19+1240.2</f>
        <v>7641.45</v>
      </c>
      <c r="T73" s="97">
        <f>1821.06+4580.19</f>
        <v>6401.25</v>
      </c>
      <c r="U73" s="97">
        <f t="shared" si="2"/>
        <v>1240.1999999999998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75"/>
      <c r="J74" s="75"/>
      <c r="K74" s="209"/>
      <c r="L74" s="210"/>
      <c r="M74" s="211"/>
      <c r="N74" s="211"/>
      <c r="O74" s="212">
        <f t="shared" si="1"/>
        <v>0</v>
      </c>
      <c r="P74" s="213">
        <v>1</v>
      </c>
      <c r="Q74" s="21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9</v>
      </c>
      <c r="I75" s="75">
        <v>5</v>
      </c>
      <c r="J75" s="75">
        <v>6</v>
      </c>
      <c r="K75" s="209">
        <v>6</v>
      </c>
      <c r="L75" s="210">
        <v>6</v>
      </c>
      <c r="M75" s="211">
        <f>275.6+741.36+14287.26</f>
        <v>15304.220000000001</v>
      </c>
      <c r="N75" s="211">
        <f>275.6+741.36+14287.26</f>
        <v>15304.220000000001</v>
      </c>
      <c r="O75" s="212">
        <f t="shared" ref="O75:O104" si="4" xml:space="preserve"> (M75-N75)</f>
        <v>0</v>
      </c>
      <c r="P75" s="213">
        <v>3</v>
      </c>
      <c r="Q75" s="21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30</v>
      </c>
      <c r="I76" s="75">
        <v>23</v>
      </c>
      <c r="J76" s="75">
        <v>31</v>
      </c>
      <c r="K76" s="209">
        <v>31</v>
      </c>
      <c r="L76" s="210">
        <v>31</v>
      </c>
      <c r="M76" s="211">
        <f>11803.63+1320.23+3132.15+12104.63+822.42+4875.99</f>
        <v>34059.049999999996</v>
      </c>
      <c r="N76" s="211">
        <f>11803.63+1320.23+3132.15+12927.05</f>
        <v>29183.059999999998</v>
      </c>
      <c r="O76" s="212">
        <f t="shared" si="4"/>
        <v>4875.989999999998</v>
      </c>
      <c r="P76" s="213">
        <v>5</v>
      </c>
      <c r="Q76" s="214">
        <v>5</v>
      </c>
      <c r="R76" s="215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23</v>
      </c>
      <c r="I77" s="75">
        <v>12</v>
      </c>
      <c r="J77" s="75">
        <v>14</v>
      </c>
      <c r="K77" s="209">
        <v>14</v>
      </c>
      <c r="L77" s="210">
        <v>14</v>
      </c>
      <c r="M77" s="211">
        <f>4234.67+4498.63+1766.87+2083.87+1368.44</f>
        <v>13952.479999999998</v>
      </c>
      <c r="N77" s="211">
        <f>4234.67+4498.63</f>
        <v>8733.2999999999993</v>
      </c>
      <c r="O77" s="212">
        <f t="shared" si="4"/>
        <v>5219.1799999999985</v>
      </c>
      <c r="P77" s="213"/>
      <c r="Q77" s="214"/>
      <c r="R77" s="215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180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75"/>
      <c r="J78" s="75"/>
      <c r="K78" s="209"/>
      <c r="L78" s="210"/>
      <c r="M78" s="211"/>
      <c r="N78" s="211"/>
      <c r="O78" s="212">
        <f t="shared" si="4"/>
        <v>0</v>
      </c>
      <c r="P78" s="213">
        <v>8</v>
      </c>
      <c r="Q78" s="214">
        <v>8</v>
      </c>
      <c r="R78" s="215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21</v>
      </c>
      <c r="I79" s="75">
        <v>15</v>
      </c>
      <c r="J79" s="75">
        <v>21</v>
      </c>
      <c r="K79" s="209">
        <v>21</v>
      </c>
      <c r="L79" s="210">
        <v>21</v>
      </c>
      <c r="M79" s="211">
        <f>8913.81+7027.61+1244.33+15395.91+4278.3</f>
        <v>36859.96</v>
      </c>
      <c r="N79" s="211">
        <f>8913.81+7027.61+1244.33+15395.91</f>
        <v>32581.66</v>
      </c>
      <c r="O79" s="212">
        <f t="shared" si="4"/>
        <v>4278.2999999999993</v>
      </c>
      <c r="P79" s="213">
        <v>4</v>
      </c>
      <c r="Q79" s="21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18</v>
      </c>
      <c r="I80" s="75">
        <v>14</v>
      </c>
      <c r="J80" s="75">
        <v>20</v>
      </c>
      <c r="K80" s="209">
        <v>20</v>
      </c>
      <c r="L80" s="210">
        <v>20</v>
      </c>
      <c r="M80" s="211">
        <f>14959.64+7384.39+14758.51+362.5</f>
        <v>37465.040000000001</v>
      </c>
      <c r="N80" s="211">
        <f>14959.64+7384.39+14758.51</f>
        <v>37102.54</v>
      </c>
      <c r="O80" s="212">
        <f t="shared" si="4"/>
        <v>362.5</v>
      </c>
      <c r="P80" s="213">
        <v>9</v>
      </c>
      <c r="Q80" s="214">
        <v>9</v>
      </c>
      <c r="R80" s="215">
        <v>9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3</v>
      </c>
      <c r="I81" s="75">
        <v>2</v>
      </c>
      <c r="J81" s="75">
        <v>4</v>
      </c>
      <c r="K81" s="209"/>
      <c r="L81" s="210"/>
      <c r="M81" s="211"/>
      <c r="N81" s="211"/>
      <c r="O81" s="212">
        <f t="shared" si="4"/>
        <v>0</v>
      </c>
      <c r="P81" s="213">
        <v>1</v>
      </c>
      <c r="Q81" s="214">
        <v>1</v>
      </c>
      <c r="R81" s="215">
        <v>1</v>
      </c>
      <c r="S81" s="97">
        <v>2673.24</v>
      </c>
      <c r="T81" s="97"/>
      <c r="U81" s="97">
        <f t="shared" si="5"/>
        <v>2673.24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18</v>
      </c>
      <c r="I82" s="75">
        <v>16</v>
      </c>
      <c r="J82" s="75">
        <v>17</v>
      </c>
      <c r="K82" s="209">
        <v>17</v>
      </c>
      <c r="L82" s="210">
        <v>17</v>
      </c>
      <c r="M82" s="211">
        <f>2626.75+8084.46+600.05+7445.83+942.5+668.95</f>
        <v>20368.539999999997</v>
      </c>
      <c r="N82" s="211">
        <f>2626.75+8084.46+600.05+7445.83</f>
        <v>18757.089999999997</v>
      </c>
      <c r="O82" s="212">
        <f t="shared" si="4"/>
        <v>1611.4500000000007</v>
      </c>
      <c r="P82" s="213">
        <v>10</v>
      </c>
      <c r="Q82" s="214">
        <v>10</v>
      </c>
      <c r="R82" s="215">
        <v>10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21</v>
      </c>
      <c r="I83" s="75">
        <v>14</v>
      </c>
      <c r="J83" s="75">
        <v>25</v>
      </c>
      <c r="K83" s="209">
        <v>25</v>
      </c>
      <c r="L83" s="210">
        <v>25</v>
      </c>
      <c r="M83" s="211">
        <f>11232.31+3440.1+14435.12-1360.99+3088.95+2556.06</f>
        <v>33391.549999999996</v>
      </c>
      <c r="N83" s="211">
        <f>11232.31+3440.1+14435.12-1360.99</f>
        <v>27746.539999999997</v>
      </c>
      <c r="O83" s="212">
        <f t="shared" si="4"/>
        <v>5645.0099999999984</v>
      </c>
      <c r="P83" s="213">
        <v>7</v>
      </c>
      <c r="Q83" s="21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19</v>
      </c>
      <c r="I84" s="75">
        <v>15</v>
      </c>
      <c r="J84" s="75">
        <v>23</v>
      </c>
      <c r="K84" s="209">
        <v>18</v>
      </c>
      <c r="L84" s="210">
        <v>17</v>
      </c>
      <c r="M84" s="211">
        <f>5429.56+2272.28+2029.9+2976.46+1243.6</f>
        <v>13951.800000000001</v>
      </c>
      <c r="N84" s="211">
        <f>5429.56+2272.28+2029.9</f>
        <v>9731.74</v>
      </c>
      <c r="O84" s="212">
        <f t="shared" si="4"/>
        <v>4220.0600000000013</v>
      </c>
      <c r="P84" s="213">
        <v>1</v>
      </c>
      <c r="Q84" s="21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35</v>
      </c>
      <c r="I85" s="75">
        <v>27</v>
      </c>
      <c r="J85" s="75">
        <v>52</v>
      </c>
      <c r="K85" s="209">
        <v>52</v>
      </c>
      <c r="L85" s="210">
        <v>50</v>
      </c>
      <c r="M85" s="211">
        <f>15506.09+4089.12+1924.78+1267.55+6546.86+1962.04+654.22+1080.22+392.95</f>
        <v>33423.829999999994</v>
      </c>
      <c r="N85" s="211">
        <f>15506.09+4089.12+1924.78+1267.55+6546.86</f>
        <v>29334.399999999998</v>
      </c>
      <c r="O85" s="212">
        <f t="shared" si="4"/>
        <v>4089.4299999999967</v>
      </c>
      <c r="P85" s="213">
        <v>5</v>
      </c>
      <c r="Q85" s="21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15</v>
      </c>
      <c r="I86" s="75">
        <v>8</v>
      </c>
      <c r="J86" s="75">
        <v>9</v>
      </c>
      <c r="K86" s="209">
        <v>9</v>
      </c>
      <c r="L86" s="210">
        <v>7</v>
      </c>
      <c r="M86" s="211">
        <f>1956.76+1128.38</f>
        <v>3085.1400000000003</v>
      </c>
      <c r="N86" s="211">
        <v>1956.76</v>
      </c>
      <c r="O86" s="212">
        <f t="shared" si="4"/>
        <v>1128.3800000000003</v>
      </c>
      <c r="P86" s="213">
        <v>2</v>
      </c>
      <c r="Q86" s="21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8</v>
      </c>
      <c r="I87" s="75">
        <v>7</v>
      </c>
      <c r="J87" s="75">
        <v>8</v>
      </c>
      <c r="K87" s="209">
        <v>8</v>
      </c>
      <c r="L87" s="210">
        <v>8</v>
      </c>
      <c r="M87" s="211">
        <f>795.8+4099.92+1305+358.88+1643.65</f>
        <v>8203.25</v>
      </c>
      <c r="N87" s="211">
        <f>795.8+4099.92+1305</f>
        <v>6200.72</v>
      </c>
      <c r="O87" s="212">
        <f t="shared" si="4"/>
        <v>2002.5299999999997</v>
      </c>
      <c r="P87" s="213">
        <v>6</v>
      </c>
      <c r="Q87" s="214">
        <v>6</v>
      </c>
      <c r="R87" s="215">
        <v>6</v>
      </c>
      <c r="S87" s="97">
        <f>2723.78+3718.48+4265.16</f>
        <v>10707.42</v>
      </c>
      <c r="T87" s="97">
        <f>2723.78+3718.48</f>
        <v>6442.26</v>
      </c>
      <c r="U87" s="97">
        <f t="shared" si="5"/>
        <v>4265.16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75"/>
      <c r="J88" s="75"/>
      <c r="K88" s="209"/>
      <c r="L88" s="210"/>
      <c r="M88" s="211"/>
      <c r="N88" s="211"/>
      <c r="O88" s="212">
        <f t="shared" si="4"/>
        <v>0</v>
      </c>
      <c r="P88" s="213">
        <v>6</v>
      </c>
      <c r="Q88" s="21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14</v>
      </c>
      <c r="I89" s="75">
        <v>8</v>
      </c>
      <c r="J89" s="75">
        <v>9</v>
      </c>
      <c r="K89" s="209">
        <v>9</v>
      </c>
      <c r="L89" s="210">
        <v>9</v>
      </c>
      <c r="M89" s="211">
        <f>2874.33+1509.2+1943+315.81</f>
        <v>6642.34</v>
      </c>
      <c r="N89" s="211">
        <f>2874.33+1509.2+1943</f>
        <v>6326.53</v>
      </c>
      <c r="O89" s="212">
        <f t="shared" si="4"/>
        <v>315.8100000000004</v>
      </c>
      <c r="P89" s="213">
        <v>6</v>
      </c>
      <c r="Q89" s="214">
        <v>6</v>
      </c>
      <c r="R89" s="215">
        <v>6</v>
      </c>
      <c r="S89" s="97">
        <f>8161.92+1118.75+3779.58+1127.2</f>
        <v>14187.45</v>
      </c>
      <c r="T89" s="97">
        <f>8161.92+1118.75+3779.58</f>
        <v>13060.25</v>
      </c>
      <c r="U89" s="97">
        <f t="shared" si="5"/>
        <v>1127.2000000000007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47</v>
      </c>
      <c r="I90" s="75">
        <v>37</v>
      </c>
      <c r="J90" s="75">
        <v>66</v>
      </c>
      <c r="K90" s="209">
        <v>66</v>
      </c>
      <c r="L90" s="210">
        <v>66</v>
      </c>
      <c r="M90" s="211">
        <f>14303.46+6714.67+1828.05+13505.93+582.9+8733.75+358.88</f>
        <v>46027.64</v>
      </c>
      <c r="N90" s="211">
        <f>14303.46+6714.67+1828.05+13505.93</f>
        <v>36352.11</v>
      </c>
      <c r="O90" s="212">
        <f t="shared" si="4"/>
        <v>9675.5299999999988</v>
      </c>
      <c r="P90" s="213">
        <v>8</v>
      </c>
      <c r="Q90" s="214">
        <v>8</v>
      </c>
      <c r="R90" s="215">
        <v>8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29</v>
      </c>
      <c r="I91" s="75">
        <v>12</v>
      </c>
      <c r="J91" s="75">
        <v>18</v>
      </c>
      <c r="K91" s="209">
        <v>18</v>
      </c>
      <c r="L91" s="210">
        <v>18</v>
      </c>
      <c r="M91" s="211">
        <f>5384.83+3572.76+8100.09</f>
        <v>17057.68</v>
      </c>
      <c r="N91" s="211">
        <v>5384.83</v>
      </c>
      <c r="O91" s="212">
        <f t="shared" si="4"/>
        <v>11672.85</v>
      </c>
      <c r="P91" s="213">
        <v>7</v>
      </c>
      <c r="Q91" s="214">
        <v>7</v>
      </c>
      <c r="R91" s="215">
        <v>7</v>
      </c>
      <c r="S91" s="97">
        <f>6219.66+748.35+1502.94</f>
        <v>8470.9500000000007</v>
      </c>
      <c r="T91" s="97">
        <f>6219.66+748.35</f>
        <v>6968.01</v>
      </c>
      <c r="U91" s="97">
        <f t="shared" si="5"/>
        <v>1502.9400000000005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19</v>
      </c>
      <c r="I92" s="75">
        <v>14</v>
      </c>
      <c r="J92" s="75">
        <v>18</v>
      </c>
      <c r="K92" s="209">
        <v>18</v>
      </c>
      <c r="L92" s="210">
        <v>18</v>
      </c>
      <c r="M92" s="211">
        <f>2301.54+4352.56+3555.69+1798.94+1481.14+763.69+2342.6</f>
        <v>16596.16</v>
      </c>
      <c r="N92" s="211">
        <f>2301.54+4352.56+3555.69+1798.94+1481.14</f>
        <v>13489.87</v>
      </c>
      <c r="O92" s="212">
        <f t="shared" si="4"/>
        <v>3106.2899999999991</v>
      </c>
      <c r="P92" s="213">
        <v>1</v>
      </c>
      <c r="Q92" s="21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98</v>
      </c>
      <c r="I93" s="75">
        <v>77</v>
      </c>
      <c r="J93" s="75">
        <v>91</v>
      </c>
      <c r="K93" s="209">
        <v>63</v>
      </c>
      <c r="L93" s="210">
        <v>63</v>
      </c>
      <c r="M93" s="211">
        <f>14656.12+3543.47+2420.25+2112.66+1299.21+2099.6</f>
        <v>26131.309999999998</v>
      </c>
      <c r="N93" s="211">
        <f>14656.12+3543.47+2764.75</f>
        <v>20964.34</v>
      </c>
      <c r="O93" s="212">
        <f t="shared" si="4"/>
        <v>5166.9699999999975</v>
      </c>
      <c r="P93" s="213">
        <v>9</v>
      </c>
      <c r="Q93" s="214">
        <v>9</v>
      </c>
      <c r="R93" s="215">
        <v>9</v>
      </c>
      <c r="S93" s="97">
        <f>11083.64+344.5</f>
        <v>11428.14</v>
      </c>
      <c r="T93" s="97">
        <v>11083.64</v>
      </c>
      <c r="U93" s="97">
        <f t="shared" si="5"/>
        <v>344.5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38</v>
      </c>
      <c r="I94" s="75">
        <v>20</v>
      </c>
      <c r="J94" s="75">
        <v>24</v>
      </c>
      <c r="K94" s="210">
        <v>20</v>
      </c>
      <c r="L94" s="210">
        <v>18</v>
      </c>
      <c r="M94" s="211">
        <f>6576.32+217.5+2898.52+939.6+1008.45+1200.17</f>
        <v>12840.560000000001</v>
      </c>
      <c r="N94" s="211">
        <f>6576.32+217.5+2898.52</f>
        <v>9692.34</v>
      </c>
      <c r="O94" s="212">
        <f t="shared" si="4"/>
        <v>3148.2200000000012</v>
      </c>
      <c r="P94" s="213">
        <v>24</v>
      </c>
      <c r="Q94" s="215">
        <v>24</v>
      </c>
      <c r="R94" s="215">
        <v>24</v>
      </c>
      <c r="S94" s="97">
        <f>18253.04+4245.2+858.65+1546.26+14802.65</f>
        <v>39705.800000000003</v>
      </c>
      <c r="T94" s="97">
        <f>18253.04+4245.2+858.65</f>
        <v>23356.890000000003</v>
      </c>
      <c r="U94" s="97">
        <f t="shared" si="5"/>
        <v>16348.91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29</v>
      </c>
      <c r="I95" s="75">
        <v>15</v>
      </c>
      <c r="J95" s="75">
        <v>21</v>
      </c>
      <c r="K95" s="209">
        <v>21</v>
      </c>
      <c r="L95" s="210">
        <v>17</v>
      </c>
      <c r="M95" s="211">
        <f>2362.32+22110.36+455.21+2039.58+953.22+699.73+275.6</f>
        <v>28896.02</v>
      </c>
      <c r="N95" s="211">
        <f>2362.32+22110.36+455.21+2039.58</f>
        <v>26967.47</v>
      </c>
      <c r="O95" s="212">
        <f t="shared" si="4"/>
        <v>1928.5499999999993</v>
      </c>
      <c r="P95" s="213">
        <v>16</v>
      </c>
      <c r="Q95" s="214">
        <v>16</v>
      </c>
      <c r="R95" s="215">
        <v>16</v>
      </c>
      <c r="S95" s="97">
        <f>24552.24+1001.28+122.46+1729.98-1</f>
        <v>27404.959999999999</v>
      </c>
      <c r="T95" s="97">
        <f>24552.24+1001.28+122.46</f>
        <v>25675.98</v>
      </c>
      <c r="U95" s="97">
        <f t="shared" si="5"/>
        <v>1728.9799999999996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9</v>
      </c>
      <c r="I96" s="75">
        <v>7</v>
      </c>
      <c r="J96" s="75">
        <v>10</v>
      </c>
      <c r="K96" s="209">
        <v>10</v>
      </c>
      <c r="L96" s="210">
        <v>10</v>
      </c>
      <c r="M96" s="211">
        <f>826.8+2786.41+2401.3</f>
        <v>6014.51</v>
      </c>
      <c r="N96" s="211">
        <f>826.8+2786.41</f>
        <v>3613.21</v>
      </c>
      <c r="O96" s="212">
        <f t="shared" si="4"/>
        <v>2401.3000000000002</v>
      </c>
      <c r="P96" s="213"/>
      <c r="Q96" s="214"/>
      <c r="R96" s="215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75">
        <v>7</v>
      </c>
      <c r="J97" s="75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</f>
        <v>4629.18</v>
      </c>
      <c r="O97" s="212">
        <f t="shared" si="4"/>
        <v>380.63000000000011</v>
      </c>
      <c r="P97" s="213">
        <v>4</v>
      </c>
      <c r="Q97" s="21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18</v>
      </c>
      <c r="I98" s="75">
        <v>9</v>
      </c>
      <c r="J98" s="75">
        <v>9</v>
      </c>
      <c r="K98" s="209">
        <v>9</v>
      </c>
      <c r="L98" s="210">
        <v>9</v>
      </c>
      <c r="M98" s="211">
        <f>757.9+551.2+895.7+290+725</f>
        <v>3219.8</v>
      </c>
      <c r="N98" s="211">
        <f>757.9+551.2+895.7+290</f>
        <v>2494.8000000000002</v>
      </c>
      <c r="O98" s="212">
        <f t="shared" si="4"/>
        <v>725</v>
      </c>
      <c r="P98" s="213">
        <v>12</v>
      </c>
      <c r="Q98" s="214">
        <v>12</v>
      </c>
      <c r="R98" s="215">
        <v>12</v>
      </c>
      <c r="S98" s="97">
        <f>8034.56+3466.13+4060.73</f>
        <v>15561.42</v>
      </c>
      <c r="T98" s="97">
        <f>8034.56+3466.13</f>
        <v>11500.69</v>
      </c>
      <c r="U98" s="97">
        <f t="shared" si="5"/>
        <v>4060.7299999999996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27</v>
      </c>
      <c r="I99" s="75">
        <v>15</v>
      </c>
      <c r="J99" s="75">
        <v>17</v>
      </c>
      <c r="K99" s="209">
        <v>17</v>
      </c>
      <c r="L99" s="210">
        <v>16</v>
      </c>
      <c r="M99" s="211">
        <f>4782.23+1353.89+2195.41+1197.7+1340.79+681.5</f>
        <v>11551.52</v>
      </c>
      <c r="N99" s="211">
        <f>4782.23+1353.89+2195.41+1197.7</f>
        <v>9529.23</v>
      </c>
      <c r="O99" s="212">
        <f t="shared" si="4"/>
        <v>2022.2900000000009</v>
      </c>
      <c r="P99" s="213">
        <v>11</v>
      </c>
      <c r="Q99" s="214">
        <v>11</v>
      </c>
      <c r="R99" s="215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22</v>
      </c>
      <c r="I100" s="75">
        <v>12</v>
      </c>
      <c r="J100" s="75">
        <v>17</v>
      </c>
      <c r="K100" s="209">
        <v>17</v>
      </c>
      <c r="L100" s="210">
        <v>17</v>
      </c>
      <c r="M100" s="211">
        <f>10862.96+2375.03+5632.11+356.47</f>
        <v>19226.57</v>
      </c>
      <c r="N100" s="211">
        <f>10862.96+2375.03+5632.11</f>
        <v>18870.099999999999</v>
      </c>
      <c r="O100" s="212">
        <f t="shared" si="4"/>
        <v>356.47000000000116</v>
      </c>
      <c r="P100" s="213">
        <v>10</v>
      </c>
      <c r="Q100" s="214">
        <v>10</v>
      </c>
      <c r="R100" s="215">
        <v>10</v>
      </c>
      <c r="S100" s="97">
        <f>4780.1+2135.9</f>
        <v>6916</v>
      </c>
      <c r="T100" s="97">
        <v>4780.1000000000004</v>
      </c>
      <c r="U100" s="97">
        <f t="shared" si="5"/>
        <v>2135.8999999999996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86</v>
      </c>
      <c r="I101" s="75">
        <v>48</v>
      </c>
      <c r="J101" s="75">
        <v>56</v>
      </c>
      <c r="K101" s="209">
        <v>45</v>
      </c>
      <c r="L101" s="210">
        <v>40</v>
      </c>
      <c r="M101" s="211">
        <f>16276.16+4466.66+1078.5+4011.53+435+1493.5+2243.15</f>
        <v>30004.5</v>
      </c>
      <c r="N101" s="211">
        <f>16276.16+4466.66+1078.5+4011.53+435</f>
        <v>26267.85</v>
      </c>
      <c r="O101" s="212">
        <f t="shared" si="4"/>
        <v>3736.6500000000015</v>
      </c>
      <c r="P101" s="213">
        <v>35</v>
      </c>
      <c r="Q101" s="214">
        <v>35</v>
      </c>
      <c r="R101" s="215">
        <v>33</v>
      </c>
      <c r="S101" s="97">
        <f>21329.45-2252.12+532.3+345.99+26455.28+1.67+3039.85-3960.98</f>
        <v>45491.439999999995</v>
      </c>
      <c r="T101" s="97">
        <f>21329.45-2252.12+532.3+345.98+26456.96-1774.49</f>
        <v>44638.080000000002</v>
      </c>
      <c r="U101" s="97">
        <f t="shared" si="5"/>
        <v>853.35999999999331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10</v>
      </c>
      <c r="I102" s="114">
        <v>8</v>
      </c>
      <c r="J102" s="114">
        <v>11</v>
      </c>
      <c r="K102" s="216">
        <v>11</v>
      </c>
      <c r="L102" s="217">
        <v>11</v>
      </c>
      <c r="M102" s="218">
        <f>3259.83+1328.19+2964.21+8477.2</f>
        <v>16029.43</v>
      </c>
      <c r="N102" s="218">
        <v>3259.83</v>
      </c>
      <c r="O102" s="212">
        <f t="shared" si="4"/>
        <v>12769.6</v>
      </c>
      <c r="P102" s="219">
        <v>4</v>
      </c>
      <c r="Q102" s="220">
        <v>4</v>
      </c>
      <c r="R102" s="221">
        <v>4</v>
      </c>
      <c r="S102" s="147">
        <f>1193.3+5843.89</f>
        <v>7037.1900000000005</v>
      </c>
      <c r="T102" s="147">
        <v>1193.3</v>
      </c>
      <c r="U102" s="147">
        <f t="shared" si="5"/>
        <v>5843.89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19</v>
      </c>
      <c r="I103" s="75">
        <v>6</v>
      </c>
      <c r="J103" s="75">
        <v>7</v>
      </c>
      <c r="K103" s="209">
        <v>7</v>
      </c>
      <c r="L103" s="210">
        <v>3</v>
      </c>
      <c r="M103" s="211">
        <f>699.33+580</f>
        <v>1279.33</v>
      </c>
      <c r="N103" s="211">
        <f>699.33+580</f>
        <v>1279.33</v>
      </c>
      <c r="O103" s="212">
        <f t="shared" si="4"/>
        <v>0</v>
      </c>
      <c r="P103" s="215"/>
      <c r="Q103" s="214"/>
      <c r="R103" s="215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214"/>
      <c r="R104" s="215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2201</v>
      </c>
      <c r="I105" s="119">
        <f t="shared" si="7"/>
        <v>1421</v>
      </c>
      <c r="J105" s="119">
        <f t="shared" si="7"/>
        <v>1891</v>
      </c>
      <c r="K105" s="222">
        <f t="shared" si="7"/>
        <v>1775</v>
      </c>
      <c r="L105" s="223">
        <f t="shared" si="7"/>
        <v>1673</v>
      </c>
      <c r="M105" s="224">
        <f t="shared" si="7"/>
        <v>1399091.1900000004</v>
      </c>
      <c r="N105" s="224">
        <f t="shared" si="7"/>
        <v>1046158.1700000002</v>
      </c>
      <c r="O105" s="224">
        <f t="shared" si="7"/>
        <v>352933.0199999999</v>
      </c>
      <c r="P105" s="225">
        <f t="shared" si="7"/>
        <v>733</v>
      </c>
      <c r="Q105" s="226">
        <f>SUM(Q10:Q104)</f>
        <v>728</v>
      </c>
      <c r="R105" s="225">
        <f>SUM(R11:R104)</f>
        <v>712</v>
      </c>
      <c r="S105" s="151">
        <f>SUM(S10:S104)</f>
        <v>1011209.8299999997</v>
      </c>
      <c r="T105" s="151">
        <f>SUM(T10:T104)</f>
        <v>887631.8</v>
      </c>
      <c r="U105" s="151">
        <f>SUM(U10:U104)</f>
        <v>123578.02999999998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236"/>
      <c r="AG105" s="236"/>
      <c r="AH105" s="236"/>
    </row>
    <row r="106" spans="1:35" x14ac:dyDescent="0.25">
      <c r="V106" s="160"/>
      <c r="W106" s="159"/>
      <c r="X106" s="160"/>
      <c r="Y106" s="160"/>
      <c r="Z106" s="160"/>
      <c r="AA106" s="160"/>
      <c r="AB106" s="160"/>
      <c r="AC106" s="160"/>
      <c r="AD106" s="160"/>
      <c r="AE106" s="160"/>
      <c r="AF106" s="235"/>
      <c r="AG106" s="235"/>
      <c r="AH106" s="235"/>
    </row>
    <row r="107" spans="1:35" x14ac:dyDescent="0.25">
      <c r="V107" s="145"/>
      <c r="W107" s="145"/>
      <c r="AF107" s="234"/>
      <c r="AG107" s="234"/>
      <c r="AH107" s="234"/>
      <c r="AI107" s="145"/>
    </row>
    <row r="108" spans="1:35" x14ac:dyDescent="0.25">
      <c r="W108" s="145"/>
      <c r="AF108" s="234"/>
      <c r="AG108" s="235"/>
      <c r="AH108" s="235"/>
    </row>
    <row r="109" spans="1:35" x14ac:dyDescent="0.25">
      <c r="AF109" s="235"/>
      <c r="AG109" s="235"/>
      <c r="AH109" s="234"/>
    </row>
    <row r="110" spans="1:35" x14ac:dyDescent="0.25">
      <c r="AF110" s="235"/>
      <c r="AG110" s="235"/>
      <c r="AH110" s="234"/>
    </row>
    <row r="111" spans="1:35" x14ac:dyDescent="0.25">
      <c r="AF111" s="235"/>
      <c r="AG111" s="235"/>
      <c r="AH111" s="235"/>
    </row>
    <row r="112" spans="1:35" x14ac:dyDescent="0.25">
      <c r="AF112" s="235"/>
      <c r="AG112" s="235"/>
      <c r="AH112" s="235"/>
    </row>
    <row r="113" spans="32:34" x14ac:dyDescent="0.25">
      <c r="AF113" s="235"/>
      <c r="AG113" s="235"/>
      <c r="AH113" s="235"/>
    </row>
    <row r="114" spans="32:34" x14ac:dyDescent="0.25">
      <c r="AF114" s="235"/>
      <c r="AG114" s="235"/>
      <c r="AH114" s="23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288" priority="10" stopIfTrue="1" operator="equal">
      <formula>0</formula>
    </cfRule>
  </conditionalFormatting>
  <conditionalFormatting sqref="AL45">
    <cfRule type="cellIs" dxfId="287" priority="9" stopIfTrue="1" operator="equal">
      <formula>0</formula>
    </cfRule>
  </conditionalFormatting>
  <conditionalFormatting sqref="T45">
    <cfRule type="cellIs" dxfId="286" priority="8" stopIfTrue="1" operator="equal">
      <formula>0</formula>
    </cfRule>
  </conditionalFormatting>
  <conditionalFormatting sqref="T45">
    <cfRule type="cellIs" dxfId="285" priority="7" stopIfTrue="1" operator="equal">
      <formula>0</formula>
    </cfRule>
  </conditionalFormatting>
  <conditionalFormatting sqref="T45">
    <cfRule type="cellIs" dxfId="284" priority="6" stopIfTrue="1" operator="equal">
      <formula>0</formula>
    </cfRule>
  </conditionalFormatting>
  <conditionalFormatting sqref="T45">
    <cfRule type="cellIs" dxfId="283" priority="5" stopIfTrue="1" operator="equal">
      <formula>0</formula>
    </cfRule>
  </conditionalFormatting>
  <conditionalFormatting sqref="T45">
    <cfRule type="cellIs" dxfId="282" priority="4" stopIfTrue="1" operator="equal">
      <formula>0</formula>
    </cfRule>
  </conditionalFormatting>
  <conditionalFormatting sqref="T45">
    <cfRule type="cellIs" dxfId="281" priority="3" stopIfTrue="1" operator="equal">
      <formula>0</formula>
    </cfRule>
  </conditionalFormatting>
  <conditionalFormatting sqref="T45">
    <cfRule type="cellIs" dxfId="280" priority="2" stopIfTrue="1" operator="equal">
      <formula>0</formula>
    </cfRule>
  </conditionalFormatting>
  <conditionalFormatting sqref="T45">
    <cfRule type="cellIs" dxfId="2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04"/>
  <sheetViews>
    <sheetView topLeftCell="M100" zoomScale="80" zoomScaleNormal="80" workbookViewId="0">
      <selection activeCell="AF113" sqref="AF113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5.140625" style="184" customWidth="1"/>
    <col min="7" max="7" width="18.5703125" style="184" customWidth="1"/>
    <col min="8" max="8" width="10.7109375" style="184" customWidth="1"/>
    <col min="9" max="10" width="9.140625" style="184" customWidth="1"/>
    <col min="11" max="12" width="9.140625" style="237" customWidth="1"/>
    <col min="13" max="13" width="14.5703125" style="228" customWidth="1"/>
    <col min="14" max="14" width="12.42578125" style="185" customWidth="1"/>
    <col min="15" max="15" width="12.28515625" style="185" customWidth="1"/>
    <col min="16" max="18" width="9.140625" style="185" customWidth="1"/>
    <col min="19" max="19" width="16.85546875" style="185" customWidth="1"/>
    <col min="20" max="20" width="10.7109375" style="185" customWidth="1"/>
    <col min="21" max="21" width="10.85546875" style="186" customWidth="1"/>
    <col min="22" max="22" width="15" style="134" customWidth="1"/>
    <col min="23" max="23" width="14" style="134" hidden="1" customWidth="1"/>
    <col min="24" max="24" width="9.140625" style="134" hidden="1" customWidth="1"/>
    <col min="25" max="25" width="9.5703125" style="134" hidden="1" customWidth="1"/>
    <col min="26" max="26" width="9.140625" style="134" hidden="1" customWidth="1"/>
    <col min="27" max="27" width="9.5703125" style="134" hidden="1" customWidth="1"/>
    <col min="28" max="30" width="9.140625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3" style="134" customWidth="1"/>
    <col min="35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308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82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307</v>
      </c>
      <c r="Q7" s="360"/>
      <c r="R7" s="360"/>
      <c r="S7" s="360"/>
      <c r="T7" s="360"/>
      <c r="U7" s="361"/>
    </row>
    <row r="8" spans="1:40" ht="311.25" customHeight="1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63" t="s">
        <v>10</v>
      </c>
      <c r="J8" s="63" t="s">
        <v>11</v>
      </c>
      <c r="K8" s="197" t="s">
        <v>12</v>
      </c>
      <c r="L8" s="198" t="s">
        <v>13</v>
      </c>
      <c r="M8" s="199" t="s">
        <v>14</v>
      </c>
      <c r="N8" s="94" t="s">
        <v>15</v>
      </c>
      <c r="O8" s="95" t="s">
        <v>16</v>
      </c>
      <c r="P8" s="96" t="s">
        <v>11</v>
      </c>
      <c r="Q8" s="192" t="s">
        <v>12</v>
      </c>
      <c r="R8" s="94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68">
        <f t="shared" ref="I9:U9" si="0">H9+1</f>
        <v>8</v>
      </c>
      <c r="J9" s="68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122">
        <f t="shared" si="0"/>
        <v>13</v>
      </c>
      <c r="O9" s="128">
        <f t="shared" si="0"/>
        <v>14</v>
      </c>
      <c r="P9" s="121">
        <f t="shared" si="0"/>
        <v>15</v>
      </c>
      <c r="Q9" s="193">
        <f t="shared" si="0"/>
        <v>16</v>
      </c>
      <c r="R9" s="122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39</v>
      </c>
      <c r="I10" s="75">
        <v>27</v>
      </c>
      <c r="J10" s="75">
        <v>30</v>
      </c>
      <c r="K10" s="209">
        <v>30</v>
      </c>
      <c r="L10" s="210">
        <v>22</v>
      </c>
      <c r="M10" s="211">
        <f>8818.63+2629.32+1661.28+2228.94+580</f>
        <v>15918.17</v>
      </c>
      <c r="N10" s="97">
        <f>8818.63+2629.32+1661.28+2228.94+580</f>
        <v>15918.17</v>
      </c>
      <c r="O10" s="93">
        <f xml:space="preserve"> (M10-N10)</f>
        <v>0</v>
      </c>
      <c r="P10" s="123">
        <v>8</v>
      </c>
      <c r="Q10" s="194">
        <v>8</v>
      </c>
      <c r="R10" s="124">
        <v>8</v>
      </c>
      <c r="S10" s="97">
        <f>4246.75+895.7+2557.8</f>
        <v>7700.25</v>
      </c>
      <c r="T10" s="97">
        <f>4246.75+895.7+2557.8</f>
        <v>7700.25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14</v>
      </c>
      <c r="I11" s="75">
        <v>13</v>
      </c>
      <c r="J11" s="75">
        <v>13</v>
      </c>
      <c r="K11" s="209">
        <v>13</v>
      </c>
      <c r="L11" s="210">
        <v>13</v>
      </c>
      <c r="M11" s="211">
        <f>1778.86+580+1740+464+580</f>
        <v>5142.8599999999997</v>
      </c>
      <c r="N11" s="97">
        <f>1778.86+580+1740+464+580</f>
        <v>5142.8599999999997</v>
      </c>
      <c r="O11" s="93">
        <f t="shared" ref="O11:O74" si="1" xml:space="preserve"> (M11-N11)</f>
        <v>0</v>
      </c>
      <c r="P11" s="123">
        <v>2</v>
      </c>
      <c r="Q11" s="194">
        <v>2</v>
      </c>
      <c r="R11" s="124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75"/>
      <c r="J12" s="75"/>
      <c r="K12" s="209"/>
      <c r="L12" s="210"/>
      <c r="M12" s="211"/>
      <c r="N12" s="97"/>
      <c r="O12" s="93">
        <f t="shared" si="1"/>
        <v>0</v>
      </c>
      <c r="P12" s="123">
        <v>3</v>
      </c>
      <c r="Q12" s="194">
        <v>3</v>
      </c>
      <c r="R12" s="124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29</v>
      </c>
      <c r="I13" s="75">
        <v>20</v>
      </c>
      <c r="J13" s="75">
        <v>26</v>
      </c>
      <c r="K13" s="209">
        <v>11</v>
      </c>
      <c r="L13" s="210">
        <v>11</v>
      </c>
      <c r="M13" s="211">
        <f>272.84+2699.54+4096.17</f>
        <v>7068.55</v>
      </c>
      <c r="N13" s="97">
        <f>272.84+2699.54+4096.17</f>
        <v>7068.55</v>
      </c>
      <c r="O13" s="93">
        <f t="shared" si="1"/>
        <v>0</v>
      </c>
      <c r="P13" s="123">
        <v>5</v>
      </c>
      <c r="Q13" s="194">
        <v>5</v>
      </c>
      <c r="R13" s="124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33</v>
      </c>
      <c r="I14" s="75">
        <v>19</v>
      </c>
      <c r="J14" s="75">
        <v>24</v>
      </c>
      <c r="K14" s="209">
        <v>24</v>
      </c>
      <c r="L14" s="210">
        <v>22</v>
      </c>
      <c r="M14" s="211">
        <f>4932.74+3257.04+137+2487.39+344.5+725</f>
        <v>11883.669999999998</v>
      </c>
      <c r="N14" s="97">
        <f>4932.74+3257.04+137+2487.39+344.5+725</f>
        <v>11883.669999999998</v>
      </c>
      <c r="O14" s="93">
        <f t="shared" si="1"/>
        <v>0</v>
      </c>
      <c r="P14" s="123">
        <v>7</v>
      </c>
      <c r="Q14" s="194">
        <v>7</v>
      </c>
      <c r="R14" s="124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30</v>
      </c>
      <c r="I15" s="75">
        <v>20</v>
      </c>
      <c r="J15" s="75">
        <v>26</v>
      </c>
      <c r="K15" s="209">
        <v>26</v>
      </c>
      <c r="L15" s="210">
        <v>26</v>
      </c>
      <c r="M15" s="211">
        <f>16942.87+1278.76+580+108.75</f>
        <v>18910.379999999997</v>
      </c>
      <c r="N15" s="97">
        <f>16942.87+1278.76+580+108.75</f>
        <v>18910.379999999997</v>
      </c>
      <c r="O15" s="93">
        <f t="shared" si="1"/>
        <v>0</v>
      </c>
      <c r="P15" s="123">
        <v>14</v>
      </c>
      <c r="Q15" s="194">
        <v>14</v>
      </c>
      <c r="R15" s="124">
        <v>14</v>
      </c>
      <c r="S15" s="97">
        <f>13813.9+1491.1</f>
        <v>15305</v>
      </c>
      <c r="T15" s="97">
        <f>13813.9+1491.1</f>
        <v>15305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75"/>
      <c r="J16" s="75"/>
      <c r="K16" s="209"/>
      <c r="L16" s="210"/>
      <c r="M16" s="211"/>
      <c r="N16" s="97"/>
      <c r="O16" s="93">
        <f t="shared" si="1"/>
        <v>0</v>
      </c>
      <c r="P16" s="123"/>
      <c r="Q16" s="194"/>
      <c r="R16" s="124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37</v>
      </c>
      <c r="I17" s="75">
        <v>14</v>
      </c>
      <c r="J17" s="75">
        <v>18</v>
      </c>
      <c r="K17" s="209">
        <v>17</v>
      </c>
      <c r="L17" s="210">
        <v>16</v>
      </c>
      <c r="M17" s="211">
        <f>7235.14+4416.12+1559.66+658.56+1087.5</f>
        <v>14956.98</v>
      </c>
      <c r="N17" s="97">
        <f>7235.14+4416.12+1559.66+658.56+1087.5</f>
        <v>14956.98</v>
      </c>
      <c r="O17" s="93">
        <f t="shared" si="1"/>
        <v>0</v>
      </c>
      <c r="P17" s="123">
        <v>1</v>
      </c>
      <c r="Q17" s="194">
        <v>1</v>
      </c>
      <c r="R17" s="124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32</v>
      </c>
      <c r="I18" s="75">
        <v>23</v>
      </c>
      <c r="J18" s="75">
        <v>26</v>
      </c>
      <c r="K18" s="210">
        <v>26</v>
      </c>
      <c r="L18" s="210">
        <v>22</v>
      </c>
      <c r="M18" s="211">
        <f>2118.92+12936.58+4403.89+2411.49+2972.12</f>
        <v>24842.999999999996</v>
      </c>
      <c r="N18" s="97">
        <f>2118.92+12936.58+4403.89+2411.49+2972.12</f>
        <v>24842.999999999996</v>
      </c>
      <c r="O18" s="93">
        <f t="shared" si="1"/>
        <v>0</v>
      </c>
      <c r="P18" s="123">
        <v>7</v>
      </c>
      <c r="Q18" s="124">
        <v>6</v>
      </c>
      <c r="R18" s="124">
        <v>6</v>
      </c>
      <c r="S18" s="97">
        <f>14748.55+934.31</f>
        <v>15682.859999999999</v>
      </c>
      <c r="T18" s="97">
        <f>14748.55+934.31</f>
        <v>15682.859999999999</v>
      </c>
      <c r="U18" s="97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29</v>
      </c>
      <c r="I19" s="75">
        <v>13</v>
      </c>
      <c r="J19" s="75">
        <v>26</v>
      </c>
      <c r="K19" s="209">
        <v>25</v>
      </c>
      <c r="L19" s="210">
        <v>24</v>
      </c>
      <c r="M19" s="211">
        <f>5345.36+3385.2+4242.79+7468.83+387.77</f>
        <v>20829.95</v>
      </c>
      <c r="N19" s="97">
        <f>5345.36+3385.2+4242.79+7468.83+387.77</f>
        <v>20829.95</v>
      </c>
      <c r="O19" s="93">
        <f t="shared" si="1"/>
        <v>0</v>
      </c>
      <c r="P19" s="123">
        <v>15</v>
      </c>
      <c r="Q19" s="194">
        <v>15</v>
      </c>
      <c r="R19" s="124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39</v>
      </c>
      <c r="I20" s="75">
        <v>21</v>
      </c>
      <c r="J20" s="75">
        <v>27</v>
      </c>
      <c r="K20" s="210">
        <v>25</v>
      </c>
      <c r="L20" s="210">
        <v>22</v>
      </c>
      <c r="M20" s="211">
        <f>5728.14+3727.02+315.94+2507.59+652.5+2191.47+1855.28</f>
        <v>16977.939999999999</v>
      </c>
      <c r="N20" s="97">
        <f>5728.14+3727.02+315.94+2507.59+652.5+2191.47+1855.28</f>
        <v>16977.939999999999</v>
      </c>
      <c r="O20" s="93">
        <f t="shared" si="1"/>
        <v>0</v>
      </c>
      <c r="P20" s="123">
        <v>27</v>
      </c>
      <c r="Q20" s="124">
        <v>26</v>
      </c>
      <c r="R20" s="124">
        <v>26</v>
      </c>
      <c r="S20" s="97">
        <f>36404.57+1488.24+1902.09</f>
        <v>39794.899999999994</v>
      </c>
      <c r="T20" s="97">
        <f>36404.57+1488.24+1902.09</f>
        <v>39794.899999999994</v>
      </c>
      <c r="U20" s="97">
        <f t="shared" si="2"/>
        <v>0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20</v>
      </c>
      <c r="I21" s="75">
        <v>10</v>
      </c>
      <c r="J21" s="75">
        <v>15</v>
      </c>
      <c r="K21" s="209">
        <v>15</v>
      </c>
      <c r="L21" s="210">
        <v>13</v>
      </c>
      <c r="M21" s="211">
        <f>3586.84+1791.4+1337.88+413.4+1061.35+942.5</f>
        <v>9133.369999999999</v>
      </c>
      <c r="N21" s="97">
        <f>3586.84+1791.4+1337.88+413.4+1061.35+942.5</f>
        <v>9133.369999999999</v>
      </c>
      <c r="O21" s="93">
        <f t="shared" si="1"/>
        <v>0</v>
      </c>
      <c r="P21" s="123">
        <v>6</v>
      </c>
      <c r="Q21" s="194">
        <v>6</v>
      </c>
      <c r="R21" s="124">
        <v>6</v>
      </c>
      <c r="S21" s="97">
        <f>7288.02+447.62+2487.39</f>
        <v>10223.030000000001</v>
      </c>
      <c r="T21" s="97">
        <f>7288.02+447.62+2487.39</f>
        <v>10223.030000000001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109</v>
      </c>
      <c r="I22" s="75">
        <v>68</v>
      </c>
      <c r="J22" s="75">
        <v>83</v>
      </c>
      <c r="K22" s="210">
        <v>57</v>
      </c>
      <c r="L22" s="210">
        <v>56</v>
      </c>
      <c r="M22" s="211">
        <f>19787.02+2513.73+2255.05+12081.39+6786.96</f>
        <v>43424.15</v>
      </c>
      <c r="N22" s="97">
        <f>19787.02+2513.73+2255.05+12081.39+6786.96</f>
        <v>43424.15</v>
      </c>
      <c r="O22" s="93">
        <f t="shared" si="1"/>
        <v>0</v>
      </c>
      <c r="P22" s="123">
        <v>23</v>
      </c>
      <c r="Q22" s="124">
        <v>22</v>
      </c>
      <c r="R22" s="124">
        <v>21</v>
      </c>
      <c r="S22" s="97">
        <f>24103.23+3334.5</f>
        <v>27437.73</v>
      </c>
      <c r="T22" s="97">
        <f>24103.23+3334.5</f>
        <v>27437.73</v>
      </c>
      <c r="U22" s="97">
        <f t="shared" si="2"/>
        <v>0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16</v>
      </c>
      <c r="I23" s="75">
        <v>11</v>
      </c>
      <c r="J23" s="75">
        <v>16</v>
      </c>
      <c r="K23" s="209">
        <v>16</v>
      </c>
      <c r="L23" s="210">
        <v>14</v>
      </c>
      <c r="M23" s="211">
        <f>5739.04+1828.05+1440.72+631.62+564.05+641.19+793.15</f>
        <v>11637.82</v>
      </c>
      <c r="N23" s="97">
        <f>5739.04+1828.05+1440.72+631.62+564.05+641.19+793.15</f>
        <v>11637.82</v>
      </c>
      <c r="O23" s="93">
        <f t="shared" si="1"/>
        <v>0</v>
      </c>
      <c r="P23" s="123">
        <v>12</v>
      </c>
      <c r="Q23" s="194">
        <v>11</v>
      </c>
      <c r="R23" s="124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20</v>
      </c>
      <c r="I24" s="75">
        <v>15</v>
      </c>
      <c r="J24" s="75">
        <v>17</v>
      </c>
      <c r="K24" s="209">
        <v>15</v>
      </c>
      <c r="L24" s="210">
        <v>15</v>
      </c>
      <c r="M24" s="211">
        <f>1515.11+3525.12</f>
        <v>5040.2299999999996</v>
      </c>
      <c r="N24" s="97">
        <f>1515.11+3525.12</f>
        <v>5040.2299999999996</v>
      </c>
      <c r="O24" s="93">
        <f t="shared" si="1"/>
        <v>0</v>
      </c>
      <c r="P24" s="123">
        <v>7</v>
      </c>
      <c r="Q24" s="194">
        <v>7</v>
      </c>
      <c r="R24" s="124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33</v>
      </c>
      <c r="I25" s="75">
        <v>13</v>
      </c>
      <c r="J25" s="75">
        <v>32</v>
      </c>
      <c r="K25" s="210">
        <v>32</v>
      </c>
      <c r="L25" s="210">
        <v>29</v>
      </c>
      <c r="M25" s="211">
        <f>9005.69+15068.32+3714.72</f>
        <v>27788.730000000003</v>
      </c>
      <c r="N25" s="97">
        <f>9005.69+15068.32+3714.72</f>
        <v>27788.730000000003</v>
      </c>
      <c r="O25" s="93">
        <f t="shared" si="1"/>
        <v>0</v>
      </c>
      <c r="P25" s="123">
        <v>22</v>
      </c>
      <c r="Q25" s="124">
        <v>21</v>
      </c>
      <c r="R25" s="124">
        <v>21</v>
      </c>
      <c r="S25" s="97">
        <f>24213.05+6197.08+341.06</f>
        <v>30751.19</v>
      </c>
      <c r="T25" s="97">
        <f>24213.05+6197.08+341.06</f>
        <v>30751.19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75">
        <v>11</v>
      </c>
      <c r="J26" s="75">
        <v>18</v>
      </c>
      <c r="K26" s="209">
        <v>18</v>
      </c>
      <c r="L26" s="210">
        <v>18</v>
      </c>
      <c r="M26" s="211">
        <f>3777.1+6399.51+6251.64+358.88</f>
        <v>16787.13</v>
      </c>
      <c r="N26" s="97">
        <f>3777.1+6399.51+6251.64+358.88</f>
        <v>16787.13</v>
      </c>
      <c r="O26" s="93">
        <f t="shared" si="1"/>
        <v>0</v>
      </c>
      <c r="P26" s="123">
        <v>12</v>
      </c>
      <c r="Q26" s="194">
        <v>12</v>
      </c>
      <c r="R26" s="124">
        <v>12</v>
      </c>
      <c r="S26" s="97">
        <f>3386.7+2140.45</f>
        <v>5527.15</v>
      </c>
      <c r="T26" s="97">
        <f>3386.7+2140.45</f>
        <v>5527.15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29</v>
      </c>
      <c r="I27" s="75">
        <v>20</v>
      </c>
      <c r="J27" s="75">
        <v>36</v>
      </c>
      <c r="K27" s="209">
        <v>36</v>
      </c>
      <c r="L27" s="210">
        <v>28</v>
      </c>
      <c r="M27" s="211">
        <f>6801.73+4254.18+3948.81+757.9+1004.85+1005.5</f>
        <v>17772.969999999998</v>
      </c>
      <c r="N27" s="97">
        <f>6801.73+4254.18+3948.81+757.9+1004.85+1005.5</f>
        <v>17772.969999999998</v>
      </c>
      <c r="O27" s="93">
        <f t="shared" si="1"/>
        <v>0</v>
      </c>
      <c r="P27" s="123">
        <v>14</v>
      </c>
      <c r="Q27" s="194">
        <v>14</v>
      </c>
      <c r="R27" s="124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75"/>
      <c r="J28" s="75"/>
      <c r="K28" s="209"/>
      <c r="L28" s="210"/>
      <c r="M28" s="211"/>
      <c r="N28" s="97"/>
      <c r="O28" s="93">
        <f t="shared" si="1"/>
        <v>0</v>
      </c>
      <c r="P28" s="123"/>
      <c r="Q28" s="194"/>
      <c r="R28" s="124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24</v>
      </c>
      <c r="I29" s="75">
        <v>21</v>
      </c>
      <c r="J29" s="75">
        <v>31</v>
      </c>
      <c r="K29" s="209">
        <v>31</v>
      </c>
      <c r="L29" s="210">
        <v>27</v>
      </c>
      <c r="M29" s="211">
        <f>7765.28+1107.91+3282.4+1320.23+1580.98+622.05+447.4</f>
        <v>16126.249999999998</v>
      </c>
      <c r="N29" s="97">
        <f>7765.28+1107.91+3282.4+1320.23+1580.98+622.05+447.4</f>
        <v>16126.249999999998</v>
      </c>
      <c r="O29" s="93">
        <f t="shared" si="1"/>
        <v>0</v>
      </c>
      <c r="P29" s="123">
        <v>14</v>
      </c>
      <c r="Q29" s="194">
        <v>14</v>
      </c>
      <c r="R29" s="124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36</v>
      </c>
      <c r="I30" s="75">
        <v>29</v>
      </c>
      <c r="J30" s="75">
        <v>41</v>
      </c>
      <c r="K30" s="210">
        <v>41</v>
      </c>
      <c r="L30" s="210">
        <v>35</v>
      </c>
      <c r="M30" s="211">
        <f>5246.17+4965.96+1939.12+3762.43+2342.38+4011.61</f>
        <v>22267.670000000002</v>
      </c>
      <c r="N30" s="97">
        <f>5246.17+4965.96+1939.12+3762.43+2342.38+4011.61</f>
        <v>22267.670000000002</v>
      </c>
      <c r="O30" s="93">
        <f t="shared" si="1"/>
        <v>0</v>
      </c>
      <c r="P30" s="123">
        <v>23</v>
      </c>
      <c r="Q30" s="124">
        <v>23</v>
      </c>
      <c r="R30" s="124">
        <v>23</v>
      </c>
      <c r="S30" s="97">
        <f>39414.6+4786.67+1562.33+638.43+2216.93+1293.2</f>
        <v>49912.159999999996</v>
      </c>
      <c r="T30" s="97">
        <f>39414.6+4786.67+1562.33+638.43+2216.93+1293.2</f>
        <v>49912.159999999996</v>
      </c>
      <c r="U30" s="97">
        <f t="shared" si="2"/>
        <v>0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75">
        <v>1</v>
      </c>
      <c r="J31" s="75">
        <v>2</v>
      </c>
      <c r="K31" s="209">
        <v>2</v>
      </c>
      <c r="L31" s="210">
        <v>2</v>
      </c>
      <c r="M31" s="211">
        <v>859.25</v>
      </c>
      <c r="N31" s="97">
        <v>859.25</v>
      </c>
      <c r="O31" s="93">
        <f t="shared" si="1"/>
        <v>0</v>
      </c>
      <c r="P31" s="123">
        <v>2</v>
      </c>
      <c r="Q31" s="194">
        <v>2</v>
      </c>
      <c r="R31" s="124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75"/>
      <c r="J32" s="75"/>
      <c r="K32" s="209"/>
      <c r="L32" s="210"/>
      <c r="M32" s="211"/>
      <c r="N32" s="97"/>
      <c r="O32" s="93">
        <f t="shared" si="1"/>
        <v>0</v>
      </c>
      <c r="P32" s="123"/>
      <c r="Q32" s="194"/>
      <c r="R32" s="124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13</v>
      </c>
      <c r="I33" s="75">
        <v>9</v>
      </c>
      <c r="J33" s="75">
        <v>11</v>
      </c>
      <c r="K33" s="209">
        <v>11</v>
      </c>
      <c r="L33" s="210">
        <v>11</v>
      </c>
      <c r="M33" s="211">
        <f>4065+2226.4+2915.4+290</f>
        <v>9496.7999999999993</v>
      </c>
      <c r="N33" s="97">
        <f>4065+2226.4+2915.4</f>
        <v>9206.7999999999993</v>
      </c>
      <c r="O33" s="93">
        <f t="shared" si="1"/>
        <v>290</v>
      </c>
      <c r="P33" s="123"/>
      <c r="Q33" s="194"/>
      <c r="R33" s="124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75">
        <v>14</v>
      </c>
      <c r="J34" s="75">
        <v>22</v>
      </c>
      <c r="K34" s="209">
        <v>22</v>
      </c>
      <c r="L34" s="210">
        <v>22</v>
      </c>
      <c r="M34" s="211">
        <f>8742.16+2424.59+5870.23</f>
        <v>17036.98</v>
      </c>
      <c r="N34" s="97">
        <f>8742.16+2424.59+5870.23</f>
        <v>17036.98</v>
      </c>
      <c r="O34" s="93">
        <f t="shared" si="1"/>
        <v>0</v>
      </c>
      <c r="P34" s="123">
        <v>2</v>
      </c>
      <c r="Q34" s="194">
        <v>2</v>
      </c>
      <c r="R34" s="124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12</v>
      </c>
      <c r="I35" s="75">
        <v>6</v>
      </c>
      <c r="J35" s="75">
        <v>12</v>
      </c>
      <c r="K35" s="209">
        <v>12</v>
      </c>
      <c r="L35" s="210">
        <v>12</v>
      </c>
      <c r="M35" s="211">
        <f>8755.24+1744.06</f>
        <v>10499.3</v>
      </c>
      <c r="N35" s="97">
        <f>8755.24+1744.06</f>
        <v>10499.3</v>
      </c>
      <c r="O35" s="93">
        <f t="shared" si="1"/>
        <v>0</v>
      </c>
      <c r="P35" s="123">
        <v>10</v>
      </c>
      <c r="Q35" s="194">
        <v>10</v>
      </c>
      <c r="R35" s="124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22</v>
      </c>
      <c r="I36" s="75">
        <v>13</v>
      </c>
      <c r="J36" s="75">
        <v>15</v>
      </c>
      <c r="K36" s="209">
        <v>15</v>
      </c>
      <c r="L36" s="210">
        <v>15</v>
      </c>
      <c r="M36" s="211">
        <f>2360+2665.25+2800.06+3488.89</f>
        <v>11314.199999999999</v>
      </c>
      <c r="N36" s="97">
        <f>2360+2665.25</f>
        <v>5025.25</v>
      </c>
      <c r="O36" s="93">
        <f t="shared" si="1"/>
        <v>6288.9499999999989</v>
      </c>
      <c r="P36" s="123">
        <v>6</v>
      </c>
      <c r="Q36" s="194">
        <v>6</v>
      </c>
      <c r="R36" s="124">
        <v>6</v>
      </c>
      <c r="S36" s="97">
        <f>1436.08+3433.93+5939.33+1723.52</f>
        <v>12532.86</v>
      </c>
      <c r="T36" s="97">
        <f>1436.08+3433.93+5939.33</f>
        <v>10809.34</v>
      </c>
      <c r="U36" s="97">
        <f t="shared" si="2"/>
        <v>1723.5200000000004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18</v>
      </c>
      <c r="I37" s="75">
        <v>12</v>
      </c>
      <c r="J37" s="75">
        <v>16</v>
      </c>
      <c r="K37" s="209">
        <v>16</v>
      </c>
      <c r="L37" s="210">
        <v>13</v>
      </c>
      <c r="M37" s="211">
        <f>4126.56+990.2+862.75+145+358.88+1424.06</f>
        <v>7907.4500000000007</v>
      </c>
      <c r="N37" s="97">
        <f>4126.56+990.2+862.75+145+358.88+1424.06</f>
        <v>7907.4500000000007</v>
      </c>
      <c r="O37" s="93">
        <f t="shared" si="1"/>
        <v>0</v>
      </c>
      <c r="P37" s="123">
        <v>2</v>
      </c>
      <c r="Q37" s="194">
        <v>2</v>
      </c>
      <c r="R37" s="124">
        <v>2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75</v>
      </c>
      <c r="I38" s="75">
        <v>36</v>
      </c>
      <c r="J38" s="75">
        <v>51</v>
      </c>
      <c r="K38" s="209">
        <v>51</v>
      </c>
      <c r="L38" s="210">
        <v>51</v>
      </c>
      <c r="M38" s="211">
        <f>18043.85+1739.74+12219.36+4084.73+2867.69+2388.56+1377.5+2533.95</f>
        <v>45255.38</v>
      </c>
      <c r="N38" s="97">
        <f>18043.85+1739.74+12219.36+4084.73+2867.69+2388.56+1377.5+2533.95</f>
        <v>45255.38</v>
      </c>
      <c r="O38" s="93">
        <f t="shared" si="1"/>
        <v>0</v>
      </c>
      <c r="P38" s="123">
        <v>20</v>
      </c>
      <c r="Q38" s="194">
        <v>20</v>
      </c>
      <c r="R38" s="124">
        <v>20</v>
      </c>
      <c r="S38" s="97">
        <f>22326.77+417.74+1031.26</f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28</v>
      </c>
      <c r="I39" s="75">
        <v>14</v>
      </c>
      <c r="J39" s="75">
        <v>18</v>
      </c>
      <c r="K39" s="209">
        <v>16</v>
      </c>
      <c r="L39" s="210">
        <v>15</v>
      </c>
      <c r="M39" s="211">
        <f>4309.67+3353.38+84.05+2832.72+349.74+868</f>
        <v>11797.56</v>
      </c>
      <c r="N39" s="97">
        <f>4309.67+3353.38+84.05+2832.72+349.74+868</f>
        <v>11797.56</v>
      </c>
      <c r="O39" s="93">
        <f t="shared" si="1"/>
        <v>0</v>
      </c>
      <c r="P39" s="123">
        <v>3</v>
      </c>
      <c r="Q39" s="194">
        <v>3</v>
      </c>
      <c r="R39" s="124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9</v>
      </c>
      <c r="I40" s="75">
        <v>5</v>
      </c>
      <c r="J40" s="75">
        <v>5</v>
      </c>
      <c r="K40" s="209">
        <v>5</v>
      </c>
      <c r="L40" s="210">
        <v>5</v>
      </c>
      <c r="M40" s="211">
        <v>5430.01</v>
      </c>
      <c r="N40" s="97">
        <v>5430.01</v>
      </c>
      <c r="O40" s="93">
        <f t="shared" si="1"/>
        <v>0</v>
      </c>
      <c r="P40" s="123">
        <v>3</v>
      </c>
      <c r="Q40" s="194">
        <v>3</v>
      </c>
      <c r="R40" s="124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19</v>
      </c>
      <c r="I41" s="75">
        <v>17</v>
      </c>
      <c r="J41" s="75">
        <v>19</v>
      </c>
      <c r="K41" s="209">
        <v>11</v>
      </c>
      <c r="L41" s="210">
        <v>11</v>
      </c>
      <c r="M41" s="211">
        <f>4892.78+1033.5+545.69+1551.08</f>
        <v>8023.0499999999993</v>
      </c>
      <c r="N41" s="97">
        <f>4892.78+1033.5+545.69+1551.08</f>
        <v>8023.0499999999993</v>
      </c>
      <c r="O41" s="93">
        <f t="shared" si="1"/>
        <v>0</v>
      </c>
      <c r="P41" s="123">
        <v>4</v>
      </c>
      <c r="Q41" s="194">
        <v>4</v>
      </c>
      <c r="R41" s="124">
        <v>4</v>
      </c>
      <c r="S41" s="97">
        <f>1842.88+373.68</f>
        <v>2216.56</v>
      </c>
      <c r="T41" s="97">
        <f>1842.88+373.68</f>
        <v>2216.56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14</v>
      </c>
      <c r="I42" s="75">
        <v>7</v>
      </c>
      <c r="J42" s="75">
        <v>11</v>
      </c>
      <c r="K42" s="209">
        <v>11</v>
      </c>
      <c r="L42" s="210">
        <v>9</v>
      </c>
      <c r="M42" s="211">
        <f>5095.29+1605.75+430.65</f>
        <v>7131.69</v>
      </c>
      <c r="N42" s="97">
        <f>5095.29+1605.75+430.65</f>
        <v>7131.69</v>
      </c>
      <c r="O42" s="93">
        <f t="shared" si="1"/>
        <v>0</v>
      </c>
      <c r="P42" s="123">
        <v>5</v>
      </c>
      <c r="Q42" s="194">
        <v>5</v>
      </c>
      <c r="R42" s="124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21</v>
      </c>
      <c r="I43" s="75">
        <v>10</v>
      </c>
      <c r="J43" s="75">
        <v>15</v>
      </c>
      <c r="K43" s="209">
        <v>15</v>
      </c>
      <c r="L43" s="210">
        <v>11</v>
      </c>
      <c r="M43" s="211">
        <f>1949.94+11241.95+1670.56+979+622.78+145+551.2</f>
        <v>17160.43</v>
      </c>
      <c r="N43" s="97">
        <f>1949.94+11241.95+1670.56+979+622.78+145+551.2</f>
        <v>17160.43</v>
      </c>
      <c r="O43" s="93">
        <f t="shared" si="1"/>
        <v>0</v>
      </c>
      <c r="P43" s="123">
        <v>6</v>
      </c>
      <c r="Q43" s="194">
        <v>7</v>
      </c>
      <c r="R43" s="124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11</v>
      </c>
      <c r="I44" s="75">
        <v>6</v>
      </c>
      <c r="J44" s="75">
        <v>13</v>
      </c>
      <c r="K44" s="209">
        <v>13</v>
      </c>
      <c r="L44" s="210">
        <v>13</v>
      </c>
      <c r="M44" s="211">
        <f>9600.95+145+2182.75+7980.88+580+287.1</f>
        <v>20776.68</v>
      </c>
      <c r="N44" s="97">
        <f>9600.95+145+2182.75+7980.88+580+287.1</f>
        <v>20776.68</v>
      </c>
      <c r="O44" s="93">
        <f t="shared" si="1"/>
        <v>0</v>
      </c>
      <c r="P44" s="123">
        <v>8</v>
      </c>
      <c r="Q44" s="194">
        <v>8</v>
      </c>
      <c r="R44" s="124">
        <v>8</v>
      </c>
      <c r="S44" s="97">
        <f>3997.92+850.65+4367.7+2262.73+189.48</f>
        <v>11668.48</v>
      </c>
      <c r="T44" s="97">
        <f>3997.92+850.65+4367.7+2262.73+189.48</f>
        <v>11668.48</v>
      </c>
      <c r="U44" s="97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75"/>
      <c r="J45" s="75"/>
      <c r="K45" s="209"/>
      <c r="L45" s="210"/>
      <c r="M45" s="211"/>
      <c r="N45" s="97"/>
      <c r="O45" s="93">
        <f t="shared" si="1"/>
        <v>0</v>
      </c>
      <c r="P45" s="123"/>
      <c r="Q45" s="194"/>
      <c r="R45" s="124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15</v>
      </c>
      <c r="I46" s="75">
        <v>11</v>
      </c>
      <c r="J46" s="75">
        <v>12</v>
      </c>
      <c r="K46" s="209">
        <v>12</v>
      </c>
      <c r="L46" s="210">
        <v>12</v>
      </c>
      <c r="M46" s="211">
        <f>1290.6+2343.84+935.25</f>
        <v>4569.6900000000005</v>
      </c>
      <c r="N46" s="97">
        <f>1290.6+2343.84+935.25</f>
        <v>4569.6900000000005</v>
      </c>
      <c r="O46" s="93">
        <f t="shared" si="1"/>
        <v>0</v>
      </c>
      <c r="P46" s="123">
        <v>2</v>
      </c>
      <c r="Q46" s="194">
        <v>2</v>
      </c>
      <c r="R46" s="124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38</v>
      </c>
      <c r="I47" s="75">
        <v>23</v>
      </c>
      <c r="J47" s="75">
        <v>32</v>
      </c>
      <c r="K47" s="209">
        <v>32</v>
      </c>
      <c r="L47" s="210">
        <v>29</v>
      </c>
      <c r="M47" s="211">
        <f>9335.56+3507.6+826.8+2284.16+1015</f>
        <v>16969.12</v>
      </c>
      <c r="N47" s="97">
        <f>9335.56+3507.6+826.8+2284.16+1015</f>
        <v>16969.12</v>
      </c>
      <c r="O47" s="93">
        <f t="shared" si="1"/>
        <v>0</v>
      </c>
      <c r="P47" s="123">
        <v>2</v>
      </c>
      <c r="Q47" s="194">
        <v>2</v>
      </c>
      <c r="R47" s="124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16</v>
      </c>
      <c r="I48" s="75">
        <v>6</v>
      </c>
      <c r="J48" s="75">
        <v>9</v>
      </c>
      <c r="K48" s="209">
        <v>9</v>
      </c>
      <c r="L48" s="210">
        <v>9</v>
      </c>
      <c r="M48" s="211">
        <f>8890.84+1828.05+435</f>
        <v>11153.89</v>
      </c>
      <c r="N48" s="97">
        <f>8890.84+1828.05+435</f>
        <v>11153.89</v>
      </c>
      <c r="O48" s="93">
        <f t="shared" si="1"/>
        <v>0</v>
      </c>
      <c r="P48" s="123">
        <v>3</v>
      </c>
      <c r="Q48" s="194">
        <v>3</v>
      </c>
      <c r="R48" s="124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18</v>
      </c>
      <c r="I49" s="75">
        <v>10</v>
      </c>
      <c r="J49" s="75">
        <v>13</v>
      </c>
      <c r="K49" s="209">
        <v>13</v>
      </c>
      <c r="L49" s="210">
        <v>11</v>
      </c>
      <c r="M49" s="211">
        <f>1831.71+137.8+1816.78+290</f>
        <v>4076.29</v>
      </c>
      <c r="N49" s="97">
        <f>1831.71+137.8+1816.78+290</f>
        <v>4076.29</v>
      </c>
      <c r="O49" s="93">
        <f t="shared" si="1"/>
        <v>0</v>
      </c>
      <c r="P49" s="123">
        <v>9</v>
      </c>
      <c r="Q49" s="194">
        <v>9</v>
      </c>
      <c r="R49" s="124">
        <v>9</v>
      </c>
      <c r="S49" s="97">
        <f>8296.23+1378+5368</f>
        <v>15042.23</v>
      </c>
      <c r="T49" s="97">
        <f>8296.23+1378+5368</f>
        <v>15042.23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21</v>
      </c>
      <c r="I50" s="75">
        <v>17</v>
      </c>
      <c r="J50" s="75">
        <v>19</v>
      </c>
      <c r="K50" s="209">
        <v>19</v>
      </c>
      <c r="L50" s="210">
        <v>16</v>
      </c>
      <c r="M50" s="211">
        <f>8308.92+786.44+453+302+1256.5</f>
        <v>11106.86</v>
      </c>
      <c r="N50" s="97">
        <f>8308.92+786.44+453+302+1256.5</f>
        <v>11106.86</v>
      </c>
      <c r="O50" s="93">
        <f t="shared" si="1"/>
        <v>0</v>
      </c>
      <c r="P50" s="123">
        <v>6</v>
      </c>
      <c r="Q50" s="194">
        <v>6</v>
      </c>
      <c r="R50" s="124">
        <v>6</v>
      </c>
      <c r="S50" s="97">
        <f>2457.28+1725.6+5017.9+1584.7</f>
        <v>10785.48</v>
      </c>
      <c r="T50" s="97">
        <f>2457.28+1725.6+5017.9+1584.7</f>
        <v>10785.48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24</v>
      </c>
      <c r="I51" s="75">
        <v>12</v>
      </c>
      <c r="J51" s="75">
        <v>14</v>
      </c>
      <c r="K51" s="209">
        <v>14</v>
      </c>
      <c r="L51" s="210">
        <v>14</v>
      </c>
      <c r="M51" s="211">
        <f>5580.75+571.11+696.2+574.2+408.03+1234.53+1446.9</f>
        <v>10511.72</v>
      </c>
      <c r="N51" s="97">
        <f>5580.75+571.11+696.2+574.2+408.03+1234.53+1446.9</f>
        <v>10511.72</v>
      </c>
      <c r="O51" s="93">
        <f t="shared" si="1"/>
        <v>0</v>
      </c>
      <c r="P51" s="123">
        <v>1</v>
      </c>
      <c r="Q51" s="194">
        <v>1</v>
      </c>
      <c r="R51" s="124">
        <v>1</v>
      </c>
      <c r="S51" s="97">
        <f>728.15</f>
        <v>728.15</v>
      </c>
      <c r="T51" s="97"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19</v>
      </c>
      <c r="I52" s="75">
        <v>11</v>
      </c>
      <c r="J52" s="75">
        <v>14</v>
      </c>
      <c r="K52" s="209">
        <v>14</v>
      </c>
      <c r="L52" s="210">
        <v>13</v>
      </c>
      <c r="M52" s="211">
        <f>3782.6+430.65+1221.61+2194.55</f>
        <v>7629.41</v>
      </c>
      <c r="N52" s="97">
        <f>3782.6+430.65+1221.61+2194.55</f>
        <v>7629.41</v>
      </c>
      <c r="O52" s="93">
        <f t="shared" si="1"/>
        <v>0</v>
      </c>
      <c r="P52" s="123">
        <v>9</v>
      </c>
      <c r="Q52" s="194">
        <v>9</v>
      </c>
      <c r="R52" s="124">
        <v>9</v>
      </c>
      <c r="S52" s="97">
        <f>1535.39+1035.3+828.82+12756.45</f>
        <v>16155.960000000001</v>
      </c>
      <c r="T52" s="97">
        <f>1535.39+1035.3+828.82+12756.45</f>
        <v>16155.960000000001</v>
      </c>
      <c r="U52" s="97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8</v>
      </c>
      <c r="I53" s="75">
        <v>3</v>
      </c>
      <c r="J53" s="75">
        <v>3</v>
      </c>
      <c r="K53" s="209">
        <v>3</v>
      </c>
      <c r="L53" s="210">
        <v>3</v>
      </c>
      <c r="M53" s="211">
        <f>1102.4+328.37</f>
        <v>1430.77</v>
      </c>
      <c r="N53" s="97">
        <f>1102.4+328.37</f>
        <v>1430.77</v>
      </c>
      <c r="O53" s="93">
        <f t="shared" si="1"/>
        <v>0</v>
      </c>
      <c r="P53" s="123">
        <v>2</v>
      </c>
      <c r="Q53" s="194">
        <v>2</v>
      </c>
      <c r="R53" s="124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101</v>
      </c>
      <c r="I54" s="75">
        <v>74</v>
      </c>
      <c r="J54" s="75">
        <v>89</v>
      </c>
      <c r="K54" s="209">
        <v>89</v>
      </c>
      <c r="L54" s="210">
        <v>77</v>
      </c>
      <c r="M54" s="211">
        <f>12031.27+4728.85+7137.01+1218+507+4175.93+5308.12</f>
        <v>35106.180000000008</v>
      </c>
      <c r="N54" s="97">
        <f>12031.27+4728.85+7137.01+1218+507+4175.93+5308.12</f>
        <v>35106.180000000008</v>
      </c>
      <c r="O54" s="93">
        <f t="shared" si="1"/>
        <v>0</v>
      </c>
      <c r="P54" s="123">
        <v>17</v>
      </c>
      <c r="Q54" s="194">
        <v>17</v>
      </c>
      <c r="R54" s="124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7</v>
      </c>
      <c r="I55" s="75">
        <v>3</v>
      </c>
      <c r="J55" s="75">
        <v>3</v>
      </c>
      <c r="K55" s="209">
        <v>4</v>
      </c>
      <c r="L55" s="210">
        <v>3</v>
      </c>
      <c r="M55" s="211">
        <f>5677.4+870</f>
        <v>6547.4</v>
      </c>
      <c r="N55" s="97">
        <f>5677.4+870</f>
        <v>6547.4</v>
      </c>
      <c r="O55" s="93">
        <f t="shared" si="1"/>
        <v>0</v>
      </c>
      <c r="P55" s="123">
        <v>3</v>
      </c>
      <c r="Q55" s="194">
        <v>3</v>
      </c>
      <c r="R55" s="124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60</v>
      </c>
      <c r="I56" s="75">
        <v>37</v>
      </c>
      <c r="J56" s="75">
        <v>55</v>
      </c>
      <c r="K56" s="209">
        <v>55</v>
      </c>
      <c r="L56" s="210">
        <v>51</v>
      </c>
      <c r="M56" s="211">
        <f>13145.7+14183.3+726.22+3195.47+5181.98+1425.26+6804.83+1811+6356.42</f>
        <v>52830.18</v>
      </c>
      <c r="N56" s="97">
        <f>13145.7+14183.3+726.22+3195.47+5181.98+1425.26+6804.83+1811+6356.42</f>
        <v>52830.18</v>
      </c>
      <c r="O56" s="93">
        <f t="shared" si="1"/>
        <v>0</v>
      </c>
      <c r="P56" s="123">
        <v>35</v>
      </c>
      <c r="Q56" s="194">
        <v>35</v>
      </c>
      <c r="R56" s="124">
        <v>32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75">
        <v>4</v>
      </c>
      <c r="J57" s="75">
        <v>4</v>
      </c>
      <c r="K57" s="209">
        <v>3</v>
      </c>
      <c r="L57" s="210">
        <v>3</v>
      </c>
      <c r="M57" s="211">
        <v>1200.96</v>
      </c>
      <c r="N57" s="97">
        <v>1200.96</v>
      </c>
      <c r="O57" s="93">
        <f t="shared" si="1"/>
        <v>0</v>
      </c>
      <c r="P57" s="123"/>
      <c r="Q57" s="194"/>
      <c r="R57" s="124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75"/>
      <c r="J58" s="75"/>
      <c r="K58" s="209"/>
      <c r="L58" s="210"/>
      <c r="M58" s="211"/>
      <c r="N58" s="97"/>
      <c r="O58" s="93">
        <f t="shared" si="1"/>
        <v>0</v>
      </c>
      <c r="P58" s="123">
        <v>1</v>
      </c>
      <c r="Q58" s="194">
        <v>1</v>
      </c>
      <c r="R58" s="124">
        <v>1</v>
      </c>
      <c r="S58" s="97">
        <v>548.1</v>
      </c>
      <c r="T58" s="97"/>
      <c r="U58" s="97">
        <f t="shared" si="2"/>
        <v>548.1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75"/>
      <c r="J59" s="75"/>
      <c r="K59" s="209"/>
      <c r="L59" s="210"/>
      <c r="M59" s="211"/>
      <c r="N59" s="97"/>
      <c r="O59" s="93">
        <f t="shared" si="1"/>
        <v>0</v>
      </c>
      <c r="P59" s="123"/>
      <c r="Q59" s="194"/>
      <c r="R59" s="124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50</v>
      </c>
      <c r="I60" s="75">
        <v>30</v>
      </c>
      <c r="J60" s="75">
        <v>44</v>
      </c>
      <c r="K60" s="209">
        <v>41</v>
      </c>
      <c r="L60" s="210">
        <v>41</v>
      </c>
      <c r="M60" s="211">
        <f>19657.67+3859.57+3638.88+11285.84+2356.7+1870.22+2374.32</f>
        <v>45043.199999999997</v>
      </c>
      <c r="N60" s="97">
        <f>19657.67+3859.57+3638.88+11285.84+2356.7+1870.22+2374.32</f>
        <v>45043.199999999997</v>
      </c>
      <c r="O60" s="93">
        <f t="shared" si="1"/>
        <v>0</v>
      </c>
      <c r="P60" s="123">
        <v>6</v>
      </c>
      <c r="Q60" s="194">
        <v>6</v>
      </c>
      <c r="R60" s="124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23</v>
      </c>
      <c r="I61" s="75">
        <v>14</v>
      </c>
      <c r="J61" s="75">
        <v>21</v>
      </c>
      <c r="K61" s="209">
        <v>18</v>
      </c>
      <c r="L61" s="210">
        <v>18</v>
      </c>
      <c r="M61" s="211">
        <f>3986.21+989.8+3814.75+1492.92+2107.58+1990.86</f>
        <v>14382.12</v>
      </c>
      <c r="N61" s="97">
        <f>3986.21+989.8+3814.75+1492.92+2107.58+1990.86</f>
        <v>14382.12</v>
      </c>
      <c r="O61" s="93">
        <f t="shared" si="1"/>
        <v>0</v>
      </c>
      <c r="P61" s="123"/>
      <c r="Q61" s="194"/>
      <c r="R61" s="124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18</v>
      </c>
      <c r="I62" s="75">
        <v>11</v>
      </c>
      <c r="J62" s="75">
        <v>14</v>
      </c>
      <c r="K62" s="209">
        <v>14</v>
      </c>
      <c r="L62" s="210">
        <v>14</v>
      </c>
      <c r="M62" s="211">
        <f>1263.45+2111.32+5011.35+4260.64</f>
        <v>12646.760000000002</v>
      </c>
      <c r="N62" s="97">
        <f>1263.45+2111.32+5011.35+4260.64</f>
        <v>12646.760000000002</v>
      </c>
      <c r="O62" s="93">
        <f t="shared" si="1"/>
        <v>0</v>
      </c>
      <c r="P62" s="123">
        <v>7</v>
      </c>
      <c r="Q62" s="194">
        <v>7</v>
      </c>
      <c r="R62" s="124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75"/>
      <c r="J63" s="75"/>
      <c r="K63" s="209"/>
      <c r="L63" s="210"/>
      <c r="M63" s="211"/>
      <c r="N63" s="97"/>
      <c r="O63" s="93">
        <f t="shared" si="1"/>
        <v>0</v>
      </c>
      <c r="P63" s="123">
        <v>29</v>
      </c>
      <c r="Q63" s="194">
        <v>29</v>
      </c>
      <c r="R63" s="124">
        <v>29</v>
      </c>
      <c r="S63" s="97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</row>
    <row r="64" spans="1:40" ht="17.25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26</v>
      </c>
      <c r="I64" s="75">
        <v>15</v>
      </c>
      <c r="J64" s="75">
        <v>17</v>
      </c>
      <c r="K64" s="209">
        <v>16</v>
      </c>
      <c r="L64" s="210">
        <v>16</v>
      </c>
      <c r="M64" s="211">
        <f>6496.16+4335.01+2477.65+2687.1+609</f>
        <v>16604.919999999998</v>
      </c>
      <c r="N64" s="97">
        <f>6496.16+4335.01+2477.65</f>
        <v>13308.82</v>
      </c>
      <c r="O64" s="93">
        <f t="shared" si="1"/>
        <v>3296.0999999999985</v>
      </c>
      <c r="P64" s="123">
        <v>12</v>
      </c>
      <c r="Q64" s="194">
        <v>12</v>
      </c>
      <c r="R64" s="124">
        <v>12</v>
      </c>
      <c r="S64" s="97">
        <f>6866.56+548.1</f>
        <v>7414.6600000000008</v>
      </c>
      <c r="T64" s="97">
        <v>6866.56</v>
      </c>
      <c r="U64" s="97">
        <f t="shared" si="2"/>
        <v>548.10000000000036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54</v>
      </c>
      <c r="I65" s="75">
        <v>40</v>
      </c>
      <c r="J65" s="75">
        <v>50</v>
      </c>
      <c r="K65" s="209">
        <v>47</v>
      </c>
      <c r="L65" s="210">
        <v>45</v>
      </c>
      <c r="M65" s="211">
        <f>21561.61+5719.7+1305+4149.27+2397.37+5906.18+1251.03+829.55+4633.7</f>
        <v>47753.41</v>
      </c>
      <c r="N65" s="97">
        <f>21561.61+5719.7+1305+4149.27</f>
        <v>32735.58</v>
      </c>
      <c r="O65" s="93">
        <f t="shared" si="1"/>
        <v>15017.830000000002</v>
      </c>
      <c r="P65" s="123">
        <v>11</v>
      </c>
      <c r="Q65" s="194">
        <v>11</v>
      </c>
      <c r="R65" s="124">
        <v>11</v>
      </c>
      <c r="S65" s="97">
        <f>7456.7+19131.63</f>
        <v>26588.33</v>
      </c>
      <c r="T65" s="97">
        <v>7456.7</v>
      </c>
      <c r="U65" s="97">
        <f t="shared" si="2"/>
        <v>19131.63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75">
        <v>2</v>
      </c>
      <c r="J66" s="75">
        <v>3</v>
      </c>
      <c r="K66" s="209">
        <v>3</v>
      </c>
      <c r="L66" s="210">
        <v>3</v>
      </c>
      <c r="M66" s="211">
        <f>463.83+1653.6</f>
        <v>2117.4299999999998</v>
      </c>
      <c r="N66" s="97">
        <f>463.83+1653.6</f>
        <v>2117.4299999999998</v>
      </c>
      <c r="O66" s="93">
        <f t="shared" si="1"/>
        <v>0</v>
      </c>
      <c r="P66" s="123">
        <v>4</v>
      </c>
      <c r="Q66" s="194">
        <v>4</v>
      </c>
      <c r="R66" s="124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55</v>
      </c>
      <c r="I67" s="75">
        <v>45</v>
      </c>
      <c r="J67" s="75">
        <v>55</v>
      </c>
      <c r="K67" s="209">
        <v>55</v>
      </c>
      <c r="L67" s="210">
        <v>46</v>
      </c>
      <c r="M67" s="211">
        <f>19710.93+7009.96+ 8900.54+165.98+1497.55+1081.95+652.5+834</f>
        <v>39853.410000000003</v>
      </c>
      <c r="N67" s="97">
        <f>19710.93+7009.96+ 8900.54+165.98+1497.55+1081.95+652.5+834</f>
        <v>39853.410000000003</v>
      </c>
      <c r="O67" s="93">
        <f t="shared" si="1"/>
        <v>0</v>
      </c>
      <c r="P67" s="123">
        <v>11</v>
      </c>
      <c r="Q67" s="194">
        <v>11</v>
      </c>
      <c r="R67" s="124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36</v>
      </c>
      <c r="I68" s="75">
        <v>29</v>
      </c>
      <c r="J68" s="75">
        <v>49</v>
      </c>
      <c r="K68" s="209">
        <v>49</v>
      </c>
      <c r="L68" s="210">
        <v>45</v>
      </c>
      <c r="M68" s="211">
        <f>18750.75+2683.13</f>
        <v>21433.88</v>
      </c>
      <c r="N68" s="97">
        <f>18750.75</f>
        <v>18750.75</v>
      </c>
      <c r="O68" s="93">
        <f t="shared" si="1"/>
        <v>2683.130000000001</v>
      </c>
      <c r="P68" s="123">
        <v>11</v>
      </c>
      <c r="Q68" s="194">
        <v>11</v>
      </c>
      <c r="R68" s="124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9</v>
      </c>
      <c r="I69" s="75">
        <v>5</v>
      </c>
      <c r="J69" s="75">
        <v>5</v>
      </c>
      <c r="K69" s="209">
        <v>5</v>
      </c>
      <c r="L69" s="210">
        <v>5</v>
      </c>
      <c r="M69" s="211">
        <f>2756+1240.2+1305</f>
        <v>5301.2</v>
      </c>
      <c r="N69" s="97">
        <f>2756+1240.2+1305</f>
        <v>5301.2</v>
      </c>
      <c r="O69" s="93">
        <f t="shared" si="1"/>
        <v>0</v>
      </c>
      <c r="P69" s="123"/>
      <c r="Q69" s="194"/>
      <c r="R69" s="124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13</v>
      </c>
      <c r="I70" s="75">
        <v>7</v>
      </c>
      <c r="J70" s="75">
        <v>8</v>
      </c>
      <c r="K70" s="209">
        <v>8</v>
      </c>
      <c r="L70" s="210">
        <v>8</v>
      </c>
      <c r="M70" s="211">
        <f>2039.44+3242.32+2027.39+3567+822.15</f>
        <v>11698.300000000001</v>
      </c>
      <c r="N70" s="97">
        <f>2039.44+3242.32+2027.39</f>
        <v>7309.1500000000005</v>
      </c>
      <c r="O70" s="93">
        <f t="shared" si="1"/>
        <v>4389.1500000000005</v>
      </c>
      <c r="P70" s="123">
        <v>6</v>
      </c>
      <c r="Q70" s="194">
        <v>6</v>
      </c>
      <c r="R70" s="124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24</v>
      </c>
      <c r="I71" s="75">
        <v>16</v>
      </c>
      <c r="J71" s="75">
        <v>20</v>
      </c>
      <c r="K71" s="209">
        <v>15</v>
      </c>
      <c r="L71" s="210">
        <v>15</v>
      </c>
      <c r="M71" s="211">
        <f>2383.53+3781.9+7505.17+507+5161.87+1335.02</f>
        <v>20674.490000000002</v>
      </c>
      <c r="N71" s="97">
        <f>2383.53+3781.9</f>
        <v>6165.43</v>
      </c>
      <c r="O71" s="93">
        <f t="shared" si="1"/>
        <v>14509.060000000001</v>
      </c>
      <c r="P71" s="123">
        <v>24</v>
      </c>
      <c r="Q71" s="194">
        <v>24</v>
      </c>
      <c r="R71" s="124">
        <v>24</v>
      </c>
      <c r="S71" s="97">
        <f>52337.46+18000.02+1926.09</f>
        <v>72263.569999999992</v>
      </c>
      <c r="T71" s="97">
        <v>52337.46</v>
      </c>
      <c r="U71" s="97">
        <f t="shared" si="2"/>
        <v>19926.109999999993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16</v>
      </c>
      <c r="I72" s="75">
        <v>7</v>
      </c>
      <c r="J72" s="75">
        <v>9</v>
      </c>
      <c r="K72" s="209">
        <v>9</v>
      </c>
      <c r="L72" s="210">
        <v>7</v>
      </c>
      <c r="M72" s="211">
        <f>4703.53+544.32+1960.26</f>
        <v>7208.11</v>
      </c>
      <c r="N72" s="97">
        <v>4703.53</v>
      </c>
      <c r="O72" s="93">
        <f t="shared" si="1"/>
        <v>2504.58</v>
      </c>
      <c r="P72" s="123">
        <v>7</v>
      </c>
      <c r="Q72" s="194">
        <v>7</v>
      </c>
      <c r="R72" s="124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34</v>
      </c>
      <c r="I73" s="75">
        <v>25</v>
      </c>
      <c r="J73" s="75">
        <v>25</v>
      </c>
      <c r="K73" s="209">
        <v>25</v>
      </c>
      <c r="L73" s="210">
        <v>25</v>
      </c>
      <c r="M73" s="211">
        <f>2095.52+746.9+4941.1+3310.3+2104.91</f>
        <v>13198.73</v>
      </c>
      <c r="N73" s="97">
        <f>2095.52+746.9</f>
        <v>2842.42</v>
      </c>
      <c r="O73" s="93">
        <f t="shared" si="1"/>
        <v>10356.31</v>
      </c>
      <c r="P73" s="123">
        <v>7</v>
      </c>
      <c r="Q73" s="194">
        <v>7</v>
      </c>
      <c r="R73" s="124">
        <v>7</v>
      </c>
      <c r="S73" s="97">
        <f>1821.06+4580.19+1240.2</f>
        <v>7641.45</v>
      </c>
      <c r="T73" s="97">
        <f>1821.06+4580.19</f>
        <v>6401.25</v>
      </c>
      <c r="U73" s="97">
        <f t="shared" si="2"/>
        <v>1240.1999999999998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75"/>
      <c r="J74" s="75"/>
      <c r="K74" s="209"/>
      <c r="L74" s="210"/>
      <c r="M74" s="211"/>
      <c r="N74" s="97"/>
      <c r="O74" s="93">
        <f t="shared" si="1"/>
        <v>0</v>
      </c>
      <c r="P74" s="123">
        <v>1</v>
      </c>
      <c r="Q74" s="194">
        <v>1</v>
      </c>
      <c r="R74" s="124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11</v>
      </c>
      <c r="I75" s="75">
        <v>5</v>
      </c>
      <c r="J75" s="75">
        <v>6</v>
      </c>
      <c r="K75" s="209">
        <v>6</v>
      </c>
      <c r="L75" s="210">
        <v>6</v>
      </c>
      <c r="M75" s="211">
        <f>275.6+741.36+14287.26</f>
        <v>15304.220000000001</v>
      </c>
      <c r="N75" s="97">
        <f>275.6+741.36+14287.26</f>
        <v>15304.220000000001</v>
      </c>
      <c r="O75" s="93">
        <f t="shared" ref="O75:O104" si="4" xml:space="preserve"> (M75-N75)</f>
        <v>0</v>
      </c>
      <c r="P75" s="123">
        <v>3</v>
      </c>
      <c r="Q75" s="194">
        <v>3</v>
      </c>
      <c r="R75" s="124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31</v>
      </c>
      <c r="I76" s="75">
        <v>23</v>
      </c>
      <c r="J76" s="75">
        <v>31</v>
      </c>
      <c r="K76" s="209">
        <v>31</v>
      </c>
      <c r="L76" s="210">
        <v>31</v>
      </c>
      <c r="M76" s="211">
        <f>11803.63+1320.23+3132.15+12104.63+822.42+4875.99</f>
        <v>34059.049999999996</v>
      </c>
      <c r="N76" s="97">
        <f>11803.63+1320.23+3132.15+12927.05</f>
        <v>29183.059999999998</v>
      </c>
      <c r="O76" s="93">
        <f t="shared" si="4"/>
        <v>4875.989999999998</v>
      </c>
      <c r="P76" s="123">
        <v>5</v>
      </c>
      <c r="Q76" s="194">
        <v>5</v>
      </c>
      <c r="R76" s="124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23</v>
      </c>
      <c r="I77" s="75">
        <v>12</v>
      </c>
      <c r="J77" s="75">
        <v>16</v>
      </c>
      <c r="K77" s="209">
        <v>16</v>
      </c>
      <c r="L77" s="210">
        <v>14</v>
      </c>
      <c r="M77" s="211">
        <f>4234.67+4498.63+1766.87+2083.87+1368.44</f>
        <v>13952.479999999998</v>
      </c>
      <c r="N77" s="97">
        <f>4234.67+4498.63</f>
        <v>8733.2999999999993</v>
      </c>
      <c r="O77" s="93">
        <f t="shared" si="4"/>
        <v>5219.1799999999985</v>
      </c>
      <c r="P77" s="123"/>
      <c r="Q77" s="194"/>
      <c r="R77" s="124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75"/>
      <c r="J78" s="75"/>
      <c r="K78" s="209"/>
      <c r="L78" s="210"/>
      <c r="M78" s="211"/>
      <c r="N78" s="97"/>
      <c r="O78" s="93">
        <f t="shared" si="4"/>
        <v>0</v>
      </c>
      <c r="P78" s="123">
        <v>8</v>
      </c>
      <c r="Q78" s="194">
        <v>8</v>
      </c>
      <c r="R78" s="124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21</v>
      </c>
      <c r="I79" s="75">
        <v>15</v>
      </c>
      <c r="J79" s="75">
        <v>21</v>
      </c>
      <c r="K79" s="209">
        <v>21</v>
      </c>
      <c r="L79" s="210">
        <v>21</v>
      </c>
      <c r="M79" s="211">
        <f>8913.81+7027.61+1244.33+15395.91+4278.3</f>
        <v>36859.96</v>
      </c>
      <c r="N79" s="97">
        <f>8913.81+7027.61+1244.33+15395.91</f>
        <v>32581.66</v>
      </c>
      <c r="O79" s="93">
        <f t="shared" si="4"/>
        <v>4278.2999999999993</v>
      </c>
      <c r="P79" s="123">
        <v>4</v>
      </c>
      <c r="Q79" s="194">
        <v>4</v>
      </c>
      <c r="R79" s="124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18</v>
      </c>
      <c r="I80" s="75">
        <v>14</v>
      </c>
      <c r="J80" s="75">
        <v>21</v>
      </c>
      <c r="K80" s="209">
        <v>21</v>
      </c>
      <c r="L80" s="210">
        <v>20</v>
      </c>
      <c r="M80" s="211">
        <f>14959.64+7384.39+14758.51+362.5</f>
        <v>37465.040000000001</v>
      </c>
      <c r="N80" s="97">
        <f>14959.64+7384.39+14758.51</f>
        <v>37102.54</v>
      </c>
      <c r="O80" s="93">
        <f t="shared" si="4"/>
        <v>362.5</v>
      </c>
      <c r="P80" s="123">
        <v>10</v>
      </c>
      <c r="Q80" s="194">
        <v>10</v>
      </c>
      <c r="R80" s="124">
        <v>9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75">
        <v>2</v>
      </c>
      <c r="J81" s="75">
        <v>4</v>
      </c>
      <c r="K81" s="209"/>
      <c r="L81" s="210"/>
      <c r="M81" s="211"/>
      <c r="N81" s="97"/>
      <c r="O81" s="93">
        <f t="shared" si="4"/>
        <v>0</v>
      </c>
      <c r="P81" s="123">
        <v>1</v>
      </c>
      <c r="Q81" s="194">
        <v>1</v>
      </c>
      <c r="R81" s="124">
        <v>1</v>
      </c>
      <c r="S81" s="97">
        <v>2673.24</v>
      </c>
      <c r="T81" s="97"/>
      <c r="U81" s="97">
        <f t="shared" si="5"/>
        <v>2673.24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19</v>
      </c>
      <c r="I82" s="75">
        <v>16</v>
      </c>
      <c r="J82" s="75">
        <v>17</v>
      </c>
      <c r="K82" s="209">
        <v>17</v>
      </c>
      <c r="L82" s="210">
        <v>17</v>
      </c>
      <c r="M82" s="211">
        <f>2626.75+8084.46+600.05+7445.83+942.5+668.95</f>
        <v>20368.539999999997</v>
      </c>
      <c r="N82" s="97">
        <f>2626.75+8084.46+600.05+7445.83</f>
        <v>18757.089999999997</v>
      </c>
      <c r="O82" s="93">
        <f t="shared" si="4"/>
        <v>1611.4500000000007</v>
      </c>
      <c r="P82" s="123">
        <v>10</v>
      </c>
      <c r="Q82" s="194">
        <v>10</v>
      </c>
      <c r="R82" s="124">
        <v>10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21</v>
      </c>
      <c r="I83" s="75">
        <v>14</v>
      </c>
      <c r="J83" s="75">
        <v>25</v>
      </c>
      <c r="K83" s="209">
        <v>25</v>
      </c>
      <c r="L83" s="210">
        <v>25</v>
      </c>
      <c r="M83" s="211">
        <f>11232.31+3440.1+14435.12-1360.99+3088.95+2556.06</f>
        <v>33391.549999999996</v>
      </c>
      <c r="N83" s="97">
        <f>11232.31+3440.1+14435.12-1360.99+3088.95+2556.06</f>
        <v>33391.549999999996</v>
      </c>
      <c r="O83" s="93">
        <f t="shared" si="4"/>
        <v>0</v>
      </c>
      <c r="P83" s="123">
        <v>7</v>
      </c>
      <c r="Q83" s="194">
        <v>7</v>
      </c>
      <c r="R83" s="124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19</v>
      </c>
      <c r="I84" s="75">
        <v>15</v>
      </c>
      <c r="J84" s="75">
        <v>24</v>
      </c>
      <c r="K84" s="209">
        <v>24</v>
      </c>
      <c r="L84" s="210">
        <v>17</v>
      </c>
      <c r="M84" s="211">
        <f>5429.56+2272.28+2029.9+2976.46+1243.6</f>
        <v>13951.800000000001</v>
      </c>
      <c r="N84" s="97">
        <f>5429.56+2272.28+2029.9</f>
        <v>9731.74</v>
      </c>
      <c r="O84" s="93">
        <f t="shared" si="4"/>
        <v>4220.0600000000013</v>
      </c>
      <c r="P84" s="123">
        <v>1</v>
      </c>
      <c r="Q84" s="194">
        <v>1</v>
      </c>
      <c r="R84" s="124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39</v>
      </c>
      <c r="I85" s="75">
        <v>33</v>
      </c>
      <c r="J85" s="75">
        <v>58</v>
      </c>
      <c r="K85" s="209">
        <v>52</v>
      </c>
      <c r="L85" s="210">
        <v>50</v>
      </c>
      <c r="M85" s="211">
        <f>15506.09+4089.12+1924.78+1267.55+6546.86+1962.04+654.22+1080.22+392.95</f>
        <v>33423.829999999994</v>
      </c>
      <c r="N85" s="97">
        <f>15506.09+4089.12+1924.78+1267.55+6546.86</f>
        <v>29334.399999999998</v>
      </c>
      <c r="O85" s="93">
        <f t="shared" si="4"/>
        <v>4089.4299999999967</v>
      </c>
      <c r="P85" s="123">
        <v>5</v>
      </c>
      <c r="Q85" s="194">
        <v>5</v>
      </c>
      <c r="R85" s="124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17</v>
      </c>
      <c r="I86" s="75">
        <v>8</v>
      </c>
      <c r="J86" s="75">
        <v>9</v>
      </c>
      <c r="K86" s="209">
        <v>9</v>
      </c>
      <c r="L86" s="210">
        <v>7</v>
      </c>
      <c r="M86" s="211">
        <f>1956.76+1128.38</f>
        <v>3085.1400000000003</v>
      </c>
      <c r="N86" s="97">
        <v>1956.76</v>
      </c>
      <c r="O86" s="93">
        <f t="shared" si="4"/>
        <v>1128.3800000000003</v>
      </c>
      <c r="P86" s="123">
        <v>2</v>
      </c>
      <c r="Q86" s="194">
        <v>2</v>
      </c>
      <c r="R86" s="124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9</v>
      </c>
      <c r="I87" s="75">
        <v>7</v>
      </c>
      <c r="J87" s="75">
        <v>9</v>
      </c>
      <c r="K87" s="209">
        <v>9</v>
      </c>
      <c r="L87" s="210">
        <v>8</v>
      </c>
      <c r="M87" s="211">
        <f>795.8+4099.92+1305+358.88+1643.65</f>
        <v>8203.25</v>
      </c>
      <c r="N87" s="97">
        <f>795.8+4099.92+1305</f>
        <v>6200.72</v>
      </c>
      <c r="O87" s="93">
        <f t="shared" si="4"/>
        <v>2002.5299999999997</v>
      </c>
      <c r="P87" s="123">
        <v>6</v>
      </c>
      <c r="Q87" s="194">
        <v>6</v>
      </c>
      <c r="R87" s="124">
        <v>6</v>
      </c>
      <c r="S87" s="97">
        <f>2723.78+3718.48+4265.16</f>
        <v>10707.42</v>
      </c>
      <c r="T87" s="97">
        <f>2723.78+3718.48</f>
        <v>6442.26</v>
      </c>
      <c r="U87" s="97">
        <f t="shared" si="5"/>
        <v>4265.16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75"/>
      <c r="J88" s="75"/>
      <c r="K88" s="209"/>
      <c r="L88" s="210"/>
      <c r="M88" s="211"/>
      <c r="N88" s="97"/>
      <c r="O88" s="93">
        <f t="shared" si="4"/>
        <v>0</v>
      </c>
      <c r="P88" s="123">
        <v>6</v>
      </c>
      <c r="Q88" s="194">
        <v>6</v>
      </c>
      <c r="R88" s="124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15</v>
      </c>
      <c r="I89" s="75">
        <v>8</v>
      </c>
      <c r="J89" s="75">
        <v>9</v>
      </c>
      <c r="K89" s="209">
        <v>9</v>
      </c>
      <c r="L89" s="210">
        <v>9</v>
      </c>
      <c r="M89" s="211">
        <f>2874.33+1509.2+1943+315.81</f>
        <v>6642.34</v>
      </c>
      <c r="N89" s="97">
        <f>2874.33+1509.2+1943</f>
        <v>6326.53</v>
      </c>
      <c r="O89" s="93">
        <f t="shared" si="4"/>
        <v>315.8100000000004</v>
      </c>
      <c r="P89" s="123">
        <v>6</v>
      </c>
      <c r="Q89" s="194">
        <v>6</v>
      </c>
      <c r="R89" s="124">
        <v>6</v>
      </c>
      <c r="S89" s="97">
        <f>8161.92+1118.75+3779.58+1127.2</f>
        <v>14187.45</v>
      </c>
      <c r="T89" s="97">
        <f>8161.92+1118.75+3779.58</f>
        <v>13060.25</v>
      </c>
      <c r="U89" s="97">
        <f t="shared" si="5"/>
        <v>1127.2000000000007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47</v>
      </c>
      <c r="I90" s="75">
        <v>37</v>
      </c>
      <c r="J90" s="75">
        <v>66</v>
      </c>
      <c r="K90" s="209">
        <v>66</v>
      </c>
      <c r="L90" s="210">
        <v>66</v>
      </c>
      <c r="M90" s="211">
        <f>14303.46+6714.67+1828.05+13505.93+582.9+8733.75+358.88</f>
        <v>46027.64</v>
      </c>
      <c r="N90" s="97">
        <f>14303.46+6714.67+1828.05+13505.93</f>
        <v>36352.11</v>
      </c>
      <c r="O90" s="93">
        <f t="shared" si="4"/>
        <v>9675.5299999999988</v>
      </c>
      <c r="P90" s="123">
        <v>8</v>
      </c>
      <c r="Q90" s="194">
        <v>8</v>
      </c>
      <c r="R90" s="124">
        <v>8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30</v>
      </c>
      <c r="I91" s="75">
        <v>12</v>
      </c>
      <c r="J91" s="75">
        <v>18</v>
      </c>
      <c r="K91" s="209">
        <v>18</v>
      </c>
      <c r="L91" s="210">
        <v>18</v>
      </c>
      <c r="M91" s="211">
        <f>5384.83+3572.76+8100.09</f>
        <v>17057.68</v>
      </c>
      <c r="N91" s="97">
        <v>5384.83</v>
      </c>
      <c r="O91" s="93">
        <f t="shared" si="4"/>
        <v>11672.85</v>
      </c>
      <c r="P91" s="123">
        <v>7</v>
      </c>
      <c r="Q91" s="194">
        <v>7</v>
      </c>
      <c r="R91" s="124">
        <v>7</v>
      </c>
      <c r="S91" s="97">
        <f>6219.66+748.35+1502.94</f>
        <v>8470.9500000000007</v>
      </c>
      <c r="T91" s="97">
        <f>6219.66+748.35</f>
        <v>6968.01</v>
      </c>
      <c r="U91" s="97">
        <f t="shared" si="5"/>
        <v>1502.9400000000005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21</v>
      </c>
      <c r="I92" s="75">
        <v>14</v>
      </c>
      <c r="J92" s="75">
        <v>19</v>
      </c>
      <c r="K92" s="209">
        <v>19</v>
      </c>
      <c r="L92" s="210">
        <v>18</v>
      </c>
      <c r="M92" s="211">
        <f>2301.54+4352.56+3555.69+1798.94+1481.14+763.69+2342.6</f>
        <v>16596.16</v>
      </c>
      <c r="N92" s="97">
        <f>2301.54+4352.56+3555.69+1798.94+1481.14</f>
        <v>13489.87</v>
      </c>
      <c r="O92" s="93">
        <f t="shared" si="4"/>
        <v>3106.2899999999991</v>
      </c>
      <c r="P92" s="123">
        <v>1</v>
      </c>
      <c r="Q92" s="194">
        <v>1</v>
      </c>
      <c r="R92" s="124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104</v>
      </c>
      <c r="I93" s="75">
        <v>77</v>
      </c>
      <c r="J93" s="75">
        <v>91</v>
      </c>
      <c r="K93" s="209">
        <v>63</v>
      </c>
      <c r="L93" s="210">
        <v>63</v>
      </c>
      <c r="M93" s="211">
        <f>14656.12+3543.47+2420.25+2112.66+1299.21+2099.6</f>
        <v>26131.309999999998</v>
      </c>
      <c r="N93" s="97">
        <f>14656.12+3543.47+2764.75</f>
        <v>20964.34</v>
      </c>
      <c r="O93" s="93">
        <f t="shared" si="4"/>
        <v>5166.9699999999975</v>
      </c>
      <c r="P93" s="123">
        <v>9</v>
      </c>
      <c r="Q93" s="194">
        <v>9</v>
      </c>
      <c r="R93" s="124">
        <v>9</v>
      </c>
      <c r="S93" s="97">
        <f>11083.64+344.5</f>
        <v>11428.14</v>
      </c>
      <c r="T93" s="97">
        <v>11083.64</v>
      </c>
      <c r="U93" s="97">
        <f t="shared" si="5"/>
        <v>344.5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39</v>
      </c>
      <c r="I94" s="75">
        <v>20</v>
      </c>
      <c r="J94" s="75">
        <v>24</v>
      </c>
      <c r="K94" s="210">
        <v>20</v>
      </c>
      <c r="L94" s="210">
        <v>18</v>
      </c>
      <c r="M94" s="211">
        <f>6576.32+217.5+2898.52+939.6+1008.45+1200.17</f>
        <v>12840.560000000001</v>
      </c>
      <c r="N94" s="97">
        <f>6576.32+217.5+2898.52</f>
        <v>9692.34</v>
      </c>
      <c r="O94" s="93">
        <f t="shared" si="4"/>
        <v>3148.2200000000012</v>
      </c>
      <c r="P94" s="123">
        <v>24</v>
      </c>
      <c r="Q94" s="124">
        <v>24</v>
      </c>
      <c r="R94" s="124">
        <v>24</v>
      </c>
      <c r="S94" s="97">
        <f>18253.04+4245.2+858.65+1546.26+14802.65</f>
        <v>39705.800000000003</v>
      </c>
      <c r="T94" s="97">
        <f>18253.04+4245.2+858.65</f>
        <v>23356.890000000003</v>
      </c>
      <c r="U94" s="97">
        <f t="shared" si="5"/>
        <v>16348.91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30</v>
      </c>
      <c r="I95" s="75">
        <v>15</v>
      </c>
      <c r="J95" s="75">
        <v>21</v>
      </c>
      <c r="K95" s="209">
        <v>21</v>
      </c>
      <c r="L95" s="210">
        <v>17</v>
      </c>
      <c r="M95" s="211">
        <f>2362.32+22110.36+455.21+2039.58+953.22+699.73+275.6</f>
        <v>28896.02</v>
      </c>
      <c r="N95" s="97">
        <f>2362.32+22110.36+455.21+2039.58+953.22+699.73+275.6</f>
        <v>28896.02</v>
      </c>
      <c r="O95" s="93">
        <f t="shared" si="4"/>
        <v>0</v>
      </c>
      <c r="P95" s="123">
        <v>16</v>
      </c>
      <c r="Q95" s="194">
        <v>16</v>
      </c>
      <c r="R95" s="124">
        <v>16</v>
      </c>
      <c r="S95" s="97">
        <f>24552.24+1001.28+122.46+1729.98-1</f>
        <v>27404.959999999999</v>
      </c>
      <c r="T95" s="97">
        <f>24552.24+1001.28+122.46+1729.98-1</f>
        <v>27404.959999999999</v>
      </c>
      <c r="U95" s="97">
        <f t="shared" si="5"/>
        <v>0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9</v>
      </c>
      <c r="I96" s="75">
        <v>7</v>
      </c>
      <c r="J96" s="75">
        <v>10</v>
      </c>
      <c r="K96" s="209">
        <v>10</v>
      </c>
      <c r="L96" s="210">
        <v>10</v>
      </c>
      <c r="M96" s="211">
        <f>826.8+2786.41+2401.3</f>
        <v>6014.51</v>
      </c>
      <c r="N96" s="97">
        <f>826.8+2786.41</f>
        <v>3613.21</v>
      </c>
      <c r="O96" s="93">
        <f t="shared" si="4"/>
        <v>2401.3000000000002</v>
      </c>
      <c r="P96" s="123"/>
      <c r="Q96" s="194"/>
      <c r="R96" s="124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75">
        <v>7</v>
      </c>
      <c r="J97" s="75">
        <v>8</v>
      </c>
      <c r="K97" s="209">
        <v>8</v>
      </c>
      <c r="L97" s="210">
        <v>8</v>
      </c>
      <c r="M97" s="211">
        <f>3171.93+1457.25+380.63</f>
        <v>5009.8100000000004</v>
      </c>
      <c r="N97" s="97">
        <f>3171.93+1457.25</f>
        <v>4629.18</v>
      </c>
      <c r="O97" s="93">
        <f t="shared" si="4"/>
        <v>380.63000000000011</v>
      </c>
      <c r="P97" s="123">
        <v>4</v>
      </c>
      <c r="Q97" s="194">
        <v>4</v>
      </c>
      <c r="R97" s="124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18</v>
      </c>
      <c r="I98" s="75">
        <v>9</v>
      </c>
      <c r="J98" s="75">
        <v>11</v>
      </c>
      <c r="K98" s="209">
        <v>11</v>
      </c>
      <c r="L98" s="210">
        <v>9</v>
      </c>
      <c r="M98" s="211">
        <f>757.9+551.2+895.7+290+725</f>
        <v>3219.8</v>
      </c>
      <c r="N98" s="97">
        <f>757.9+551.2+895.7+290</f>
        <v>2494.8000000000002</v>
      </c>
      <c r="O98" s="93">
        <f t="shared" si="4"/>
        <v>725</v>
      </c>
      <c r="P98" s="123">
        <v>12</v>
      </c>
      <c r="Q98" s="194">
        <v>13</v>
      </c>
      <c r="R98" s="124">
        <v>12</v>
      </c>
      <c r="S98" s="97">
        <f>8034.56+3466.13+4060.73</f>
        <v>15561.42</v>
      </c>
      <c r="T98" s="97">
        <f>8034.56+3466.13</f>
        <v>11500.69</v>
      </c>
      <c r="U98" s="97">
        <f t="shared" si="5"/>
        <v>4060.7299999999996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28</v>
      </c>
      <c r="I99" s="75">
        <v>15</v>
      </c>
      <c r="J99" s="75">
        <v>18</v>
      </c>
      <c r="K99" s="209">
        <v>18</v>
      </c>
      <c r="L99" s="210">
        <v>16</v>
      </c>
      <c r="M99" s="211">
        <f>4782.23+1353.89+2195.41+1197.7+1340.79+681.5</f>
        <v>11551.52</v>
      </c>
      <c r="N99" s="97">
        <f>4782.23+1353.89+2195.41+1197.7</f>
        <v>9529.23</v>
      </c>
      <c r="O99" s="93">
        <f t="shared" si="4"/>
        <v>2022.2900000000009</v>
      </c>
      <c r="P99" s="123">
        <v>11</v>
      </c>
      <c r="Q99" s="194">
        <v>11</v>
      </c>
      <c r="R99" s="124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26</v>
      </c>
      <c r="I100" s="75">
        <v>12</v>
      </c>
      <c r="J100" s="75">
        <v>20</v>
      </c>
      <c r="K100" s="209">
        <v>20</v>
      </c>
      <c r="L100" s="210">
        <v>17</v>
      </c>
      <c r="M100" s="211">
        <f>10862.96+2375.03+5632.11+356.47</f>
        <v>19226.57</v>
      </c>
      <c r="N100" s="97">
        <f>10862.96+2375.03+5632.11</f>
        <v>18870.099999999999</v>
      </c>
      <c r="O100" s="93">
        <f t="shared" si="4"/>
        <v>356.47000000000116</v>
      </c>
      <c r="P100" s="123">
        <v>10</v>
      </c>
      <c r="Q100" s="194">
        <v>10</v>
      </c>
      <c r="R100" s="124">
        <v>10</v>
      </c>
      <c r="S100" s="97">
        <f>4780.1+2135.9</f>
        <v>6916</v>
      </c>
      <c r="T100" s="97">
        <v>4780.1000000000004</v>
      </c>
      <c r="U100" s="97">
        <f t="shared" si="5"/>
        <v>2135.8999999999996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87</v>
      </c>
      <c r="I101" s="75">
        <v>55</v>
      </c>
      <c r="J101" s="75">
        <v>64</v>
      </c>
      <c r="K101" s="209">
        <v>45</v>
      </c>
      <c r="L101" s="210">
        <v>40</v>
      </c>
      <c r="M101" s="211">
        <f>16276.16+4466.66+1078.5+4011.53+435+1493.5+2243.15</f>
        <v>30004.5</v>
      </c>
      <c r="N101" s="97">
        <f>16276.16+4466.66+1078.5+4011.53+435</f>
        <v>26267.85</v>
      </c>
      <c r="O101" s="93">
        <f t="shared" si="4"/>
        <v>3736.6500000000015</v>
      </c>
      <c r="P101" s="123">
        <v>35</v>
      </c>
      <c r="Q101" s="194">
        <v>35</v>
      </c>
      <c r="R101" s="124">
        <v>33</v>
      </c>
      <c r="S101" s="97">
        <f>21329.45-2252.12+532.3+345.99+26455.28+1.67+3039.85-3960.98</f>
        <v>45491.439999999995</v>
      </c>
      <c r="T101" s="97">
        <f>21329.45-2252.12+532.3+345.98+26456.96-1774.49</f>
        <v>44638.080000000002</v>
      </c>
      <c r="U101" s="97">
        <f t="shared" si="5"/>
        <v>853.35999999999331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10</v>
      </c>
      <c r="I102" s="114">
        <v>8</v>
      </c>
      <c r="J102" s="114">
        <v>11</v>
      </c>
      <c r="K102" s="216">
        <v>11</v>
      </c>
      <c r="L102" s="217">
        <v>11</v>
      </c>
      <c r="M102" s="218">
        <f>3259.83+1328.19+2964.21+8477.2</f>
        <v>16029.43</v>
      </c>
      <c r="N102" s="147">
        <v>3259.83</v>
      </c>
      <c r="O102" s="93">
        <f t="shared" si="4"/>
        <v>12769.6</v>
      </c>
      <c r="P102" s="149">
        <v>4</v>
      </c>
      <c r="Q102" s="195">
        <v>4</v>
      </c>
      <c r="R102" s="150">
        <v>4</v>
      </c>
      <c r="S102" s="147">
        <f>1193.3+5843.89</f>
        <v>7037.1900000000005</v>
      </c>
      <c r="T102" s="147">
        <v>1193.3</v>
      </c>
      <c r="U102" s="147">
        <f t="shared" si="5"/>
        <v>5843.89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21</v>
      </c>
      <c r="I103" s="75">
        <v>6</v>
      </c>
      <c r="J103" s="75">
        <v>8</v>
      </c>
      <c r="K103" s="209">
        <v>8</v>
      </c>
      <c r="L103" s="210">
        <v>3</v>
      </c>
      <c r="M103" s="211">
        <f>699.33+580</f>
        <v>1279.33</v>
      </c>
      <c r="N103" s="97">
        <f>699.33+580</f>
        <v>1279.33</v>
      </c>
      <c r="O103" s="93">
        <f t="shared" si="4"/>
        <v>0</v>
      </c>
      <c r="P103" s="124"/>
      <c r="Q103" s="194"/>
      <c r="R103" s="124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209">
        <v>2</v>
      </c>
      <c r="L104" s="210">
        <v>2</v>
      </c>
      <c r="M104" s="211">
        <v>2252.12</v>
      </c>
      <c r="N104" s="97">
        <v>2252.12</v>
      </c>
      <c r="O104" s="93">
        <f t="shared" si="4"/>
        <v>0</v>
      </c>
      <c r="P104" s="124"/>
      <c r="Q104" s="194"/>
      <c r="R104" s="124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2291</v>
      </c>
      <c r="I105" s="119">
        <f t="shared" si="7"/>
        <v>1443</v>
      </c>
      <c r="J105" s="119">
        <f t="shared" si="7"/>
        <v>1943</v>
      </c>
      <c r="K105" s="222">
        <f t="shared" si="7"/>
        <v>1810</v>
      </c>
      <c r="L105" s="223">
        <f t="shared" si="7"/>
        <v>1673</v>
      </c>
      <c r="M105" s="224">
        <f t="shared" si="7"/>
        <v>1399091.1900000004</v>
      </c>
      <c r="N105" s="151">
        <f t="shared" si="7"/>
        <v>1256490.6500000011</v>
      </c>
      <c r="O105" s="151">
        <f t="shared" si="7"/>
        <v>142600.54</v>
      </c>
      <c r="P105" s="152">
        <f t="shared" si="7"/>
        <v>734</v>
      </c>
      <c r="Q105" s="196">
        <f>SUM(Q10:Q104)</f>
        <v>731</v>
      </c>
      <c r="R105" s="152">
        <f>SUM(R11:R104)</f>
        <v>712</v>
      </c>
      <c r="S105" s="151">
        <f>SUM(S10:S104)</f>
        <v>1011209.8299999997</v>
      </c>
      <c r="T105" s="151">
        <f>SUM(T10:T104)</f>
        <v>928936.34</v>
      </c>
      <c r="U105" s="151">
        <f>SUM(U10:U104)</f>
        <v>82273.489999999976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236"/>
      <c r="AG105" s="236"/>
      <c r="AH105" s="236"/>
    </row>
    <row r="106" spans="1:35" x14ac:dyDescent="0.25">
      <c r="K106" s="227"/>
      <c r="L106" s="227"/>
      <c r="V106" s="160"/>
      <c r="W106" s="159"/>
      <c r="X106" s="160"/>
      <c r="Y106" s="160"/>
      <c r="Z106" s="160"/>
      <c r="AA106" s="160"/>
      <c r="AB106" s="160"/>
      <c r="AC106" s="160"/>
      <c r="AD106" s="160"/>
      <c r="AE106" s="160"/>
      <c r="AF106" s="235"/>
      <c r="AG106" s="235"/>
      <c r="AH106" s="235"/>
    </row>
    <row r="107" spans="1:35" x14ac:dyDescent="0.25">
      <c r="K107" s="227"/>
      <c r="L107" s="227"/>
      <c r="V107" s="145"/>
      <c r="W107" s="145"/>
      <c r="AF107" s="234"/>
      <c r="AG107" s="234"/>
      <c r="AH107" s="234"/>
      <c r="AI107" s="145"/>
    </row>
    <row r="108" spans="1:35" x14ac:dyDescent="0.25">
      <c r="K108" s="227"/>
      <c r="L108" s="227"/>
      <c r="W108" s="145"/>
      <c r="AF108" s="234"/>
      <c r="AG108" s="235"/>
      <c r="AH108" s="235"/>
    </row>
    <row r="109" spans="1:35" x14ac:dyDescent="0.25">
      <c r="K109" s="227"/>
      <c r="L109" s="227"/>
      <c r="AF109" s="235"/>
      <c r="AG109" s="235"/>
      <c r="AH109" s="234"/>
    </row>
    <row r="110" spans="1:35" x14ac:dyDescent="0.25">
      <c r="K110" s="227"/>
      <c r="L110" s="227"/>
      <c r="AF110" s="235"/>
      <c r="AG110" s="235"/>
      <c r="AH110" s="234"/>
    </row>
    <row r="111" spans="1:35" x14ac:dyDescent="0.25">
      <c r="K111" s="227"/>
      <c r="L111" s="227"/>
      <c r="AF111" s="235"/>
      <c r="AG111" s="235"/>
      <c r="AH111" s="235"/>
    </row>
    <row r="112" spans="1:35" x14ac:dyDescent="0.25">
      <c r="K112" s="227"/>
      <c r="L112" s="227"/>
      <c r="AF112" s="235"/>
      <c r="AG112" s="235"/>
      <c r="AH112" s="235"/>
    </row>
    <row r="113" spans="11:34" x14ac:dyDescent="0.25">
      <c r="K113" s="227"/>
      <c r="L113" s="227"/>
      <c r="AF113" s="235"/>
      <c r="AG113" s="235"/>
      <c r="AH113" s="235"/>
    </row>
    <row r="114" spans="11:34" x14ac:dyDescent="0.25">
      <c r="K114" s="227"/>
      <c r="L114" s="227"/>
      <c r="AF114" s="235"/>
      <c r="AG114" s="235"/>
      <c r="AH114" s="235"/>
    </row>
    <row r="115" spans="11:34" x14ac:dyDescent="0.25">
      <c r="K115" s="227"/>
      <c r="L115" s="227"/>
    </row>
    <row r="116" spans="11:34" x14ac:dyDescent="0.25">
      <c r="K116" s="227"/>
      <c r="L116" s="227"/>
    </row>
    <row r="117" spans="11:34" x14ac:dyDescent="0.25">
      <c r="K117" s="227"/>
      <c r="L117" s="227"/>
    </row>
    <row r="118" spans="11:34" x14ac:dyDescent="0.25">
      <c r="K118" s="227"/>
      <c r="L118" s="227"/>
    </row>
    <row r="119" spans="11:34" x14ac:dyDescent="0.25">
      <c r="K119" s="227"/>
      <c r="L119" s="227"/>
    </row>
    <row r="120" spans="11:34" x14ac:dyDescent="0.25">
      <c r="K120" s="227"/>
      <c r="L120" s="227"/>
    </row>
    <row r="121" spans="11:34" x14ac:dyDescent="0.25">
      <c r="K121" s="227"/>
      <c r="L121" s="227"/>
    </row>
    <row r="122" spans="11:34" x14ac:dyDescent="0.25">
      <c r="K122" s="227"/>
      <c r="L122" s="227"/>
    </row>
    <row r="123" spans="11:34" x14ac:dyDescent="0.25">
      <c r="K123" s="227"/>
      <c r="L123" s="227"/>
    </row>
    <row r="124" spans="11:34" x14ac:dyDescent="0.25">
      <c r="K124" s="227"/>
      <c r="L124" s="227"/>
    </row>
    <row r="125" spans="11:34" x14ac:dyDescent="0.25">
      <c r="K125" s="227"/>
      <c r="L125" s="227"/>
    </row>
    <row r="126" spans="11:34" x14ac:dyDescent="0.25">
      <c r="K126" s="227"/>
      <c r="L126" s="227"/>
    </row>
    <row r="127" spans="11:34" x14ac:dyDescent="0.25">
      <c r="K127" s="227"/>
      <c r="L127" s="227"/>
    </row>
    <row r="128" spans="11:34" x14ac:dyDescent="0.25">
      <c r="K128" s="227"/>
      <c r="L128" s="227"/>
    </row>
    <row r="129" spans="11:12" x14ac:dyDescent="0.25">
      <c r="K129" s="227"/>
      <c r="L129" s="227"/>
    </row>
    <row r="130" spans="11:12" x14ac:dyDescent="0.25">
      <c r="K130" s="227"/>
      <c r="L130" s="227"/>
    </row>
    <row r="131" spans="11:12" x14ac:dyDescent="0.25">
      <c r="K131" s="227"/>
      <c r="L131" s="227"/>
    </row>
    <row r="132" spans="11:12" x14ac:dyDescent="0.25">
      <c r="K132" s="227"/>
      <c r="L132" s="227"/>
    </row>
    <row r="133" spans="11:12" x14ac:dyDescent="0.25">
      <c r="K133" s="227"/>
      <c r="L133" s="227"/>
    </row>
    <row r="134" spans="11:12" x14ac:dyDescent="0.25">
      <c r="K134" s="227"/>
      <c r="L134" s="227"/>
    </row>
    <row r="135" spans="11:12" x14ac:dyDescent="0.25">
      <c r="K135" s="227"/>
      <c r="L135" s="227"/>
    </row>
    <row r="136" spans="11:12" x14ac:dyDescent="0.25">
      <c r="K136" s="227"/>
      <c r="L136" s="227"/>
    </row>
    <row r="137" spans="11:12" x14ac:dyDescent="0.25">
      <c r="K137" s="227"/>
      <c r="L137" s="227"/>
    </row>
    <row r="138" spans="11:12" x14ac:dyDescent="0.25">
      <c r="K138" s="227"/>
      <c r="L138" s="227"/>
    </row>
    <row r="139" spans="11:12" x14ac:dyDescent="0.25">
      <c r="K139" s="227"/>
      <c r="L139" s="227"/>
    </row>
    <row r="140" spans="11:12" x14ac:dyDescent="0.25">
      <c r="K140" s="227"/>
      <c r="L140" s="227"/>
    </row>
    <row r="141" spans="11:12" x14ac:dyDescent="0.25">
      <c r="K141" s="227"/>
      <c r="L141" s="227"/>
    </row>
    <row r="142" spans="11:12" x14ac:dyDescent="0.25">
      <c r="K142" s="227"/>
      <c r="L142" s="227"/>
    </row>
    <row r="143" spans="11:12" x14ac:dyDescent="0.25">
      <c r="K143" s="227"/>
      <c r="L143" s="227"/>
    </row>
    <row r="144" spans="11:12" x14ac:dyDescent="0.25">
      <c r="K144" s="227"/>
      <c r="L144" s="227"/>
    </row>
    <row r="145" spans="11:12" x14ac:dyDescent="0.25">
      <c r="K145" s="227"/>
      <c r="L145" s="227"/>
    </row>
    <row r="146" spans="11:12" x14ac:dyDescent="0.25">
      <c r="K146" s="227"/>
      <c r="L146" s="227"/>
    </row>
    <row r="147" spans="11:12" x14ac:dyDescent="0.25">
      <c r="K147" s="227"/>
      <c r="L147" s="227"/>
    </row>
    <row r="148" spans="11:12" x14ac:dyDescent="0.25">
      <c r="K148" s="227"/>
      <c r="L148" s="227"/>
    </row>
    <row r="149" spans="11:12" x14ac:dyDescent="0.25">
      <c r="K149" s="227"/>
      <c r="L149" s="227"/>
    </row>
    <row r="150" spans="11:12" x14ac:dyDescent="0.25">
      <c r="K150" s="227"/>
      <c r="L150" s="227"/>
    </row>
    <row r="151" spans="11:12" x14ac:dyDescent="0.25">
      <c r="K151" s="227"/>
      <c r="L151" s="227"/>
    </row>
    <row r="152" spans="11:12" x14ac:dyDescent="0.25">
      <c r="K152" s="227"/>
      <c r="L152" s="227"/>
    </row>
    <row r="153" spans="11:12" x14ac:dyDescent="0.25">
      <c r="K153" s="227"/>
      <c r="L153" s="227"/>
    </row>
    <row r="154" spans="11:12" x14ac:dyDescent="0.25">
      <c r="K154" s="227"/>
      <c r="L154" s="227"/>
    </row>
    <row r="155" spans="11:12" x14ac:dyDescent="0.25">
      <c r="K155" s="227"/>
      <c r="L155" s="227"/>
    </row>
    <row r="156" spans="11:12" x14ac:dyDescent="0.25">
      <c r="K156" s="227"/>
      <c r="L156" s="227"/>
    </row>
    <row r="157" spans="11:12" x14ac:dyDescent="0.25">
      <c r="K157" s="227"/>
      <c r="L157" s="227"/>
    </row>
    <row r="158" spans="11:12" x14ac:dyDescent="0.25">
      <c r="K158" s="227"/>
      <c r="L158" s="227"/>
    </row>
    <row r="159" spans="11:12" x14ac:dyDescent="0.25">
      <c r="K159" s="227"/>
      <c r="L159" s="227"/>
    </row>
    <row r="160" spans="11:12" x14ac:dyDescent="0.25">
      <c r="K160" s="227"/>
      <c r="L160" s="227"/>
    </row>
    <row r="161" spans="11:12" x14ac:dyDescent="0.25">
      <c r="K161" s="227"/>
      <c r="L161" s="227"/>
    </row>
    <row r="162" spans="11:12" x14ac:dyDescent="0.25">
      <c r="K162" s="227"/>
      <c r="L162" s="227"/>
    </row>
    <row r="163" spans="11:12" x14ac:dyDescent="0.25">
      <c r="K163" s="227"/>
      <c r="L163" s="227"/>
    </row>
    <row r="164" spans="11:12" x14ac:dyDescent="0.25">
      <c r="K164" s="227"/>
      <c r="L164" s="227"/>
    </row>
    <row r="165" spans="11:12" x14ac:dyDescent="0.25">
      <c r="K165" s="227"/>
      <c r="L165" s="227"/>
    </row>
    <row r="166" spans="11:12" x14ac:dyDescent="0.25">
      <c r="K166" s="227"/>
      <c r="L166" s="227"/>
    </row>
    <row r="167" spans="11:12" x14ac:dyDescent="0.25">
      <c r="K167" s="227"/>
      <c r="L167" s="227"/>
    </row>
    <row r="168" spans="11:12" x14ac:dyDescent="0.25">
      <c r="K168" s="227"/>
      <c r="L168" s="227"/>
    </row>
    <row r="169" spans="11:12" x14ac:dyDescent="0.25">
      <c r="K169" s="227"/>
      <c r="L169" s="227"/>
    </row>
    <row r="170" spans="11:12" x14ac:dyDescent="0.25">
      <c r="K170" s="227"/>
      <c r="L170" s="227"/>
    </row>
    <row r="171" spans="11:12" x14ac:dyDescent="0.25">
      <c r="K171" s="227"/>
      <c r="L171" s="227"/>
    </row>
    <row r="172" spans="11:12" x14ac:dyDescent="0.25">
      <c r="K172" s="227"/>
      <c r="L172" s="227"/>
    </row>
    <row r="173" spans="11:12" x14ac:dyDescent="0.25">
      <c r="K173" s="227"/>
      <c r="L173" s="227"/>
    </row>
    <row r="174" spans="11:12" x14ac:dyDescent="0.25">
      <c r="K174" s="227"/>
      <c r="L174" s="227"/>
    </row>
    <row r="175" spans="11:12" x14ac:dyDescent="0.25">
      <c r="K175" s="227"/>
      <c r="L175" s="227"/>
    </row>
    <row r="176" spans="11:12" x14ac:dyDescent="0.25">
      <c r="K176" s="227"/>
      <c r="L176" s="227"/>
    </row>
    <row r="177" spans="11:12" x14ac:dyDescent="0.25">
      <c r="K177" s="227"/>
      <c r="L177" s="227"/>
    </row>
    <row r="178" spans="11:12" x14ac:dyDescent="0.25">
      <c r="K178" s="227"/>
      <c r="L178" s="227"/>
    </row>
    <row r="179" spans="11:12" x14ac:dyDescent="0.25">
      <c r="K179" s="227"/>
      <c r="L179" s="227"/>
    </row>
    <row r="180" spans="11:12" x14ac:dyDescent="0.25">
      <c r="K180" s="227"/>
      <c r="L180" s="227"/>
    </row>
    <row r="181" spans="11:12" x14ac:dyDescent="0.25">
      <c r="K181" s="227"/>
      <c r="L181" s="227"/>
    </row>
    <row r="182" spans="11:12" x14ac:dyDescent="0.25">
      <c r="K182" s="227"/>
      <c r="L182" s="227"/>
    </row>
    <row r="183" spans="11:12" x14ac:dyDescent="0.25">
      <c r="K183" s="227"/>
      <c r="L183" s="227"/>
    </row>
    <row r="184" spans="11:12" x14ac:dyDescent="0.25">
      <c r="K184" s="227"/>
      <c r="L184" s="227"/>
    </row>
    <row r="185" spans="11:12" x14ac:dyDescent="0.25">
      <c r="K185" s="227"/>
      <c r="L185" s="227"/>
    </row>
    <row r="186" spans="11:12" x14ac:dyDescent="0.25">
      <c r="K186" s="227"/>
      <c r="L186" s="227"/>
    </row>
    <row r="187" spans="11:12" x14ac:dyDescent="0.25">
      <c r="K187" s="227"/>
      <c r="L187" s="227"/>
    </row>
    <row r="188" spans="11:12" x14ac:dyDescent="0.25">
      <c r="K188" s="227"/>
      <c r="L188" s="227"/>
    </row>
    <row r="189" spans="11:12" x14ac:dyDescent="0.25">
      <c r="K189" s="227"/>
      <c r="L189" s="227"/>
    </row>
    <row r="190" spans="11:12" x14ac:dyDescent="0.25">
      <c r="K190" s="227"/>
      <c r="L190" s="227"/>
    </row>
    <row r="191" spans="11:12" x14ac:dyDescent="0.25">
      <c r="K191" s="227"/>
      <c r="L191" s="227"/>
    </row>
    <row r="192" spans="11:12" x14ac:dyDescent="0.25">
      <c r="K192" s="227"/>
      <c r="L192" s="227"/>
    </row>
    <row r="193" spans="11:12" x14ac:dyDescent="0.25">
      <c r="K193" s="227"/>
      <c r="L193" s="227"/>
    </row>
    <row r="194" spans="11:12" x14ac:dyDescent="0.25">
      <c r="K194" s="227"/>
      <c r="L194" s="227"/>
    </row>
    <row r="195" spans="11:12" x14ac:dyDescent="0.25">
      <c r="K195" s="227"/>
      <c r="L195" s="227"/>
    </row>
    <row r="196" spans="11:12" x14ac:dyDescent="0.25">
      <c r="K196" s="227"/>
      <c r="L196" s="227"/>
    </row>
    <row r="197" spans="11:12" x14ac:dyDescent="0.25">
      <c r="K197" s="227"/>
      <c r="L197" s="227"/>
    </row>
    <row r="198" spans="11:12" x14ac:dyDescent="0.25">
      <c r="K198" s="227"/>
      <c r="L198" s="227"/>
    </row>
    <row r="199" spans="11:12" x14ac:dyDescent="0.25">
      <c r="K199" s="227"/>
      <c r="L199" s="227"/>
    </row>
    <row r="200" spans="11:12" x14ac:dyDescent="0.25">
      <c r="K200" s="227"/>
      <c r="L200" s="227"/>
    </row>
    <row r="201" spans="11:12" x14ac:dyDescent="0.25">
      <c r="K201" s="227"/>
      <c r="L201" s="227"/>
    </row>
    <row r="202" spans="11:12" x14ac:dyDescent="0.25">
      <c r="K202" s="227"/>
      <c r="L202" s="227"/>
    </row>
    <row r="203" spans="11:12" x14ac:dyDescent="0.25">
      <c r="K203" s="227"/>
      <c r="L203" s="227"/>
    </row>
    <row r="204" spans="11:12" x14ac:dyDescent="0.25">
      <c r="K204" s="227"/>
      <c r="L204" s="227"/>
    </row>
    <row r="205" spans="11:12" x14ac:dyDescent="0.25">
      <c r="K205" s="227"/>
      <c r="L205" s="227"/>
    </row>
    <row r="206" spans="11:12" x14ac:dyDescent="0.25">
      <c r="K206" s="227"/>
      <c r="L206" s="227"/>
    </row>
    <row r="207" spans="11:12" x14ac:dyDescent="0.25">
      <c r="K207" s="227"/>
      <c r="L207" s="227"/>
    </row>
    <row r="208" spans="11:12" x14ac:dyDescent="0.25">
      <c r="K208" s="227"/>
      <c r="L208" s="227"/>
    </row>
    <row r="209" spans="11:12" x14ac:dyDescent="0.25">
      <c r="K209" s="227"/>
      <c r="L209" s="227"/>
    </row>
    <row r="210" spans="11:12" x14ac:dyDescent="0.25">
      <c r="K210" s="227"/>
      <c r="L210" s="227"/>
    </row>
    <row r="211" spans="11:12" x14ac:dyDescent="0.25">
      <c r="K211" s="227"/>
      <c r="L211" s="227"/>
    </row>
    <row r="212" spans="11:12" x14ac:dyDescent="0.25">
      <c r="K212" s="227"/>
      <c r="L212" s="227"/>
    </row>
    <row r="213" spans="11:12" x14ac:dyDescent="0.25">
      <c r="K213" s="227"/>
      <c r="L213" s="227"/>
    </row>
    <row r="214" spans="11:12" x14ac:dyDescent="0.25">
      <c r="K214" s="227"/>
      <c r="L214" s="227"/>
    </row>
    <row r="215" spans="11:12" x14ac:dyDescent="0.25">
      <c r="K215" s="227"/>
      <c r="L215" s="227"/>
    </row>
    <row r="216" spans="11:12" x14ac:dyDescent="0.25">
      <c r="K216" s="227"/>
      <c r="L216" s="227"/>
    </row>
    <row r="217" spans="11:12" x14ac:dyDescent="0.25">
      <c r="K217" s="227"/>
      <c r="L217" s="227"/>
    </row>
    <row r="218" spans="11:12" x14ac:dyDescent="0.25">
      <c r="K218" s="227"/>
      <c r="L218" s="227"/>
    </row>
    <row r="219" spans="11:12" x14ac:dyDescent="0.25">
      <c r="K219" s="227"/>
      <c r="L219" s="227"/>
    </row>
    <row r="220" spans="11:12" x14ac:dyDescent="0.25">
      <c r="K220" s="227"/>
      <c r="L220" s="227"/>
    </row>
    <row r="221" spans="11:12" x14ac:dyDescent="0.25">
      <c r="K221" s="227"/>
      <c r="L221" s="227"/>
    </row>
    <row r="222" spans="11:12" x14ac:dyDescent="0.25">
      <c r="K222" s="227"/>
      <c r="L222" s="227"/>
    </row>
    <row r="223" spans="11:12" x14ac:dyDescent="0.25">
      <c r="K223" s="227"/>
      <c r="L223" s="227"/>
    </row>
    <row r="224" spans="11:12" x14ac:dyDescent="0.25">
      <c r="K224" s="227"/>
      <c r="L224" s="227"/>
    </row>
    <row r="225" spans="11:12" x14ac:dyDescent="0.25">
      <c r="K225" s="227"/>
      <c r="L225" s="227"/>
    </row>
    <row r="226" spans="11:12" x14ac:dyDescent="0.25">
      <c r="K226" s="227"/>
      <c r="L226" s="227"/>
    </row>
    <row r="227" spans="11:12" x14ac:dyDescent="0.25">
      <c r="K227" s="227"/>
      <c r="L227" s="227"/>
    </row>
    <row r="228" spans="11:12" x14ac:dyDescent="0.25">
      <c r="K228" s="227"/>
      <c r="L228" s="227"/>
    </row>
    <row r="229" spans="11:12" x14ac:dyDescent="0.25">
      <c r="K229" s="227"/>
      <c r="L229" s="227"/>
    </row>
    <row r="230" spans="11:12" x14ac:dyDescent="0.25">
      <c r="K230" s="227"/>
      <c r="L230" s="227"/>
    </row>
    <row r="231" spans="11:12" x14ac:dyDescent="0.25">
      <c r="K231" s="227"/>
      <c r="L231" s="227"/>
    </row>
    <row r="232" spans="11:12" x14ac:dyDescent="0.25">
      <c r="K232" s="227"/>
      <c r="L232" s="227"/>
    </row>
    <row r="233" spans="11:12" x14ac:dyDescent="0.25">
      <c r="K233" s="227"/>
      <c r="L233" s="227"/>
    </row>
    <row r="234" spans="11:12" x14ac:dyDescent="0.25">
      <c r="K234" s="227"/>
      <c r="L234" s="227"/>
    </row>
    <row r="235" spans="11:12" x14ac:dyDescent="0.25">
      <c r="K235" s="227"/>
      <c r="L235" s="227"/>
    </row>
    <row r="236" spans="11:12" x14ac:dyDescent="0.25">
      <c r="K236" s="227"/>
      <c r="L236" s="227"/>
    </row>
    <row r="237" spans="11:12" x14ac:dyDescent="0.25">
      <c r="K237" s="227"/>
      <c r="L237" s="227"/>
    </row>
    <row r="238" spans="11:12" x14ac:dyDescent="0.25">
      <c r="K238" s="227"/>
      <c r="L238" s="227"/>
    </row>
    <row r="239" spans="11:12" x14ac:dyDescent="0.25">
      <c r="K239" s="227"/>
      <c r="L239" s="227"/>
    </row>
    <row r="240" spans="11:12" x14ac:dyDescent="0.25">
      <c r="K240" s="227"/>
      <c r="L240" s="227"/>
    </row>
    <row r="241" spans="11:12" x14ac:dyDescent="0.25">
      <c r="K241" s="227"/>
      <c r="L241" s="227"/>
    </row>
    <row r="242" spans="11:12" x14ac:dyDescent="0.25">
      <c r="K242" s="227"/>
      <c r="L242" s="227"/>
    </row>
    <row r="243" spans="11:12" x14ac:dyDescent="0.25">
      <c r="K243" s="227"/>
      <c r="L243" s="227"/>
    </row>
    <row r="244" spans="11:12" x14ac:dyDescent="0.25">
      <c r="K244" s="227"/>
      <c r="L244" s="227"/>
    </row>
    <row r="245" spans="11:12" x14ac:dyDescent="0.25">
      <c r="K245" s="227"/>
      <c r="L245" s="227"/>
    </row>
    <row r="246" spans="11:12" x14ac:dyDescent="0.25">
      <c r="K246" s="227"/>
      <c r="L246" s="227"/>
    </row>
    <row r="247" spans="11:12" x14ac:dyDescent="0.25">
      <c r="K247" s="227"/>
      <c r="L247" s="227"/>
    </row>
    <row r="248" spans="11:12" x14ac:dyDescent="0.25">
      <c r="K248" s="227"/>
      <c r="L248" s="227"/>
    </row>
    <row r="249" spans="11:12" x14ac:dyDescent="0.25">
      <c r="K249" s="227"/>
      <c r="L249" s="227"/>
    </row>
    <row r="250" spans="11:12" x14ac:dyDescent="0.25">
      <c r="K250" s="227"/>
      <c r="L250" s="227"/>
    </row>
    <row r="251" spans="11:12" x14ac:dyDescent="0.25">
      <c r="K251" s="227"/>
      <c r="L251" s="227"/>
    </row>
    <row r="252" spans="11:12" x14ac:dyDescent="0.25">
      <c r="K252" s="227"/>
      <c r="L252" s="227"/>
    </row>
    <row r="253" spans="11:12" x14ac:dyDescent="0.25">
      <c r="K253" s="227"/>
      <c r="L253" s="227"/>
    </row>
    <row r="254" spans="11:12" x14ac:dyDescent="0.25">
      <c r="K254" s="227"/>
      <c r="L254" s="227"/>
    </row>
    <row r="255" spans="11:12" x14ac:dyDescent="0.25">
      <c r="K255" s="227"/>
      <c r="L255" s="227"/>
    </row>
    <row r="256" spans="11:12" x14ac:dyDescent="0.25">
      <c r="K256" s="227"/>
      <c r="L256" s="227"/>
    </row>
    <row r="257" spans="11:12" x14ac:dyDescent="0.25">
      <c r="K257" s="227"/>
      <c r="L257" s="227"/>
    </row>
    <row r="258" spans="11:12" x14ac:dyDescent="0.25">
      <c r="K258" s="227"/>
      <c r="L258" s="227"/>
    </row>
    <row r="259" spans="11:12" x14ac:dyDescent="0.25">
      <c r="K259" s="227"/>
      <c r="L259" s="227"/>
    </row>
    <row r="260" spans="11:12" x14ac:dyDescent="0.25">
      <c r="K260" s="227"/>
      <c r="L260" s="227"/>
    </row>
    <row r="261" spans="11:12" x14ac:dyDescent="0.25">
      <c r="K261" s="227"/>
      <c r="L261" s="227"/>
    </row>
    <row r="262" spans="11:12" x14ac:dyDescent="0.25">
      <c r="K262" s="227"/>
      <c r="L262" s="227"/>
    </row>
    <row r="263" spans="11:12" x14ac:dyDescent="0.25">
      <c r="K263" s="227"/>
      <c r="L263" s="227"/>
    </row>
    <row r="264" spans="11:12" x14ac:dyDescent="0.25">
      <c r="K264" s="227"/>
      <c r="L264" s="227"/>
    </row>
    <row r="265" spans="11:12" x14ac:dyDescent="0.25">
      <c r="K265" s="227"/>
      <c r="L265" s="227"/>
    </row>
    <row r="266" spans="11:12" x14ac:dyDescent="0.25">
      <c r="K266" s="227"/>
      <c r="L266" s="227"/>
    </row>
    <row r="267" spans="11:12" x14ac:dyDescent="0.25">
      <c r="K267" s="227"/>
      <c r="L267" s="227"/>
    </row>
    <row r="268" spans="11:12" x14ac:dyDescent="0.25">
      <c r="K268" s="227"/>
      <c r="L268" s="227"/>
    </row>
    <row r="269" spans="11:12" x14ac:dyDescent="0.25">
      <c r="K269" s="227"/>
      <c r="L269" s="227"/>
    </row>
    <row r="270" spans="11:12" x14ac:dyDescent="0.25">
      <c r="K270" s="227"/>
      <c r="L270" s="227"/>
    </row>
    <row r="271" spans="11:12" x14ac:dyDescent="0.25">
      <c r="K271" s="227"/>
      <c r="L271" s="227"/>
    </row>
    <row r="272" spans="11:12" x14ac:dyDescent="0.25">
      <c r="K272" s="227"/>
      <c r="L272" s="227"/>
    </row>
    <row r="273" spans="11:12" x14ac:dyDescent="0.25">
      <c r="K273" s="227"/>
      <c r="L273" s="227"/>
    </row>
    <row r="274" spans="11:12" x14ac:dyDescent="0.25">
      <c r="K274" s="227"/>
      <c r="L274" s="227"/>
    </row>
    <row r="275" spans="11:12" x14ac:dyDescent="0.25">
      <c r="K275" s="227"/>
      <c r="L275" s="227"/>
    </row>
    <row r="276" spans="11:12" x14ac:dyDescent="0.25">
      <c r="K276" s="227"/>
      <c r="L276" s="227"/>
    </row>
    <row r="277" spans="11:12" x14ac:dyDescent="0.25">
      <c r="K277" s="227"/>
      <c r="L277" s="227"/>
    </row>
    <row r="278" spans="11:12" x14ac:dyDescent="0.25">
      <c r="K278" s="227"/>
      <c r="L278" s="227"/>
    </row>
    <row r="279" spans="11:12" x14ac:dyDescent="0.25">
      <c r="K279" s="227"/>
      <c r="L279" s="227"/>
    </row>
    <row r="280" spans="11:12" x14ac:dyDescent="0.25">
      <c r="K280" s="227"/>
      <c r="L280" s="227"/>
    </row>
    <row r="281" spans="11:12" x14ac:dyDescent="0.25">
      <c r="K281" s="227"/>
      <c r="L281" s="227"/>
    </row>
    <row r="282" spans="11:12" x14ac:dyDescent="0.25">
      <c r="K282" s="227"/>
      <c r="L282" s="227"/>
    </row>
    <row r="283" spans="11:12" x14ac:dyDescent="0.25">
      <c r="K283" s="227"/>
      <c r="L283" s="227"/>
    </row>
    <row r="284" spans="11:12" x14ac:dyDescent="0.25">
      <c r="K284" s="227"/>
      <c r="L284" s="227"/>
    </row>
    <row r="285" spans="11:12" x14ac:dyDescent="0.25">
      <c r="K285" s="227"/>
      <c r="L285" s="227"/>
    </row>
    <row r="286" spans="11:12" x14ac:dyDescent="0.25">
      <c r="K286" s="227"/>
      <c r="L286" s="227"/>
    </row>
    <row r="287" spans="11:12" x14ac:dyDescent="0.25">
      <c r="K287" s="227"/>
      <c r="L287" s="227"/>
    </row>
    <row r="288" spans="11:12" x14ac:dyDescent="0.25">
      <c r="K288" s="227"/>
      <c r="L288" s="227"/>
    </row>
    <row r="289" spans="11:12" x14ac:dyDescent="0.25">
      <c r="K289" s="227"/>
      <c r="L289" s="227"/>
    </row>
    <row r="290" spans="11:12" x14ac:dyDescent="0.25">
      <c r="K290" s="227"/>
      <c r="L290" s="227"/>
    </row>
    <row r="291" spans="11:12" x14ac:dyDescent="0.25">
      <c r="K291" s="227"/>
      <c r="L291" s="227"/>
    </row>
    <row r="292" spans="11:12" x14ac:dyDescent="0.25">
      <c r="K292" s="227"/>
      <c r="L292" s="227"/>
    </row>
    <row r="293" spans="11:12" x14ac:dyDescent="0.25">
      <c r="K293" s="227"/>
      <c r="L293" s="227"/>
    </row>
    <row r="294" spans="11:12" x14ac:dyDescent="0.25">
      <c r="K294" s="227"/>
      <c r="L294" s="227"/>
    </row>
    <row r="295" spans="11:12" x14ac:dyDescent="0.25">
      <c r="K295" s="227"/>
      <c r="L295" s="227"/>
    </row>
    <row r="296" spans="11:12" x14ac:dyDescent="0.25">
      <c r="K296" s="227"/>
      <c r="L296" s="227"/>
    </row>
    <row r="297" spans="11:12" x14ac:dyDescent="0.25">
      <c r="K297" s="227"/>
      <c r="L297" s="227"/>
    </row>
    <row r="298" spans="11:12" x14ac:dyDescent="0.25">
      <c r="K298" s="227"/>
      <c r="L298" s="227"/>
    </row>
    <row r="299" spans="11:12" x14ac:dyDescent="0.25">
      <c r="K299" s="227"/>
      <c r="L299" s="227"/>
    </row>
    <row r="300" spans="11:12" x14ac:dyDescent="0.25">
      <c r="K300" s="227"/>
      <c r="L300" s="227"/>
    </row>
    <row r="301" spans="11:12" x14ac:dyDescent="0.25">
      <c r="K301" s="227"/>
      <c r="L301" s="227"/>
    </row>
    <row r="302" spans="11:12" x14ac:dyDescent="0.25">
      <c r="K302" s="227"/>
      <c r="L302" s="227"/>
    </row>
    <row r="303" spans="11:12" x14ac:dyDescent="0.25">
      <c r="K303" s="227"/>
      <c r="L303" s="227"/>
    </row>
    <row r="304" spans="11:12" x14ac:dyDescent="0.25">
      <c r="K304" s="227"/>
      <c r="L304" s="227"/>
    </row>
    <row r="305" spans="11:12" x14ac:dyDescent="0.25">
      <c r="K305" s="227"/>
      <c r="L305" s="227"/>
    </row>
    <row r="306" spans="11:12" x14ac:dyDescent="0.25">
      <c r="K306" s="227"/>
      <c r="L306" s="227"/>
    </row>
    <row r="307" spans="11:12" x14ac:dyDescent="0.25">
      <c r="K307" s="227"/>
      <c r="L307" s="227"/>
    </row>
    <row r="308" spans="11:12" x14ac:dyDescent="0.25">
      <c r="K308" s="227"/>
      <c r="L308" s="227"/>
    </row>
    <row r="309" spans="11:12" x14ac:dyDescent="0.25">
      <c r="K309" s="227"/>
      <c r="L309" s="227"/>
    </row>
    <row r="310" spans="11:12" x14ac:dyDescent="0.25">
      <c r="K310" s="227"/>
      <c r="L310" s="227"/>
    </row>
    <row r="311" spans="11:12" x14ac:dyDescent="0.25">
      <c r="K311" s="227"/>
      <c r="L311" s="227"/>
    </row>
    <row r="312" spans="11:12" x14ac:dyDescent="0.25">
      <c r="K312" s="227"/>
      <c r="L312" s="227"/>
    </row>
    <row r="313" spans="11:12" x14ac:dyDescent="0.25">
      <c r="K313" s="227"/>
      <c r="L313" s="227"/>
    </row>
    <row r="314" spans="11:12" x14ac:dyDescent="0.25">
      <c r="K314" s="227"/>
      <c r="L314" s="227"/>
    </row>
    <row r="315" spans="11:12" x14ac:dyDescent="0.25">
      <c r="K315" s="227"/>
      <c r="L315" s="227"/>
    </row>
    <row r="316" spans="11:12" x14ac:dyDescent="0.25">
      <c r="K316" s="227"/>
      <c r="L316" s="227"/>
    </row>
    <row r="317" spans="11:12" x14ac:dyDescent="0.25">
      <c r="K317" s="227"/>
      <c r="L317" s="227"/>
    </row>
    <row r="318" spans="11:12" x14ac:dyDescent="0.25">
      <c r="K318" s="227"/>
      <c r="L318" s="227"/>
    </row>
    <row r="319" spans="11:12" x14ac:dyDescent="0.25">
      <c r="K319" s="227"/>
      <c r="L319" s="227"/>
    </row>
    <row r="320" spans="11:12" x14ac:dyDescent="0.25">
      <c r="K320" s="227"/>
      <c r="L320" s="227"/>
    </row>
    <row r="321" spans="11:12" x14ac:dyDescent="0.25">
      <c r="K321" s="227"/>
      <c r="L321" s="227"/>
    </row>
    <row r="322" spans="11:12" x14ac:dyDescent="0.25">
      <c r="K322" s="227"/>
      <c r="L322" s="227"/>
    </row>
    <row r="323" spans="11:12" x14ac:dyDescent="0.25">
      <c r="K323" s="227"/>
      <c r="L323" s="227"/>
    </row>
    <row r="324" spans="11:12" x14ac:dyDescent="0.25">
      <c r="K324" s="227"/>
      <c r="L324" s="227"/>
    </row>
    <row r="325" spans="11:12" x14ac:dyDescent="0.25">
      <c r="K325" s="227"/>
      <c r="L325" s="227"/>
    </row>
    <row r="326" spans="11:12" x14ac:dyDescent="0.25">
      <c r="K326" s="227"/>
      <c r="L326" s="227"/>
    </row>
    <row r="327" spans="11:12" x14ac:dyDescent="0.25">
      <c r="K327" s="227"/>
      <c r="L327" s="227"/>
    </row>
    <row r="328" spans="11:12" x14ac:dyDescent="0.25">
      <c r="K328" s="227"/>
      <c r="L328" s="227"/>
    </row>
    <row r="329" spans="11:12" x14ac:dyDescent="0.25">
      <c r="K329" s="227"/>
      <c r="L329" s="227"/>
    </row>
    <row r="330" spans="11:12" x14ac:dyDescent="0.25">
      <c r="K330" s="227"/>
      <c r="L330" s="227"/>
    </row>
    <row r="331" spans="11:12" x14ac:dyDescent="0.25">
      <c r="K331" s="227"/>
      <c r="L331" s="227"/>
    </row>
    <row r="332" spans="11:12" x14ac:dyDescent="0.25">
      <c r="K332" s="227"/>
      <c r="L332" s="227"/>
    </row>
    <row r="333" spans="11:12" x14ac:dyDescent="0.25">
      <c r="K333" s="227"/>
      <c r="L333" s="227"/>
    </row>
    <row r="334" spans="11:12" x14ac:dyDescent="0.25">
      <c r="K334" s="227"/>
      <c r="L334" s="227"/>
    </row>
    <row r="335" spans="11:12" x14ac:dyDescent="0.25">
      <c r="K335" s="227"/>
      <c r="L335" s="227"/>
    </row>
    <row r="336" spans="11:12" x14ac:dyDescent="0.25">
      <c r="K336" s="227"/>
      <c r="L336" s="227"/>
    </row>
    <row r="337" spans="11:12" x14ac:dyDescent="0.25">
      <c r="K337" s="227"/>
      <c r="L337" s="227"/>
    </row>
    <row r="338" spans="11:12" x14ac:dyDescent="0.25">
      <c r="K338" s="227"/>
      <c r="L338" s="227"/>
    </row>
    <row r="339" spans="11:12" x14ac:dyDescent="0.25">
      <c r="K339" s="227"/>
      <c r="L339" s="227"/>
    </row>
    <row r="340" spans="11:12" x14ac:dyDescent="0.25">
      <c r="K340" s="227"/>
      <c r="L340" s="227"/>
    </row>
    <row r="341" spans="11:12" x14ac:dyDescent="0.25">
      <c r="K341" s="227"/>
      <c r="L341" s="227"/>
    </row>
    <row r="342" spans="11:12" x14ac:dyDescent="0.25">
      <c r="K342" s="227"/>
      <c r="L342" s="227"/>
    </row>
    <row r="343" spans="11:12" x14ac:dyDescent="0.25">
      <c r="K343" s="227"/>
      <c r="L343" s="227"/>
    </row>
    <row r="344" spans="11:12" x14ac:dyDescent="0.25">
      <c r="K344" s="227"/>
      <c r="L344" s="227"/>
    </row>
    <row r="345" spans="11:12" x14ac:dyDescent="0.25">
      <c r="K345" s="227"/>
      <c r="L345" s="227"/>
    </row>
    <row r="346" spans="11:12" x14ac:dyDescent="0.25">
      <c r="K346" s="227"/>
      <c r="L346" s="227"/>
    </row>
    <row r="347" spans="11:12" x14ac:dyDescent="0.25">
      <c r="K347" s="227"/>
      <c r="L347" s="227"/>
    </row>
    <row r="348" spans="11:12" x14ac:dyDescent="0.25">
      <c r="K348" s="227"/>
      <c r="L348" s="227"/>
    </row>
    <row r="349" spans="11:12" x14ac:dyDescent="0.25">
      <c r="K349" s="227"/>
      <c r="L349" s="227"/>
    </row>
    <row r="350" spans="11:12" x14ac:dyDescent="0.25">
      <c r="K350" s="227"/>
      <c r="L350" s="227"/>
    </row>
    <row r="351" spans="11:12" x14ac:dyDescent="0.25">
      <c r="K351" s="227"/>
      <c r="L351" s="227"/>
    </row>
    <row r="352" spans="11:12" x14ac:dyDescent="0.25">
      <c r="K352" s="227"/>
      <c r="L352" s="227"/>
    </row>
    <row r="353" spans="11:12" x14ac:dyDescent="0.25">
      <c r="K353" s="227"/>
      <c r="L353" s="227"/>
    </row>
    <row r="354" spans="11:12" x14ac:dyDescent="0.25">
      <c r="K354" s="227"/>
      <c r="L354" s="227"/>
    </row>
    <row r="355" spans="11:12" x14ac:dyDescent="0.25">
      <c r="K355" s="227"/>
      <c r="L355" s="227"/>
    </row>
    <row r="356" spans="11:12" x14ac:dyDescent="0.25">
      <c r="K356" s="227"/>
      <c r="L356" s="227"/>
    </row>
    <row r="357" spans="11:12" x14ac:dyDescent="0.25">
      <c r="K357" s="227"/>
      <c r="L357" s="227"/>
    </row>
    <row r="358" spans="11:12" x14ac:dyDescent="0.25">
      <c r="K358" s="227"/>
      <c r="L358" s="227"/>
    </row>
    <row r="359" spans="11:12" x14ac:dyDescent="0.25">
      <c r="K359" s="227"/>
      <c r="L359" s="227"/>
    </row>
    <row r="360" spans="11:12" x14ac:dyDescent="0.25">
      <c r="K360" s="227"/>
      <c r="L360" s="227"/>
    </row>
    <row r="361" spans="11:12" x14ac:dyDescent="0.25">
      <c r="K361" s="227"/>
      <c r="L361" s="227"/>
    </row>
    <row r="362" spans="11:12" x14ac:dyDescent="0.25">
      <c r="K362" s="227"/>
      <c r="L362" s="227"/>
    </row>
    <row r="363" spans="11:12" x14ac:dyDescent="0.25">
      <c r="K363" s="227"/>
      <c r="L363" s="227"/>
    </row>
    <row r="364" spans="11:12" x14ac:dyDescent="0.25">
      <c r="K364" s="227"/>
      <c r="L364" s="227"/>
    </row>
    <row r="365" spans="11:12" x14ac:dyDescent="0.25">
      <c r="K365" s="227"/>
      <c r="L365" s="227"/>
    </row>
    <row r="366" spans="11:12" x14ac:dyDescent="0.25">
      <c r="K366" s="227"/>
      <c r="L366" s="227"/>
    </row>
    <row r="367" spans="11:12" x14ac:dyDescent="0.25">
      <c r="K367" s="227"/>
      <c r="L367" s="227"/>
    </row>
    <row r="368" spans="11:12" x14ac:dyDescent="0.25">
      <c r="K368" s="227"/>
      <c r="L368" s="227"/>
    </row>
    <row r="369" spans="11:12" x14ac:dyDescent="0.25">
      <c r="K369" s="227"/>
      <c r="L369" s="227"/>
    </row>
    <row r="370" spans="11:12" x14ac:dyDescent="0.25">
      <c r="K370" s="227"/>
      <c r="L370" s="227"/>
    </row>
    <row r="371" spans="11:12" x14ac:dyDescent="0.25">
      <c r="K371" s="227"/>
      <c r="L371" s="227"/>
    </row>
    <row r="372" spans="11:12" x14ac:dyDescent="0.25">
      <c r="K372" s="227"/>
      <c r="L372" s="227"/>
    </row>
    <row r="373" spans="11:12" x14ac:dyDescent="0.25">
      <c r="K373" s="227"/>
      <c r="L373" s="227"/>
    </row>
    <row r="374" spans="11:12" x14ac:dyDescent="0.25">
      <c r="K374" s="227"/>
      <c r="L374" s="227"/>
    </row>
    <row r="375" spans="11:12" x14ac:dyDescent="0.25">
      <c r="K375" s="227"/>
      <c r="L375" s="227"/>
    </row>
    <row r="376" spans="11:12" x14ac:dyDescent="0.25">
      <c r="K376" s="227"/>
      <c r="L376" s="227"/>
    </row>
    <row r="377" spans="11:12" x14ac:dyDescent="0.25">
      <c r="K377" s="227"/>
      <c r="L377" s="227"/>
    </row>
    <row r="378" spans="11:12" x14ac:dyDescent="0.25">
      <c r="K378" s="227"/>
      <c r="L378" s="227"/>
    </row>
    <row r="379" spans="11:12" x14ac:dyDescent="0.25">
      <c r="K379" s="227"/>
      <c r="L379" s="227"/>
    </row>
    <row r="380" spans="11:12" x14ac:dyDescent="0.25">
      <c r="K380" s="227"/>
      <c r="L380" s="227"/>
    </row>
    <row r="381" spans="11:12" x14ac:dyDescent="0.25">
      <c r="K381" s="227"/>
      <c r="L381" s="227"/>
    </row>
    <row r="382" spans="11:12" x14ac:dyDescent="0.25">
      <c r="K382" s="227"/>
      <c r="L382" s="227"/>
    </row>
    <row r="383" spans="11:12" x14ac:dyDescent="0.25">
      <c r="K383" s="227"/>
      <c r="L383" s="227"/>
    </row>
    <row r="384" spans="11:12" x14ac:dyDescent="0.25">
      <c r="K384" s="227"/>
      <c r="L384" s="227"/>
    </row>
    <row r="385" spans="11:12" x14ac:dyDescent="0.25">
      <c r="K385" s="227"/>
      <c r="L385" s="227"/>
    </row>
    <row r="386" spans="11:12" x14ac:dyDescent="0.25">
      <c r="K386" s="227"/>
      <c r="L386" s="227"/>
    </row>
    <row r="387" spans="11:12" x14ac:dyDescent="0.25">
      <c r="K387" s="227"/>
      <c r="L387" s="227"/>
    </row>
    <row r="388" spans="11:12" x14ac:dyDescent="0.25">
      <c r="K388" s="227"/>
      <c r="L388" s="227"/>
    </row>
    <row r="389" spans="11:12" x14ac:dyDescent="0.25">
      <c r="K389" s="227"/>
      <c r="L389" s="227"/>
    </row>
    <row r="390" spans="11:12" x14ac:dyDescent="0.25">
      <c r="K390" s="227"/>
      <c r="L390" s="227"/>
    </row>
    <row r="391" spans="11:12" x14ac:dyDescent="0.25">
      <c r="K391" s="227"/>
      <c r="L391" s="227"/>
    </row>
    <row r="392" spans="11:12" x14ac:dyDescent="0.25">
      <c r="K392" s="227"/>
      <c r="L392" s="227"/>
    </row>
    <row r="393" spans="11:12" x14ac:dyDescent="0.25">
      <c r="K393" s="227"/>
      <c r="L393" s="227"/>
    </row>
    <row r="394" spans="11:12" x14ac:dyDescent="0.25">
      <c r="K394" s="227"/>
      <c r="L394" s="227"/>
    </row>
    <row r="395" spans="11:12" x14ac:dyDescent="0.25">
      <c r="K395" s="227"/>
      <c r="L395" s="227"/>
    </row>
    <row r="396" spans="11:12" x14ac:dyDescent="0.25">
      <c r="K396" s="227"/>
      <c r="L396" s="227"/>
    </row>
    <row r="397" spans="11:12" x14ac:dyDescent="0.25">
      <c r="K397" s="227"/>
      <c r="L397" s="227"/>
    </row>
    <row r="398" spans="11:12" x14ac:dyDescent="0.25">
      <c r="K398" s="227"/>
      <c r="L398" s="227"/>
    </row>
    <row r="399" spans="11:12" x14ac:dyDescent="0.25">
      <c r="K399" s="227"/>
      <c r="L399" s="227"/>
    </row>
    <row r="400" spans="11:12" x14ac:dyDescent="0.25">
      <c r="K400" s="227"/>
      <c r="L400" s="227"/>
    </row>
    <row r="401" spans="11:12" x14ac:dyDescent="0.25">
      <c r="K401" s="227"/>
      <c r="L401" s="227"/>
    </row>
    <row r="402" spans="11:12" x14ac:dyDescent="0.25">
      <c r="K402" s="227"/>
      <c r="L402" s="227"/>
    </row>
    <row r="403" spans="11:12" x14ac:dyDescent="0.25">
      <c r="K403" s="227"/>
      <c r="L403" s="227"/>
    </row>
    <row r="404" spans="11:12" x14ac:dyDescent="0.25">
      <c r="K404" s="227"/>
      <c r="L404" s="227"/>
    </row>
    <row r="405" spans="11:12" x14ac:dyDescent="0.25">
      <c r="K405" s="227"/>
      <c r="L405" s="227"/>
    </row>
    <row r="406" spans="11:12" x14ac:dyDescent="0.25">
      <c r="K406" s="227"/>
      <c r="L406" s="227"/>
    </row>
    <row r="407" spans="11:12" x14ac:dyDescent="0.25">
      <c r="K407" s="227"/>
      <c r="L407" s="227"/>
    </row>
    <row r="408" spans="11:12" x14ac:dyDescent="0.25">
      <c r="K408" s="227"/>
      <c r="L408" s="227"/>
    </row>
    <row r="409" spans="11:12" x14ac:dyDescent="0.25">
      <c r="K409" s="227"/>
      <c r="L409" s="227"/>
    </row>
    <row r="410" spans="11:12" x14ac:dyDescent="0.25">
      <c r="K410" s="227"/>
      <c r="L410" s="227"/>
    </row>
    <row r="411" spans="11:12" x14ac:dyDescent="0.25">
      <c r="K411" s="227"/>
      <c r="L411" s="227"/>
    </row>
    <row r="412" spans="11:12" x14ac:dyDescent="0.25">
      <c r="K412" s="227"/>
      <c r="L412" s="227"/>
    </row>
    <row r="413" spans="11:12" x14ac:dyDescent="0.25">
      <c r="K413" s="227"/>
      <c r="L413" s="227"/>
    </row>
    <row r="414" spans="11:12" x14ac:dyDescent="0.25">
      <c r="K414" s="227"/>
      <c r="L414" s="227"/>
    </row>
    <row r="415" spans="11:12" x14ac:dyDescent="0.25">
      <c r="K415" s="227"/>
      <c r="L415" s="227"/>
    </row>
    <row r="416" spans="11:12" x14ac:dyDescent="0.25">
      <c r="K416" s="227"/>
      <c r="L416" s="227"/>
    </row>
    <row r="417" spans="11:12" x14ac:dyDescent="0.25">
      <c r="K417" s="227"/>
      <c r="L417" s="227"/>
    </row>
    <row r="418" spans="11:12" x14ac:dyDescent="0.25">
      <c r="K418" s="227"/>
      <c r="L418" s="227"/>
    </row>
    <row r="419" spans="11:12" x14ac:dyDescent="0.25">
      <c r="K419" s="227"/>
      <c r="L419" s="227"/>
    </row>
    <row r="420" spans="11:12" x14ac:dyDescent="0.25">
      <c r="K420" s="227"/>
      <c r="L420" s="227"/>
    </row>
    <row r="421" spans="11:12" x14ac:dyDescent="0.25">
      <c r="K421" s="227"/>
      <c r="L421" s="227"/>
    </row>
    <row r="422" spans="11:12" x14ac:dyDescent="0.25">
      <c r="K422" s="227"/>
      <c r="L422" s="227"/>
    </row>
    <row r="423" spans="11:12" x14ac:dyDescent="0.25">
      <c r="K423" s="227"/>
      <c r="L423" s="227"/>
    </row>
    <row r="424" spans="11:12" x14ac:dyDescent="0.25">
      <c r="K424" s="227"/>
      <c r="L424" s="227"/>
    </row>
    <row r="425" spans="11:12" x14ac:dyDescent="0.25">
      <c r="K425" s="227"/>
      <c r="L425" s="227"/>
    </row>
    <row r="426" spans="11:12" x14ac:dyDescent="0.25">
      <c r="K426" s="227"/>
      <c r="L426" s="227"/>
    </row>
    <row r="427" spans="11:12" x14ac:dyDescent="0.25">
      <c r="K427" s="227"/>
      <c r="L427" s="227"/>
    </row>
    <row r="428" spans="11:12" x14ac:dyDescent="0.25">
      <c r="K428" s="227"/>
      <c r="L428" s="227"/>
    </row>
    <row r="429" spans="11:12" x14ac:dyDescent="0.25">
      <c r="K429" s="227"/>
      <c r="L429" s="227"/>
    </row>
    <row r="430" spans="11:12" x14ac:dyDescent="0.25">
      <c r="K430" s="227"/>
      <c r="L430" s="227"/>
    </row>
    <row r="431" spans="11:12" x14ac:dyDescent="0.25">
      <c r="K431" s="227"/>
      <c r="L431" s="227"/>
    </row>
    <row r="432" spans="11:12" x14ac:dyDescent="0.25">
      <c r="K432" s="227"/>
      <c r="L432" s="227"/>
    </row>
    <row r="433" spans="11:12" x14ac:dyDescent="0.25">
      <c r="K433" s="227"/>
      <c r="L433" s="227"/>
    </row>
    <row r="434" spans="11:12" x14ac:dyDescent="0.25">
      <c r="K434" s="227"/>
      <c r="L434" s="227"/>
    </row>
    <row r="435" spans="11:12" x14ac:dyDescent="0.25">
      <c r="K435" s="227"/>
      <c r="L435" s="227"/>
    </row>
    <row r="436" spans="11:12" x14ac:dyDescent="0.25">
      <c r="K436" s="227"/>
      <c r="L436" s="227"/>
    </row>
    <row r="437" spans="11:12" x14ac:dyDescent="0.25">
      <c r="K437" s="227"/>
      <c r="L437" s="227"/>
    </row>
    <row r="438" spans="11:12" x14ac:dyDescent="0.25">
      <c r="K438" s="227"/>
      <c r="L438" s="227"/>
    </row>
    <row r="439" spans="11:12" x14ac:dyDescent="0.25">
      <c r="K439" s="227"/>
      <c r="L439" s="227"/>
    </row>
    <row r="440" spans="11:12" x14ac:dyDescent="0.25">
      <c r="K440" s="227"/>
      <c r="L440" s="227"/>
    </row>
    <row r="441" spans="11:12" x14ac:dyDescent="0.25">
      <c r="K441" s="227"/>
      <c r="L441" s="227"/>
    </row>
    <row r="442" spans="11:12" x14ac:dyDescent="0.25">
      <c r="K442" s="227"/>
      <c r="L442" s="227"/>
    </row>
    <row r="443" spans="11:12" x14ac:dyDescent="0.25">
      <c r="K443" s="227"/>
      <c r="L443" s="227"/>
    </row>
    <row r="444" spans="11:12" x14ac:dyDescent="0.25">
      <c r="K444" s="227"/>
      <c r="L444" s="227"/>
    </row>
    <row r="445" spans="11:12" x14ac:dyDescent="0.25">
      <c r="K445" s="227"/>
      <c r="L445" s="227"/>
    </row>
    <row r="446" spans="11:12" x14ac:dyDescent="0.25">
      <c r="K446" s="227"/>
      <c r="L446" s="227"/>
    </row>
    <row r="447" spans="11:12" x14ac:dyDescent="0.25">
      <c r="K447" s="227"/>
      <c r="L447" s="227"/>
    </row>
    <row r="448" spans="11:12" x14ac:dyDescent="0.25">
      <c r="K448" s="227"/>
      <c r="L448" s="227"/>
    </row>
    <row r="449" spans="11:12" x14ac:dyDescent="0.25">
      <c r="K449" s="227"/>
      <c r="L449" s="227"/>
    </row>
    <row r="450" spans="11:12" x14ac:dyDescent="0.25">
      <c r="K450" s="227"/>
      <c r="L450" s="227"/>
    </row>
    <row r="451" spans="11:12" x14ac:dyDescent="0.25">
      <c r="K451" s="227"/>
      <c r="L451" s="227"/>
    </row>
    <row r="452" spans="11:12" x14ac:dyDescent="0.25">
      <c r="K452" s="227"/>
      <c r="L452" s="227"/>
    </row>
    <row r="453" spans="11:12" x14ac:dyDescent="0.25">
      <c r="K453" s="227"/>
      <c r="L453" s="227"/>
    </row>
    <row r="454" spans="11:12" x14ac:dyDescent="0.25">
      <c r="K454" s="227"/>
      <c r="L454" s="227"/>
    </row>
    <row r="455" spans="11:12" x14ac:dyDescent="0.25">
      <c r="K455" s="227"/>
      <c r="L455" s="227"/>
    </row>
    <row r="456" spans="11:12" x14ac:dyDescent="0.25">
      <c r="K456" s="227"/>
      <c r="L456" s="227"/>
    </row>
    <row r="457" spans="11:12" x14ac:dyDescent="0.25">
      <c r="K457" s="227"/>
      <c r="L457" s="227"/>
    </row>
    <row r="458" spans="11:12" x14ac:dyDescent="0.25">
      <c r="K458" s="227"/>
      <c r="L458" s="227"/>
    </row>
    <row r="459" spans="11:12" x14ac:dyDescent="0.25">
      <c r="K459" s="227"/>
      <c r="L459" s="227"/>
    </row>
    <row r="460" spans="11:12" x14ac:dyDescent="0.25">
      <c r="K460" s="227"/>
      <c r="L460" s="227"/>
    </row>
    <row r="461" spans="11:12" x14ac:dyDescent="0.25">
      <c r="K461" s="227"/>
      <c r="L461" s="227"/>
    </row>
    <row r="462" spans="11:12" x14ac:dyDescent="0.25">
      <c r="K462" s="227"/>
      <c r="L462" s="227"/>
    </row>
    <row r="463" spans="11:12" x14ac:dyDescent="0.25">
      <c r="K463" s="227"/>
      <c r="L463" s="227"/>
    </row>
    <row r="464" spans="11:12" x14ac:dyDescent="0.25">
      <c r="K464" s="227"/>
      <c r="L464" s="227"/>
    </row>
    <row r="465" spans="11:12" x14ac:dyDescent="0.25">
      <c r="K465" s="227"/>
      <c r="L465" s="227"/>
    </row>
    <row r="466" spans="11:12" x14ac:dyDescent="0.25">
      <c r="K466" s="227"/>
      <c r="L466" s="227"/>
    </row>
    <row r="467" spans="11:12" x14ac:dyDescent="0.25">
      <c r="K467" s="227"/>
      <c r="L467" s="227"/>
    </row>
    <row r="468" spans="11:12" x14ac:dyDescent="0.25">
      <c r="K468" s="227"/>
      <c r="L468" s="227"/>
    </row>
    <row r="469" spans="11:12" x14ac:dyDescent="0.25">
      <c r="K469" s="227"/>
      <c r="L469" s="227"/>
    </row>
    <row r="470" spans="11:12" x14ac:dyDescent="0.25">
      <c r="K470" s="227"/>
      <c r="L470" s="227"/>
    </row>
    <row r="471" spans="11:12" x14ac:dyDescent="0.25">
      <c r="K471" s="227"/>
      <c r="L471" s="227"/>
    </row>
    <row r="472" spans="11:12" x14ac:dyDescent="0.25">
      <c r="K472" s="227"/>
      <c r="L472" s="227"/>
    </row>
    <row r="473" spans="11:12" x14ac:dyDescent="0.25">
      <c r="K473" s="227"/>
      <c r="L473" s="227"/>
    </row>
    <row r="474" spans="11:12" x14ac:dyDescent="0.25">
      <c r="K474" s="227"/>
      <c r="L474" s="227"/>
    </row>
    <row r="475" spans="11:12" x14ac:dyDescent="0.25">
      <c r="K475" s="227"/>
      <c r="L475" s="227"/>
    </row>
    <row r="476" spans="11:12" x14ac:dyDescent="0.25">
      <c r="K476" s="227"/>
      <c r="L476" s="227"/>
    </row>
    <row r="477" spans="11:12" x14ac:dyDescent="0.25">
      <c r="K477" s="227"/>
      <c r="L477" s="227"/>
    </row>
    <row r="478" spans="11:12" x14ac:dyDescent="0.25">
      <c r="K478" s="227"/>
      <c r="L478" s="227"/>
    </row>
    <row r="479" spans="11:12" x14ac:dyDescent="0.25">
      <c r="K479" s="227"/>
      <c r="L479" s="227"/>
    </row>
    <row r="480" spans="11:12" x14ac:dyDescent="0.25">
      <c r="K480" s="227"/>
      <c r="L480" s="227"/>
    </row>
    <row r="481" spans="11:12" x14ac:dyDescent="0.25">
      <c r="K481" s="227"/>
      <c r="L481" s="227"/>
    </row>
    <row r="482" spans="11:12" x14ac:dyDescent="0.25">
      <c r="K482" s="227"/>
      <c r="L482" s="227"/>
    </row>
    <row r="483" spans="11:12" x14ac:dyDescent="0.25">
      <c r="K483" s="227"/>
      <c r="L483" s="227"/>
    </row>
    <row r="484" spans="11:12" x14ac:dyDescent="0.25">
      <c r="K484" s="227"/>
      <c r="L484" s="227"/>
    </row>
    <row r="485" spans="11:12" x14ac:dyDescent="0.25">
      <c r="K485" s="227"/>
      <c r="L485" s="227"/>
    </row>
    <row r="486" spans="11:12" x14ac:dyDescent="0.25">
      <c r="K486" s="227"/>
      <c r="L486" s="227"/>
    </row>
    <row r="487" spans="11:12" x14ac:dyDescent="0.25">
      <c r="K487" s="227"/>
      <c r="L487" s="227"/>
    </row>
    <row r="488" spans="11:12" x14ac:dyDescent="0.25">
      <c r="K488" s="227"/>
      <c r="L488" s="227"/>
    </row>
    <row r="489" spans="11:12" x14ac:dyDescent="0.25">
      <c r="K489" s="227"/>
      <c r="L489" s="227"/>
    </row>
    <row r="490" spans="11:12" x14ac:dyDescent="0.25">
      <c r="K490" s="227"/>
      <c r="L490" s="227"/>
    </row>
    <row r="491" spans="11:12" x14ac:dyDescent="0.25">
      <c r="K491" s="227"/>
      <c r="L491" s="227"/>
    </row>
    <row r="492" spans="11:12" x14ac:dyDescent="0.25">
      <c r="K492" s="227"/>
      <c r="L492" s="227"/>
    </row>
    <row r="493" spans="11:12" x14ac:dyDescent="0.25">
      <c r="K493" s="227"/>
      <c r="L493" s="227"/>
    </row>
    <row r="494" spans="11:12" x14ac:dyDescent="0.25">
      <c r="K494" s="227"/>
      <c r="L494" s="227"/>
    </row>
    <row r="495" spans="11:12" x14ac:dyDescent="0.25">
      <c r="K495" s="227"/>
      <c r="L495" s="227"/>
    </row>
    <row r="496" spans="11:12" x14ac:dyDescent="0.25">
      <c r="K496" s="227"/>
      <c r="L496" s="227"/>
    </row>
    <row r="497" spans="11:12" x14ac:dyDescent="0.25">
      <c r="K497" s="227"/>
      <c r="L497" s="227"/>
    </row>
    <row r="498" spans="11:12" x14ac:dyDescent="0.25">
      <c r="K498" s="227"/>
      <c r="L498" s="227"/>
    </row>
    <row r="499" spans="11:12" x14ac:dyDescent="0.25">
      <c r="K499" s="227"/>
      <c r="L499" s="227"/>
    </row>
    <row r="500" spans="11:12" x14ac:dyDescent="0.25">
      <c r="K500" s="227"/>
      <c r="L500" s="227"/>
    </row>
    <row r="501" spans="11:12" x14ac:dyDescent="0.25">
      <c r="K501" s="227"/>
      <c r="L501" s="227"/>
    </row>
    <row r="502" spans="11:12" x14ac:dyDescent="0.25">
      <c r="K502" s="227"/>
      <c r="L502" s="227"/>
    </row>
    <row r="503" spans="11:12" x14ac:dyDescent="0.25">
      <c r="K503" s="227"/>
      <c r="L503" s="227"/>
    </row>
    <row r="504" spans="11:12" x14ac:dyDescent="0.25">
      <c r="K504" s="227"/>
      <c r="L504" s="227"/>
    </row>
    <row r="505" spans="11:12" x14ac:dyDescent="0.25">
      <c r="K505" s="227"/>
      <c r="L505" s="227"/>
    </row>
    <row r="506" spans="11:12" x14ac:dyDescent="0.25">
      <c r="K506" s="227"/>
      <c r="L506" s="227"/>
    </row>
    <row r="507" spans="11:12" x14ac:dyDescent="0.25">
      <c r="K507" s="227"/>
      <c r="L507" s="227"/>
    </row>
    <row r="508" spans="11:12" x14ac:dyDescent="0.25">
      <c r="K508" s="227"/>
      <c r="L508" s="227"/>
    </row>
    <row r="509" spans="11:12" x14ac:dyDescent="0.25">
      <c r="K509" s="227"/>
      <c r="L509" s="227"/>
    </row>
    <row r="510" spans="11:12" x14ac:dyDescent="0.25">
      <c r="K510" s="227"/>
      <c r="L510" s="227"/>
    </row>
    <row r="511" spans="11:12" x14ac:dyDescent="0.25">
      <c r="K511" s="227"/>
      <c r="L511" s="227"/>
    </row>
    <row r="512" spans="11:12" x14ac:dyDescent="0.25">
      <c r="K512" s="227"/>
      <c r="L512" s="227"/>
    </row>
    <row r="513" spans="11:12" x14ac:dyDescent="0.25">
      <c r="K513" s="227"/>
      <c r="L513" s="227"/>
    </row>
    <row r="514" spans="11:12" x14ac:dyDescent="0.25">
      <c r="K514" s="227"/>
      <c r="L514" s="227"/>
    </row>
    <row r="515" spans="11:12" x14ac:dyDescent="0.25">
      <c r="K515" s="227"/>
      <c r="L515" s="227"/>
    </row>
    <row r="516" spans="11:12" x14ac:dyDescent="0.25">
      <c r="K516" s="227"/>
      <c r="L516" s="227"/>
    </row>
    <row r="517" spans="11:12" x14ac:dyDescent="0.25">
      <c r="K517" s="227"/>
      <c r="L517" s="227"/>
    </row>
    <row r="518" spans="11:12" x14ac:dyDescent="0.25">
      <c r="K518" s="227"/>
      <c r="L518" s="227"/>
    </row>
    <row r="519" spans="11:12" x14ac:dyDescent="0.25">
      <c r="K519" s="227"/>
      <c r="L519" s="227"/>
    </row>
    <row r="520" spans="11:12" x14ac:dyDescent="0.25">
      <c r="K520" s="227"/>
      <c r="L520" s="227"/>
    </row>
    <row r="521" spans="11:12" x14ac:dyDescent="0.25">
      <c r="K521" s="227"/>
      <c r="L521" s="227"/>
    </row>
    <row r="522" spans="11:12" x14ac:dyDescent="0.25">
      <c r="K522" s="227"/>
      <c r="L522" s="227"/>
    </row>
    <row r="523" spans="11:12" x14ac:dyDescent="0.25">
      <c r="K523" s="227"/>
      <c r="L523" s="227"/>
    </row>
    <row r="524" spans="11:12" x14ac:dyDescent="0.25">
      <c r="K524" s="227"/>
      <c r="L524" s="227"/>
    </row>
    <row r="525" spans="11:12" x14ac:dyDescent="0.25">
      <c r="K525" s="227"/>
      <c r="L525" s="227"/>
    </row>
    <row r="526" spans="11:12" x14ac:dyDescent="0.25">
      <c r="K526" s="227"/>
      <c r="L526" s="227"/>
    </row>
    <row r="527" spans="11:12" x14ac:dyDescent="0.25">
      <c r="K527" s="227"/>
      <c r="L527" s="227"/>
    </row>
    <row r="528" spans="11:12" x14ac:dyDescent="0.25">
      <c r="K528" s="227"/>
      <c r="L528" s="227"/>
    </row>
    <row r="529" spans="11:12" x14ac:dyDescent="0.25">
      <c r="K529" s="227"/>
      <c r="L529" s="227"/>
    </row>
    <row r="530" spans="11:12" x14ac:dyDescent="0.25">
      <c r="K530" s="227"/>
      <c r="L530" s="227"/>
    </row>
    <row r="531" spans="11:12" x14ac:dyDescent="0.25">
      <c r="K531" s="227"/>
      <c r="L531" s="227"/>
    </row>
    <row r="532" spans="11:12" x14ac:dyDescent="0.25">
      <c r="K532" s="227"/>
      <c r="L532" s="227"/>
    </row>
    <row r="533" spans="11:12" x14ac:dyDescent="0.25">
      <c r="K533" s="227"/>
      <c r="L533" s="227"/>
    </row>
    <row r="534" spans="11:12" x14ac:dyDescent="0.25">
      <c r="K534" s="227"/>
      <c r="L534" s="227"/>
    </row>
    <row r="535" spans="11:12" x14ac:dyDescent="0.25">
      <c r="K535" s="227"/>
      <c r="L535" s="227"/>
    </row>
    <row r="536" spans="11:12" x14ac:dyDescent="0.25">
      <c r="K536" s="227"/>
      <c r="L536" s="227"/>
    </row>
    <row r="537" spans="11:12" x14ac:dyDescent="0.25">
      <c r="K537" s="227"/>
      <c r="L537" s="227"/>
    </row>
    <row r="538" spans="11:12" x14ac:dyDescent="0.25">
      <c r="K538" s="227"/>
      <c r="L538" s="227"/>
    </row>
    <row r="539" spans="11:12" x14ac:dyDescent="0.25">
      <c r="K539" s="227"/>
      <c r="L539" s="227"/>
    </row>
    <row r="540" spans="11:12" x14ac:dyDescent="0.25">
      <c r="K540" s="227"/>
      <c r="L540" s="227"/>
    </row>
    <row r="541" spans="11:12" x14ac:dyDescent="0.25">
      <c r="K541" s="227"/>
      <c r="L541" s="227"/>
    </row>
    <row r="542" spans="11:12" x14ac:dyDescent="0.25">
      <c r="K542" s="227"/>
      <c r="L542" s="227"/>
    </row>
    <row r="543" spans="11:12" x14ac:dyDescent="0.25">
      <c r="K543" s="227"/>
      <c r="L543" s="227"/>
    </row>
    <row r="544" spans="11:12" x14ac:dyDescent="0.25">
      <c r="K544" s="227"/>
      <c r="L544" s="227"/>
    </row>
    <row r="545" spans="11:12" x14ac:dyDescent="0.25">
      <c r="K545" s="227"/>
      <c r="L545" s="227"/>
    </row>
    <row r="546" spans="11:12" x14ac:dyDescent="0.25">
      <c r="K546" s="227"/>
      <c r="L546" s="227"/>
    </row>
    <row r="547" spans="11:12" x14ac:dyDescent="0.25">
      <c r="K547" s="227"/>
      <c r="L547" s="227"/>
    </row>
    <row r="548" spans="11:12" x14ac:dyDescent="0.25">
      <c r="K548" s="227"/>
      <c r="L548" s="227"/>
    </row>
    <row r="549" spans="11:12" x14ac:dyDescent="0.25">
      <c r="K549" s="227"/>
      <c r="L549" s="227"/>
    </row>
    <row r="550" spans="11:12" x14ac:dyDescent="0.25">
      <c r="K550" s="227"/>
      <c r="L550" s="227"/>
    </row>
    <row r="551" spans="11:12" x14ac:dyDescent="0.25">
      <c r="K551" s="227"/>
      <c r="L551" s="227"/>
    </row>
    <row r="552" spans="11:12" x14ac:dyDescent="0.25">
      <c r="K552" s="227"/>
      <c r="L552" s="227"/>
    </row>
    <row r="553" spans="11:12" x14ac:dyDescent="0.25">
      <c r="K553" s="227"/>
      <c r="L553" s="227"/>
    </row>
    <row r="554" spans="11:12" x14ac:dyDescent="0.25">
      <c r="K554" s="227"/>
      <c r="L554" s="227"/>
    </row>
    <row r="555" spans="11:12" x14ac:dyDescent="0.25">
      <c r="K555" s="227"/>
      <c r="L555" s="227"/>
    </row>
    <row r="556" spans="11:12" x14ac:dyDescent="0.25">
      <c r="K556" s="227"/>
      <c r="L556" s="227"/>
    </row>
    <row r="557" spans="11:12" x14ac:dyDescent="0.25">
      <c r="K557" s="227"/>
      <c r="L557" s="227"/>
    </row>
    <row r="558" spans="11:12" x14ac:dyDescent="0.25">
      <c r="K558" s="227"/>
      <c r="L558" s="227"/>
    </row>
    <row r="559" spans="11:12" x14ac:dyDescent="0.25">
      <c r="K559" s="227"/>
      <c r="L559" s="227"/>
    </row>
    <row r="560" spans="11:12" x14ac:dyDescent="0.25">
      <c r="K560" s="227"/>
      <c r="L560" s="227"/>
    </row>
    <row r="561" spans="11:12" x14ac:dyDescent="0.25">
      <c r="K561" s="227"/>
      <c r="L561" s="227"/>
    </row>
    <row r="562" spans="11:12" x14ac:dyDescent="0.25">
      <c r="K562" s="227"/>
      <c r="L562" s="227"/>
    </row>
    <row r="563" spans="11:12" x14ac:dyDescent="0.25">
      <c r="K563" s="227"/>
      <c r="L563" s="227"/>
    </row>
    <row r="564" spans="11:12" x14ac:dyDescent="0.25">
      <c r="K564" s="227"/>
      <c r="L564" s="227"/>
    </row>
    <row r="565" spans="11:12" x14ac:dyDescent="0.25">
      <c r="K565" s="227"/>
      <c r="L565" s="227"/>
    </row>
    <row r="566" spans="11:12" x14ac:dyDescent="0.25">
      <c r="K566" s="227"/>
      <c r="L566" s="227"/>
    </row>
    <row r="567" spans="11:12" x14ac:dyDescent="0.25">
      <c r="K567" s="227"/>
      <c r="L567" s="227"/>
    </row>
    <row r="568" spans="11:12" x14ac:dyDescent="0.25">
      <c r="K568" s="227"/>
      <c r="L568" s="227"/>
    </row>
    <row r="569" spans="11:12" x14ac:dyDescent="0.25">
      <c r="K569" s="227"/>
      <c r="L569" s="227"/>
    </row>
    <row r="570" spans="11:12" x14ac:dyDescent="0.25">
      <c r="K570" s="227"/>
      <c r="L570" s="227"/>
    </row>
    <row r="571" spans="11:12" x14ac:dyDescent="0.25">
      <c r="K571" s="227"/>
      <c r="L571" s="227"/>
    </row>
    <row r="572" spans="11:12" x14ac:dyDescent="0.25">
      <c r="K572" s="227"/>
      <c r="L572" s="227"/>
    </row>
    <row r="573" spans="11:12" x14ac:dyDescent="0.25">
      <c r="K573" s="227"/>
      <c r="L573" s="227"/>
    </row>
    <row r="574" spans="11:12" x14ac:dyDescent="0.25">
      <c r="K574" s="227"/>
      <c r="L574" s="227"/>
    </row>
    <row r="575" spans="11:12" x14ac:dyDescent="0.25">
      <c r="K575" s="227"/>
      <c r="L575" s="227"/>
    </row>
    <row r="576" spans="11:12" x14ac:dyDescent="0.25">
      <c r="K576" s="227"/>
      <c r="L576" s="227"/>
    </row>
    <row r="577" spans="11:12" x14ac:dyDescent="0.25">
      <c r="K577" s="227"/>
      <c r="L577" s="227"/>
    </row>
    <row r="578" spans="11:12" x14ac:dyDescent="0.25">
      <c r="K578" s="227"/>
      <c r="L578" s="227"/>
    </row>
    <row r="579" spans="11:12" x14ac:dyDescent="0.25">
      <c r="K579" s="227"/>
      <c r="L579" s="227"/>
    </row>
    <row r="580" spans="11:12" x14ac:dyDescent="0.25">
      <c r="K580" s="227"/>
      <c r="L580" s="227"/>
    </row>
    <row r="581" spans="11:12" x14ac:dyDescent="0.25">
      <c r="K581" s="227"/>
      <c r="L581" s="227"/>
    </row>
    <row r="582" spans="11:12" x14ac:dyDescent="0.25">
      <c r="K582" s="227"/>
      <c r="L582" s="227"/>
    </row>
    <row r="583" spans="11:12" x14ac:dyDescent="0.25">
      <c r="K583" s="227"/>
      <c r="L583" s="227"/>
    </row>
    <row r="584" spans="11:12" x14ac:dyDescent="0.25">
      <c r="K584" s="227"/>
      <c r="L584" s="227"/>
    </row>
    <row r="585" spans="11:12" x14ac:dyDescent="0.25">
      <c r="K585" s="227"/>
      <c r="L585" s="227"/>
    </row>
    <row r="586" spans="11:12" x14ac:dyDescent="0.25">
      <c r="K586" s="227"/>
      <c r="L586" s="227"/>
    </row>
    <row r="587" spans="11:12" x14ac:dyDescent="0.25">
      <c r="K587" s="227"/>
      <c r="L587" s="227"/>
    </row>
    <row r="588" spans="11:12" x14ac:dyDescent="0.25">
      <c r="K588" s="227"/>
      <c r="L588" s="227"/>
    </row>
    <row r="589" spans="11:12" x14ac:dyDescent="0.25">
      <c r="K589" s="227"/>
      <c r="L589" s="227"/>
    </row>
    <row r="590" spans="11:12" x14ac:dyDescent="0.25">
      <c r="K590" s="227"/>
      <c r="L590" s="227"/>
    </row>
    <row r="591" spans="11:12" x14ac:dyDescent="0.25">
      <c r="K591" s="227"/>
      <c r="L591" s="227"/>
    </row>
    <row r="592" spans="11:12" x14ac:dyDescent="0.25">
      <c r="K592" s="227"/>
      <c r="L592" s="227"/>
    </row>
    <row r="593" spans="11:12" x14ac:dyDescent="0.25">
      <c r="K593" s="227"/>
      <c r="L593" s="227"/>
    </row>
    <row r="594" spans="11:12" x14ac:dyDescent="0.25">
      <c r="K594" s="227"/>
      <c r="L594" s="227"/>
    </row>
    <row r="595" spans="11:12" x14ac:dyDescent="0.25">
      <c r="K595" s="227"/>
      <c r="L595" s="227"/>
    </row>
    <row r="596" spans="11:12" x14ac:dyDescent="0.25">
      <c r="K596" s="227"/>
      <c r="L596" s="227"/>
    </row>
    <row r="597" spans="11:12" x14ac:dyDescent="0.25">
      <c r="K597" s="227"/>
      <c r="L597" s="227"/>
    </row>
    <row r="598" spans="11:12" x14ac:dyDescent="0.25">
      <c r="K598" s="227"/>
      <c r="L598" s="227"/>
    </row>
    <row r="599" spans="11:12" x14ac:dyDescent="0.25">
      <c r="K599" s="227"/>
      <c r="L599" s="227"/>
    </row>
    <row r="600" spans="11:12" x14ac:dyDescent="0.25">
      <c r="K600" s="227"/>
      <c r="L600" s="227"/>
    </row>
    <row r="601" spans="11:12" x14ac:dyDescent="0.25">
      <c r="K601" s="227"/>
      <c r="L601" s="227"/>
    </row>
    <row r="602" spans="11:12" x14ac:dyDescent="0.25">
      <c r="K602" s="227"/>
      <c r="L602" s="227"/>
    </row>
    <row r="603" spans="11:12" x14ac:dyDescent="0.25">
      <c r="K603" s="227"/>
      <c r="L603" s="227"/>
    </row>
    <row r="604" spans="11:12" x14ac:dyDescent="0.25">
      <c r="K604" s="227"/>
      <c r="L604" s="227"/>
    </row>
    <row r="605" spans="11:12" x14ac:dyDescent="0.25">
      <c r="K605" s="227"/>
      <c r="L605" s="227"/>
    </row>
    <row r="606" spans="11:12" x14ac:dyDescent="0.25">
      <c r="K606" s="227"/>
      <c r="L606" s="227"/>
    </row>
    <row r="607" spans="11:12" x14ac:dyDescent="0.25">
      <c r="K607" s="227"/>
      <c r="L607" s="227"/>
    </row>
    <row r="608" spans="11:12" x14ac:dyDescent="0.25">
      <c r="K608" s="227"/>
      <c r="L608" s="227"/>
    </row>
    <row r="609" spans="11:12" x14ac:dyDescent="0.25">
      <c r="K609" s="227"/>
      <c r="L609" s="227"/>
    </row>
    <row r="610" spans="11:12" x14ac:dyDescent="0.25">
      <c r="K610" s="227"/>
      <c r="L610" s="227"/>
    </row>
    <row r="611" spans="11:12" x14ac:dyDescent="0.25">
      <c r="K611" s="227"/>
      <c r="L611" s="227"/>
    </row>
    <row r="612" spans="11:12" x14ac:dyDescent="0.25">
      <c r="K612" s="227"/>
      <c r="L612" s="227"/>
    </row>
    <row r="613" spans="11:12" x14ac:dyDescent="0.25">
      <c r="K613" s="227"/>
      <c r="L613" s="227"/>
    </row>
    <row r="614" spans="11:12" x14ac:dyDescent="0.25">
      <c r="K614" s="227"/>
      <c r="L614" s="227"/>
    </row>
    <row r="615" spans="11:12" x14ac:dyDescent="0.25">
      <c r="K615" s="227"/>
      <c r="L615" s="227"/>
    </row>
    <row r="616" spans="11:12" x14ac:dyDescent="0.25">
      <c r="K616" s="227"/>
      <c r="L616" s="227"/>
    </row>
    <row r="617" spans="11:12" x14ac:dyDescent="0.25">
      <c r="K617" s="227"/>
      <c r="L617" s="227"/>
    </row>
    <row r="618" spans="11:12" x14ac:dyDescent="0.25">
      <c r="K618" s="227"/>
      <c r="L618" s="227"/>
    </row>
    <row r="619" spans="11:12" x14ac:dyDescent="0.25">
      <c r="K619" s="227"/>
      <c r="L619" s="227"/>
    </row>
    <row r="620" spans="11:12" x14ac:dyDescent="0.25">
      <c r="K620" s="227"/>
      <c r="L620" s="227"/>
    </row>
    <row r="621" spans="11:12" x14ac:dyDescent="0.25">
      <c r="K621" s="227"/>
      <c r="L621" s="227"/>
    </row>
    <row r="622" spans="11:12" x14ac:dyDescent="0.25">
      <c r="K622" s="227"/>
      <c r="L622" s="227"/>
    </row>
    <row r="623" spans="11:12" x14ac:dyDescent="0.25">
      <c r="K623" s="227"/>
      <c r="L623" s="227"/>
    </row>
    <row r="624" spans="11:12" x14ac:dyDescent="0.25">
      <c r="K624" s="227"/>
      <c r="L624" s="227"/>
    </row>
    <row r="625" spans="11:12" x14ac:dyDescent="0.25">
      <c r="K625" s="227"/>
      <c r="L625" s="227"/>
    </row>
    <row r="626" spans="11:12" x14ac:dyDescent="0.25">
      <c r="K626" s="227"/>
      <c r="L626" s="227"/>
    </row>
    <row r="627" spans="11:12" x14ac:dyDescent="0.25">
      <c r="K627" s="227"/>
      <c r="L627" s="227"/>
    </row>
    <row r="628" spans="11:12" x14ac:dyDescent="0.25">
      <c r="K628" s="227"/>
      <c r="L628" s="227"/>
    </row>
    <row r="629" spans="11:12" x14ac:dyDescent="0.25">
      <c r="K629" s="227"/>
      <c r="L629" s="227"/>
    </row>
    <row r="630" spans="11:12" x14ac:dyDescent="0.25">
      <c r="K630" s="227"/>
      <c r="L630" s="227"/>
    </row>
    <row r="631" spans="11:12" x14ac:dyDescent="0.25">
      <c r="K631" s="227"/>
      <c r="L631" s="227"/>
    </row>
    <row r="632" spans="11:12" x14ac:dyDescent="0.25">
      <c r="K632" s="227"/>
      <c r="L632" s="227"/>
    </row>
    <row r="633" spans="11:12" x14ac:dyDescent="0.25">
      <c r="K633" s="227"/>
      <c r="L633" s="227"/>
    </row>
    <row r="634" spans="11:12" x14ac:dyDescent="0.25">
      <c r="K634" s="227"/>
      <c r="L634" s="227"/>
    </row>
    <row r="635" spans="11:12" x14ac:dyDescent="0.25">
      <c r="K635" s="227"/>
      <c r="L635" s="227"/>
    </row>
    <row r="636" spans="11:12" x14ac:dyDescent="0.25">
      <c r="K636" s="227"/>
      <c r="L636" s="227"/>
    </row>
    <row r="637" spans="11:12" x14ac:dyDescent="0.25">
      <c r="K637" s="227"/>
      <c r="L637" s="227"/>
    </row>
    <row r="638" spans="11:12" x14ac:dyDescent="0.25">
      <c r="K638" s="227"/>
      <c r="L638" s="227"/>
    </row>
    <row r="639" spans="11:12" x14ac:dyDescent="0.25">
      <c r="K639" s="227"/>
      <c r="L639" s="227"/>
    </row>
    <row r="640" spans="11:12" x14ac:dyDescent="0.25">
      <c r="K640" s="227"/>
      <c r="L640" s="227"/>
    </row>
    <row r="641" spans="11:12" x14ac:dyDescent="0.25">
      <c r="K641" s="227"/>
      <c r="L641" s="227"/>
    </row>
    <row r="642" spans="11:12" x14ac:dyDescent="0.25">
      <c r="K642" s="227"/>
      <c r="L642" s="227"/>
    </row>
    <row r="643" spans="11:12" x14ac:dyDescent="0.25">
      <c r="K643" s="227"/>
      <c r="L643" s="227"/>
    </row>
    <row r="644" spans="11:12" x14ac:dyDescent="0.25">
      <c r="K644" s="227"/>
      <c r="L644" s="227"/>
    </row>
    <row r="645" spans="11:12" x14ac:dyDescent="0.25">
      <c r="K645" s="227"/>
      <c r="L645" s="227"/>
    </row>
    <row r="646" spans="11:12" x14ac:dyDescent="0.25">
      <c r="K646" s="227"/>
      <c r="L646" s="227"/>
    </row>
    <row r="647" spans="11:12" x14ac:dyDescent="0.25">
      <c r="K647" s="227"/>
      <c r="L647" s="227"/>
    </row>
    <row r="648" spans="11:12" x14ac:dyDescent="0.25">
      <c r="K648" s="227"/>
      <c r="L648" s="227"/>
    </row>
    <row r="649" spans="11:12" x14ac:dyDescent="0.25">
      <c r="K649" s="227"/>
      <c r="L649" s="227"/>
    </row>
    <row r="650" spans="11:12" x14ac:dyDescent="0.25">
      <c r="K650" s="227"/>
      <c r="L650" s="227"/>
    </row>
    <row r="651" spans="11:12" x14ac:dyDescent="0.25">
      <c r="K651" s="227"/>
      <c r="L651" s="227"/>
    </row>
    <row r="652" spans="11:12" x14ac:dyDescent="0.25">
      <c r="K652" s="227"/>
      <c r="L652" s="227"/>
    </row>
    <row r="653" spans="11:12" x14ac:dyDescent="0.25">
      <c r="K653" s="227"/>
      <c r="L653" s="227"/>
    </row>
    <row r="654" spans="11:12" x14ac:dyDescent="0.25">
      <c r="K654" s="227"/>
      <c r="L654" s="227"/>
    </row>
    <row r="655" spans="11:12" x14ac:dyDescent="0.25">
      <c r="K655" s="227"/>
      <c r="L655" s="227"/>
    </row>
    <row r="656" spans="11:12" x14ac:dyDescent="0.25">
      <c r="K656" s="227"/>
      <c r="L656" s="227"/>
    </row>
    <row r="657" spans="11:12" x14ac:dyDescent="0.25">
      <c r="K657" s="227"/>
      <c r="L657" s="227"/>
    </row>
    <row r="658" spans="11:12" x14ac:dyDescent="0.25">
      <c r="K658" s="227"/>
      <c r="L658" s="227"/>
    </row>
    <row r="659" spans="11:12" x14ac:dyDescent="0.25">
      <c r="K659" s="227"/>
      <c r="L659" s="227"/>
    </row>
    <row r="660" spans="11:12" x14ac:dyDescent="0.25">
      <c r="K660" s="227"/>
      <c r="L660" s="227"/>
    </row>
    <row r="661" spans="11:12" x14ac:dyDescent="0.25">
      <c r="K661" s="227"/>
      <c r="L661" s="227"/>
    </row>
    <row r="662" spans="11:12" x14ac:dyDescent="0.25">
      <c r="K662" s="227"/>
      <c r="L662" s="227"/>
    </row>
    <row r="663" spans="11:12" x14ac:dyDescent="0.25">
      <c r="K663" s="227"/>
      <c r="L663" s="227"/>
    </row>
    <row r="664" spans="11:12" x14ac:dyDescent="0.25">
      <c r="K664" s="227"/>
      <c r="L664" s="227"/>
    </row>
    <row r="665" spans="11:12" x14ac:dyDescent="0.25">
      <c r="K665" s="227"/>
      <c r="L665" s="227"/>
    </row>
    <row r="666" spans="11:12" x14ac:dyDescent="0.25">
      <c r="K666" s="227"/>
      <c r="L666" s="227"/>
    </row>
    <row r="667" spans="11:12" x14ac:dyDescent="0.25">
      <c r="K667" s="227"/>
      <c r="L667" s="227"/>
    </row>
    <row r="668" spans="11:12" x14ac:dyDescent="0.25">
      <c r="K668" s="227"/>
      <c r="L668" s="227"/>
    </row>
    <row r="669" spans="11:12" x14ac:dyDescent="0.25">
      <c r="K669" s="227"/>
      <c r="L669" s="227"/>
    </row>
    <row r="670" spans="11:12" x14ac:dyDescent="0.25">
      <c r="K670" s="227"/>
      <c r="L670" s="227"/>
    </row>
    <row r="671" spans="11:12" x14ac:dyDescent="0.25">
      <c r="K671" s="227"/>
      <c r="L671" s="227"/>
    </row>
    <row r="672" spans="11:12" x14ac:dyDescent="0.25">
      <c r="K672" s="227"/>
      <c r="L672" s="227"/>
    </row>
    <row r="673" spans="11:12" x14ac:dyDescent="0.25">
      <c r="K673" s="227"/>
      <c r="L673" s="227"/>
    </row>
    <row r="674" spans="11:12" x14ac:dyDescent="0.25">
      <c r="K674" s="227"/>
      <c r="L674" s="227"/>
    </row>
    <row r="675" spans="11:12" x14ac:dyDescent="0.25">
      <c r="K675" s="227"/>
      <c r="L675" s="227"/>
    </row>
    <row r="676" spans="11:12" x14ac:dyDescent="0.25">
      <c r="K676" s="227"/>
      <c r="L676" s="227"/>
    </row>
    <row r="677" spans="11:12" x14ac:dyDescent="0.25">
      <c r="K677" s="227"/>
      <c r="L677" s="227"/>
    </row>
    <row r="678" spans="11:12" x14ac:dyDescent="0.25">
      <c r="K678" s="227"/>
      <c r="L678" s="227"/>
    </row>
    <row r="679" spans="11:12" x14ac:dyDescent="0.25">
      <c r="K679" s="227"/>
      <c r="L679" s="227"/>
    </row>
    <row r="680" spans="11:12" x14ac:dyDescent="0.25">
      <c r="K680" s="227"/>
      <c r="L680" s="227"/>
    </row>
    <row r="681" spans="11:12" x14ac:dyDescent="0.25">
      <c r="K681" s="227"/>
      <c r="L681" s="227"/>
    </row>
    <row r="682" spans="11:12" x14ac:dyDescent="0.25">
      <c r="K682" s="227"/>
      <c r="L682" s="227"/>
    </row>
    <row r="683" spans="11:12" x14ac:dyDescent="0.25">
      <c r="K683" s="227"/>
      <c r="L683" s="227"/>
    </row>
    <row r="684" spans="11:12" x14ac:dyDescent="0.25">
      <c r="K684" s="227"/>
      <c r="L684" s="227"/>
    </row>
    <row r="685" spans="11:12" x14ac:dyDescent="0.25">
      <c r="K685" s="227"/>
      <c r="L685" s="227"/>
    </row>
    <row r="686" spans="11:12" x14ac:dyDescent="0.25">
      <c r="K686" s="227"/>
      <c r="L686" s="227"/>
    </row>
    <row r="687" spans="11:12" x14ac:dyDescent="0.25">
      <c r="K687" s="227"/>
      <c r="L687" s="227"/>
    </row>
    <row r="688" spans="11:12" x14ac:dyDescent="0.25">
      <c r="K688" s="227"/>
      <c r="L688" s="227"/>
    </row>
    <row r="689" spans="11:12" x14ac:dyDescent="0.25">
      <c r="K689" s="227"/>
      <c r="L689" s="227"/>
    </row>
    <row r="690" spans="11:12" x14ac:dyDescent="0.25">
      <c r="K690" s="227"/>
      <c r="L690" s="227"/>
    </row>
    <row r="691" spans="11:12" x14ac:dyDescent="0.25">
      <c r="K691" s="227"/>
      <c r="L691" s="227"/>
    </row>
    <row r="692" spans="11:12" x14ac:dyDescent="0.25">
      <c r="K692" s="227"/>
      <c r="L692" s="227"/>
    </row>
    <row r="693" spans="11:12" x14ac:dyDescent="0.25">
      <c r="K693" s="227"/>
      <c r="L693" s="227"/>
    </row>
    <row r="694" spans="11:12" x14ac:dyDescent="0.25">
      <c r="K694" s="227"/>
      <c r="L694" s="227"/>
    </row>
    <row r="695" spans="11:12" x14ac:dyDescent="0.25">
      <c r="K695" s="227"/>
      <c r="L695" s="227"/>
    </row>
    <row r="696" spans="11:12" x14ac:dyDescent="0.25">
      <c r="K696" s="227"/>
      <c r="L696" s="227"/>
    </row>
    <row r="697" spans="11:12" x14ac:dyDescent="0.25">
      <c r="K697" s="227"/>
      <c r="L697" s="227"/>
    </row>
    <row r="698" spans="11:12" x14ac:dyDescent="0.25">
      <c r="K698" s="227"/>
      <c r="L698" s="227"/>
    </row>
    <row r="699" spans="11:12" x14ac:dyDescent="0.25">
      <c r="K699" s="227"/>
      <c r="L699" s="227"/>
    </row>
    <row r="700" spans="11:12" x14ac:dyDescent="0.25">
      <c r="K700" s="227"/>
      <c r="L700" s="227"/>
    </row>
    <row r="701" spans="11:12" x14ac:dyDescent="0.25">
      <c r="K701" s="227"/>
      <c r="L701" s="227"/>
    </row>
    <row r="702" spans="11:12" x14ac:dyDescent="0.25">
      <c r="K702" s="227"/>
      <c r="L702" s="227"/>
    </row>
    <row r="703" spans="11:12" x14ac:dyDescent="0.25">
      <c r="K703" s="227"/>
      <c r="L703" s="227"/>
    </row>
    <row r="704" spans="11:12" x14ac:dyDescent="0.25">
      <c r="K704" s="227"/>
      <c r="L704" s="227"/>
    </row>
    <row r="705" spans="11:12" x14ac:dyDescent="0.25">
      <c r="K705" s="227"/>
      <c r="L705" s="227"/>
    </row>
    <row r="706" spans="11:12" x14ac:dyDescent="0.25">
      <c r="K706" s="227"/>
      <c r="L706" s="227"/>
    </row>
    <row r="707" spans="11:12" x14ac:dyDescent="0.25">
      <c r="K707" s="227"/>
      <c r="L707" s="227"/>
    </row>
    <row r="708" spans="11:12" x14ac:dyDescent="0.25">
      <c r="K708" s="227"/>
      <c r="L708" s="227"/>
    </row>
    <row r="709" spans="11:12" x14ac:dyDescent="0.25">
      <c r="K709" s="227"/>
      <c r="L709" s="227"/>
    </row>
    <row r="710" spans="11:12" x14ac:dyDescent="0.25">
      <c r="K710" s="227"/>
      <c r="L710" s="227"/>
    </row>
    <row r="711" spans="11:12" x14ac:dyDescent="0.25">
      <c r="K711" s="227"/>
      <c r="L711" s="227"/>
    </row>
    <row r="712" spans="11:12" x14ac:dyDescent="0.25">
      <c r="K712" s="227"/>
      <c r="L712" s="227"/>
    </row>
    <row r="713" spans="11:12" x14ac:dyDescent="0.25">
      <c r="K713" s="227"/>
      <c r="L713" s="227"/>
    </row>
    <row r="714" spans="11:12" x14ac:dyDescent="0.25">
      <c r="K714" s="227"/>
      <c r="L714" s="227"/>
    </row>
    <row r="715" spans="11:12" x14ac:dyDescent="0.25">
      <c r="K715" s="227"/>
      <c r="L715" s="227"/>
    </row>
    <row r="716" spans="11:12" x14ac:dyDescent="0.25">
      <c r="K716" s="227"/>
      <c r="L716" s="227"/>
    </row>
    <row r="717" spans="11:12" x14ac:dyDescent="0.25">
      <c r="K717" s="227"/>
      <c r="L717" s="227"/>
    </row>
    <row r="718" spans="11:12" x14ac:dyDescent="0.25">
      <c r="K718" s="227"/>
      <c r="L718" s="227"/>
    </row>
    <row r="719" spans="11:12" x14ac:dyDescent="0.25">
      <c r="K719" s="227"/>
      <c r="L719" s="227"/>
    </row>
    <row r="720" spans="11:12" x14ac:dyDescent="0.25">
      <c r="K720" s="227"/>
      <c r="L720" s="227"/>
    </row>
    <row r="721" spans="11:12" x14ac:dyDescent="0.25">
      <c r="K721" s="227"/>
      <c r="L721" s="227"/>
    </row>
    <row r="722" spans="11:12" x14ac:dyDescent="0.25">
      <c r="K722" s="227"/>
      <c r="L722" s="227"/>
    </row>
    <row r="723" spans="11:12" x14ac:dyDescent="0.25">
      <c r="K723" s="227"/>
      <c r="L723" s="227"/>
    </row>
    <row r="724" spans="11:12" x14ac:dyDescent="0.25">
      <c r="K724" s="227"/>
      <c r="L724" s="227"/>
    </row>
    <row r="725" spans="11:12" x14ac:dyDescent="0.25">
      <c r="K725" s="227"/>
      <c r="L725" s="227"/>
    </row>
    <row r="726" spans="11:12" x14ac:dyDescent="0.25">
      <c r="K726" s="227"/>
      <c r="L726" s="227"/>
    </row>
    <row r="727" spans="11:12" x14ac:dyDescent="0.25">
      <c r="K727" s="227"/>
      <c r="L727" s="227"/>
    </row>
    <row r="728" spans="11:12" x14ac:dyDescent="0.25">
      <c r="K728" s="227"/>
      <c r="L728" s="227"/>
    </row>
    <row r="729" spans="11:12" x14ac:dyDescent="0.25">
      <c r="K729" s="227"/>
      <c r="L729" s="227"/>
    </row>
    <row r="730" spans="11:12" x14ac:dyDescent="0.25">
      <c r="K730" s="227"/>
      <c r="L730" s="227"/>
    </row>
    <row r="731" spans="11:12" x14ac:dyDescent="0.25">
      <c r="K731" s="227"/>
      <c r="L731" s="227"/>
    </row>
    <row r="732" spans="11:12" x14ac:dyDescent="0.25">
      <c r="K732" s="227"/>
      <c r="L732" s="227"/>
    </row>
    <row r="733" spans="11:12" x14ac:dyDescent="0.25">
      <c r="K733" s="227"/>
      <c r="L733" s="227"/>
    </row>
    <row r="734" spans="11:12" x14ac:dyDescent="0.25">
      <c r="K734" s="227"/>
      <c r="L734" s="227"/>
    </row>
    <row r="735" spans="11:12" x14ac:dyDescent="0.25">
      <c r="K735" s="227"/>
      <c r="L735" s="227"/>
    </row>
    <row r="736" spans="11:12" x14ac:dyDescent="0.25">
      <c r="K736" s="227"/>
      <c r="L736" s="227"/>
    </row>
    <row r="737" spans="11:12" x14ac:dyDescent="0.25">
      <c r="K737" s="227"/>
      <c r="L737" s="227"/>
    </row>
    <row r="738" spans="11:12" x14ac:dyDescent="0.25">
      <c r="K738" s="227"/>
      <c r="L738" s="227"/>
    </row>
    <row r="739" spans="11:12" x14ac:dyDescent="0.25">
      <c r="K739" s="227"/>
      <c r="L739" s="227"/>
    </row>
    <row r="740" spans="11:12" x14ac:dyDescent="0.25">
      <c r="K740" s="227"/>
      <c r="L740" s="227"/>
    </row>
    <row r="741" spans="11:12" x14ac:dyDescent="0.25">
      <c r="K741" s="227"/>
      <c r="L741" s="227"/>
    </row>
    <row r="742" spans="11:12" x14ac:dyDescent="0.25">
      <c r="K742" s="227"/>
      <c r="L742" s="227"/>
    </row>
    <row r="743" spans="11:12" x14ac:dyDescent="0.25">
      <c r="K743" s="227"/>
      <c r="L743" s="227"/>
    </row>
    <row r="744" spans="11:12" x14ac:dyDescent="0.25">
      <c r="K744" s="227"/>
      <c r="L744" s="227"/>
    </row>
    <row r="745" spans="11:12" x14ac:dyDescent="0.25">
      <c r="K745" s="227"/>
      <c r="L745" s="227"/>
    </row>
    <row r="746" spans="11:12" x14ac:dyDescent="0.25">
      <c r="K746" s="227"/>
      <c r="L746" s="227"/>
    </row>
    <row r="747" spans="11:12" x14ac:dyDescent="0.25">
      <c r="K747" s="227"/>
      <c r="L747" s="227"/>
    </row>
    <row r="748" spans="11:12" x14ac:dyDescent="0.25">
      <c r="K748" s="227"/>
      <c r="L748" s="227"/>
    </row>
    <row r="749" spans="11:12" x14ac:dyDescent="0.25">
      <c r="K749" s="227"/>
      <c r="L749" s="227"/>
    </row>
    <row r="750" spans="11:12" x14ac:dyDescent="0.25">
      <c r="K750" s="227"/>
      <c r="L750" s="227"/>
    </row>
    <row r="751" spans="11:12" x14ac:dyDescent="0.25">
      <c r="K751" s="227"/>
      <c r="L751" s="227"/>
    </row>
    <row r="752" spans="11:12" x14ac:dyDescent="0.25">
      <c r="K752" s="227"/>
      <c r="L752" s="227"/>
    </row>
    <row r="753" spans="11:12" x14ac:dyDescent="0.25">
      <c r="K753" s="227"/>
      <c r="L753" s="227"/>
    </row>
    <row r="754" spans="11:12" x14ac:dyDescent="0.25">
      <c r="K754" s="227"/>
      <c r="L754" s="227"/>
    </row>
    <row r="755" spans="11:12" x14ac:dyDescent="0.25">
      <c r="K755" s="227"/>
      <c r="L755" s="227"/>
    </row>
    <row r="756" spans="11:12" x14ac:dyDescent="0.25">
      <c r="K756" s="227"/>
      <c r="L756" s="227"/>
    </row>
    <row r="757" spans="11:12" x14ac:dyDescent="0.25">
      <c r="K757" s="227"/>
      <c r="L757" s="227"/>
    </row>
    <row r="758" spans="11:12" x14ac:dyDescent="0.25">
      <c r="K758" s="227"/>
      <c r="L758" s="227"/>
    </row>
    <row r="759" spans="11:12" x14ac:dyDescent="0.25">
      <c r="K759" s="227"/>
      <c r="L759" s="227"/>
    </row>
    <row r="760" spans="11:12" x14ac:dyDescent="0.25">
      <c r="K760" s="227"/>
      <c r="L760" s="227"/>
    </row>
    <row r="761" spans="11:12" x14ac:dyDescent="0.25">
      <c r="K761" s="227"/>
      <c r="L761" s="227"/>
    </row>
    <row r="762" spans="11:12" x14ac:dyDescent="0.25">
      <c r="K762" s="227"/>
      <c r="L762" s="227"/>
    </row>
    <row r="763" spans="11:12" x14ac:dyDescent="0.25">
      <c r="K763" s="227"/>
      <c r="L763" s="227"/>
    </row>
    <row r="764" spans="11:12" x14ac:dyDescent="0.25">
      <c r="K764" s="227"/>
      <c r="L764" s="227"/>
    </row>
    <row r="765" spans="11:12" x14ac:dyDescent="0.25">
      <c r="K765" s="227"/>
      <c r="L765" s="227"/>
    </row>
    <row r="766" spans="11:12" x14ac:dyDescent="0.25">
      <c r="K766" s="227"/>
      <c r="L766" s="227"/>
    </row>
    <row r="767" spans="11:12" x14ac:dyDescent="0.25">
      <c r="K767" s="227"/>
      <c r="L767" s="227"/>
    </row>
    <row r="768" spans="11:12" x14ac:dyDescent="0.25">
      <c r="K768" s="227"/>
      <c r="L768" s="227"/>
    </row>
    <row r="769" spans="11:12" x14ac:dyDescent="0.25">
      <c r="K769" s="227"/>
      <c r="L769" s="227"/>
    </row>
    <row r="770" spans="11:12" x14ac:dyDescent="0.25">
      <c r="K770" s="227"/>
      <c r="L770" s="227"/>
    </row>
    <row r="771" spans="11:12" x14ac:dyDescent="0.25">
      <c r="K771" s="227"/>
      <c r="L771" s="227"/>
    </row>
    <row r="772" spans="11:12" x14ac:dyDescent="0.25">
      <c r="K772" s="227"/>
      <c r="L772" s="227"/>
    </row>
    <row r="773" spans="11:12" x14ac:dyDescent="0.25">
      <c r="K773" s="227"/>
      <c r="L773" s="227"/>
    </row>
    <row r="774" spans="11:12" x14ac:dyDescent="0.25">
      <c r="K774" s="227"/>
      <c r="L774" s="227"/>
    </row>
    <row r="775" spans="11:12" x14ac:dyDescent="0.25">
      <c r="K775" s="227"/>
      <c r="L775" s="227"/>
    </row>
    <row r="776" spans="11:12" x14ac:dyDescent="0.25">
      <c r="K776" s="227"/>
      <c r="L776" s="227"/>
    </row>
    <row r="777" spans="11:12" x14ac:dyDescent="0.25">
      <c r="K777" s="227"/>
      <c r="L777" s="227"/>
    </row>
    <row r="778" spans="11:12" x14ac:dyDescent="0.25">
      <c r="K778" s="227"/>
      <c r="L778" s="227"/>
    </row>
    <row r="779" spans="11:12" x14ac:dyDescent="0.25">
      <c r="K779" s="227"/>
      <c r="L779" s="227"/>
    </row>
    <row r="780" spans="11:12" x14ac:dyDescent="0.25">
      <c r="K780" s="227"/>
      <c r="L780" s="227"/>
    </row>
    <row r="781" spans="11:12" x14ac:dyDescent="0.25">
      <c r="K781" s="227"/>
      <c r="L781" s="227"/>
    </row>
    <row r="782" spans="11:12" x14ac:dyDescent="0.25">
      <c r="K782" s="227"/>
      <c r="L782" s="227"/>
    </row>
    <row r="783" spans="11:12" x14ac:dyDescent="0.25">
      <c r="K783" s="227"/>
      <c r="L783" s="227"/>
    </row>
    <row r="784" spans="11:12" x14ac:dyDescent="0.25">
      <c r="K784" s="227"/>
      <c r="L784" s="227"/>
    </row>
    <row r="785" spans="11:12" x14ac:dyDescent="0.25">
      <c r="K785" s="227"/>
      <c r="L785" s="227"/>
    </row>
    <row r="786" spans="11:12" x14ac:dyDescent="0.25">
      <c r="K786" s="227"/>
      <c r="L786" s="227"/>
    </row>
    <row r="787" spans="11:12" x14ac:dyDescent="0.25">
      <c r="K787" s="227"/>
      <c r="L787" s="227"/>
    </row>
    <row r="788" spans="11:12" x14ac:dyDescent="0.25">
      <c r="K788" s="227"/>
      <c r="L788" s="227"/>
    </row>
    <row r="789" spans="11:12" x14ac:dyDescent="0.25">
      <c r="K789" s="227"/>
      <c r="L789" s="227"/>
    </row>
    <row r="790" spans="11:12" x14ac:dyDescent="0.25">
      <c r="K790" s="227"/>
      <c r="L790" s="227"/>
    </row>
    <row r="791" spans="11:12" x14ac:dyDescent="0.25">
      <c r="K791" s="227"/>
      <c r="L791" s="227"/>
    </row>
    <row r="792" spans="11:12" x14ac:dyDescent="0.25">
      <c r="K792" s="227"/>
      <c r="L792" s="227"/>
    </row>
    <row r="793" spans="11:12" x14ac:dyDescent="0.25">
      <c r="K793" s="227"/>
      <c r="L793" s="227"/>
    </row>
    <row r="794" spans="11:12" x14ac:dyDescent="0.25">
      <c r="K794" s="227"/>
      <c r="L794" s="227"/>
    </row>
    <row r="795" spans="11:12" x14ac:dyDescent="0.25">
      <c r="K795" s="227"/>
      <c r="L795" s="227"/>
    </row>
    <row r="796" spans="11:12" x14ac:dyDescent="0.25">
      <c r="K796" s="227"/>
      <c r="L796" s="227"/>
    </row>
    <row r="797" spans="11:12" x14ac:dyDescent="0.25">
      <c r="K797" s="227"/>
      <c r="L797" s="227"/>
    </row>
    <row r="798" spans="11:12" x14ac:dyDescent="0.25">
      <c r="K798" s="227"/>
      <c r="L798" s="227"/>
    </row>
    <row r="799" spans="11:12" x14ac:dyDescent="0.25">
      <c r="K799" s="227"/>
      <c r="L799" s="227"/>
    </row>
    <row r="800" spans="11:12" x14ac:dyDescent="0.25">
      <c r="K800" s="227"/>
      <c r="L800" s="227"/>
    </row>
    <row r="801" spans="11:12" x14ac:dyDescent="0.25">
      <c r="K801" s="227"/>
      <c r="L801" s="227"/>
    </row>
    <row r="802" spans="11:12" x14ac:dyDescent="0.25">
      <c r="K802" s="227"/>
      <c r="L802" s="227"/>
    </row>
    <row r="803" spans="11:12" x14ac:dyDescent="0.25">
      <c r="K803" s="227"/>
      <c r="L803" s="227"/>
    </row>
    <row r="804" spans="11:12" x14ac:dyDescent="0.25">
      <c r="K804" s="227"/>
      <c r="L804" s="227"/>
    </row>
    <row r="805" spans="11:12" x14ac:dyDescent="0.25">
      <c r="K805" s="227"/>
      <c r="L805" s="227"/>
    </row>
    <row r="806" spans="11:12" x14ac:dyDescent="0.25">
      <c r="K806" s="227"/>
      <c r="L806" s="227"/>
    </row>
    <row r="807" spans="11:12" x14ac:dyDescent="0.25">
      <c r="K807" s="227"/>
      <c r="L807" s="227"/>
    </row>
    <row r="808" spans="11:12" x14ac:dyDescent="0.25">
      <c r="K808" s="227"/>
      <c r="L808" s="227"/>
    </row>
    <row r="809" spans="11:12" x14ac:dyDescent="0.25">
      <c r="K809" s="227"/>
      <c r="L809" s="227"/>
    </row>
    <row r="810" spans="11:12" x14ac:dyDescent="0.25">
      <c r="K810" s="227"/>
      <c r="L810" s="227"/>
    </row>
    <row r="811" spans="11:12" x14ac:dyDescent="0.25">
      <c r="K811" s="227"/>
      <c r="L811" s="227"/>
    </row>
    <row r="812" spans="11:12" x14ac:dyDescent="0.25">
      <c r="K812" s="227"/>
      <c r="L812" s="227"/>
    </row>
    <row r="813" spans="11:12" x14ac:dyDescent="0.25">
      <c r="K813" s="227"/>
      <c r="L813" s="227"/>
    </row>
    <row r="814" spans="11:12" x14ac:dyDescent="0.25">
      <c r="K814" s="227"/>
      <c r="L814" s="227"/>
    </row>
    <row r="815" spans="11:12" x14ac:dyDescent="0.25">
      <c r="K815" s="227"/>
      <c r="L815" s="227"/>
    </row>
    <row r="816" spans="11:12" x14ac:dyDescent="0.25">
      <c r="K816" s="227"/>
      <c r="L816" s="227"/>
    </row>
    <row r="817" spans="11:12" x14ac:dyDescent="0.25">
      <c r="K817" s="227"/>
      <c r="L817" s="227"/>
    </row>
    <row r="818" spans="11:12" x14ac:dyDescent="0.25">
      <c r="K818" s="227"/>
      <c r="L818" s="227"/>
    </row>
    <row r="819" spans="11:12" x14ac:dyDescent="0.25">
      <c r="K819" s="227"/>
      <c r="L819" s="227"/>
    </row>
    <row r="820" spans="11:12" x14ac:dyDescent="0.25">
      <c r="K820" s="227"/>
      <c r="L820" s="227"/>
    </row>
    <row r="821" spans="11:12" x14ac:dyDescent="0.25">
      <c r="K821" s="227"/>
      <c r="L821" s="227"/>
    </row>
    <row r="822" spans="11:12" x14ac:dyDescent="0.25">
      <c r="K822" s="227"/>
      <c r="L822" s="227"/>
    </row>
    <row r="823" spans="11:12" x14ac:dyDescent="0.25">
      <c r="K823" s="227"/>
      <c r="L823" s="227"/>
    </row>
    <row r="824" spans="11:12" x14ac:dyDescent="0.25">
      <c r="K824" s="227"/>
      <c r="L824" s="227"/>
    </row>
    <row r="825" spans="11:12" x14ac:dyDescent="0.25">
      <c r="K825" s="227"/>
      <c r="L825" s="227"/>
    </row>
    <row r="826" spans="11:12" x14ac:dyDescent="0.25">
      <c r="K826" s="227"/>
      <c r="L826" s="227"/>
    </row>
    <row r="827" spans="11:12" x14ac:dyDescent="0.25">
      <c r="K827" s="227"/>
      <c r="L827" s="227"/>
    </row>
    <row r="828" spans="11:12" x14ac:dyDescent="0.25">
      <c r="K828" s="227"/>
      <c r="L828" s="227"/>
    </row>
    <row r="829" spans="11:12" x14ac:dyDescent="0.25">
      <c r="K829" s="227"/>
      <c r="L829" s="227"/>
    </row>
    <row r="830" spans="11:12" x14ac:dyDescent="0.25">
      <c r="K830" s="227"/>
      <c r="L830" s="227"/>
    </row>
    <row r="831" spans="11:12" x14ac:dyDescent="0.25">
      <c r="K831" s="227"/>
      <c r="L831" s="227"/>
    </row>
    <row r="832" spans="11:12" x14ac:dyDescent="0.25">
      <c r="K832" s="227"/>
      <c r="L832" s="227"/>
    </row>
    <row r="833" spans="11:12" x14ac:dyDescent="0.25">
      <c r="K833" s="227"/>
      <c r="L833" s="227"/>
    </row>
    <row r="834" spans="11:12" x14ac:dyDescent="0.25">
      <c r="K834" s="227"/>
      <c r="L834" s="227"/>
    </row>
    <row r="835" spans="11:12" x14ac:dyDescent="0.25">
      <c r="K835" s="227"/>
      <c r="L835" s="227"/>
    </row>
    <row r="836" spans="11:12" x14ac:dyDescent="0.25">
      <c r="K836" s="227"/>
      <c r="L836" s="227"/>
    </row>
    <row r="837" spans="11:12" x14ac:dyDescent="0.25">
      <c r="K837" s="227"/>
      <c r="L837" s="227"/>
    </row>
    <row r="838" spans="11:12" x14ac:dyDescent="0.25">
      <c r="K838" s="227"/>
      <c r="L838" s="227"/>
    </row>
    <row r="839" spans="11:12" x14ac:dyDescent="0.25">
      <c r="K839" s="227"/>
      <c r="L839" s="227"/>
    </row>
    <row r="840" spans="11:12" x14ac:dyDescent="0.25">
      <c r="K840" s="227"/>
      <c r="L840" s="227"/>
    </row>
    <row r="841" spans="11:12" x14ac:dyDescent="0.25">
      <c r="K841" s="227"/>
      <c r="L841" s="227"/>
    </row>
    <row r="842" spans="11:12" x14ac:dyDescent="0.25">
      <c r="K842" s="227"/>
      <c r="L842" s="227"/>
    </row>
    <row r="843" spans="11:12" x14ac:dyDescent="0.25">
      <c r="K843" s="227"/>
      <c r="L843" s="227"/>
    </row>
    <row r="844" spans="11:12" x14ac:dyDescent="0.25">
      <c r="K844" s="227"/>
      <c r="L844" s="227"/>
    </row>
    <row r="845" spans="11:12" x14ac:dyDescent="0.25">
      <c r="K845" s="227"/>
      <c r="L845" s="227"/>
    </row>
    <row r="846" spans="11:12" x14ac:dyDescent="0.25">
      <c r="K846" s="227"/>
      <c r="L846" s="227"/>
    </row>
    <row r="847" spans="11:12" x14ac:dyDescent="0.25">
      <c r="K847" s="227"/>
      <c r="L847" s="227"/>
    </row>
    <row r="848" spans="11:12" x14ac:dyDescent="0.25">
      <c r="K848" s="227"/>
      <c r="L848" s="227"/>
    </row>
    <row r="849" spans="11:12" x14ac:dyDescent="0.25">
      <c r="K849" s="227"/>
      <c r="L849" s="227"/>
    </row>
    <row r="850" spans="11:12" x14ac:dyDescent="0.25">
      <c r="K850" s="227"/>
      <c r="L850" s="227"/>
    </row>
    <row r="851" spans="11:12" x14ac:dyDescent="0.25">
      <c r="K851" s="227"/>
      <c r="L851" s="227"/>
    </row>
    <row r="852" spans="11:12" x14ac:dyDescent="0.25">
      <c r="K852" s="227"/>
      <c r="L852" s="227"/>
    </row>
    <row r="853" spans="11:12" x14ac:dyDescent="0.25">
      <c r="K853" s="227"/>
      <c r="L853" s="227"/>
    </row>
    <row r="854" spans="11:12" x14ac:dyDescent="0.25">
      <c r="K854" s="227"/>
      <c r="L854" s="227"/>
    </row>
    <row r="855" spans="11:12" x14ac:dyDescent="0.25">
      <c r="K855" s="227"/>
      <c r="L855" s="227"/>
    </row>
    <row r="856" spans="11:12" x14ac:dyDescent="0.25">
      <c r="K856" s="227"/>
      <c r="L856" s="227"/>
    </row>
    <row r="857" spans="11:12" x14ac:dyDescent="0.25">
      <c r="K857" s="227"/>
      <c r="L857" s="227"/>
    </row>
    <row r="858" spans="11:12" x14ac:dyDescent="0.25">
      <c r="K858" s="227"/>
      <c r="L858" s="227"/>
    </row>
    <row r="859" spans="11:12" x14ac:dyDescent="0.25">
      <c r="K859" s="227"/>
      <c r="L859" s="227"/>
    </row>
    <row r="860" spans="11:12" x14ac:dyDescent="0.25">
      <c r="K860" s="227"/>
      <c r="L860" s="227"/>
    </row>
    <row r="861" spans="11:12" x14ac:dyDescent="0.25">
      <c r="K861" s="227"/>
      <c r="L861" s="227"/>
    </row>
    <row r="862" spans="11:12" x14ac:dyDescent="0.25">
      <c r="K862" s="227"/>
      <c r="L862" s="227"/>
    </row>
    <row r="863" spans="11:12" x14ac:dyDescent="0.25">
      <c r="K863" s="227"/>
      <c r="L863" s="227"/>
    </row>
    <row r="864" spans="11:12" x14ac:dyDescent="0.25">
      <c r="K864" s="227"/>
      <c r="L864" s="227"/>
    </row>
    <row r="865" spans="11:12" x14ac:dyDescent="0.25">
      <c r="K865" s="227"/>
      <c r="L865" s="227"/>
    </row>
    <row r="866" spans="11:12" x14ac:dyDescent="0.25">
      <c r="K866" s="227"/>
      <c r="L866" s="227"/>
    </row>
    <row r="867" spans="11:12" x14ac:dyDescent="0.25">
      <c r="K867" s="227"/>
      <c r="L867" s="227"/>
    </row>
    <row r="868" spans="11:12" x14ac:dyDescent="0.25">
      <c r="K868" s="227"/>
      <c r="L868" s="227"/>
    </row>
    <row r="869" spans="11:12" x14ac:dyDescent="0.25">
      <c r="K869" s="227"/>
      <c r="L869" s="227"/>
    </row>
    <row r="870" spans="11:12" x14ac:dyDescent="0.25">
      <c r="K870" s="227"/>
      <c r="L870" s="227"/>
    </row>
    <row r="871" spans="11:12" x14ac:dyDescent="0.25">
      <c r="K871" s="227"/>
      <c r="L871" s="227"/>
    </row>
    <row r="872" spans="11:12" x14ac:dyDescent="0.25">
      <c r="K872" s="227"/>
      <c r="L872" s="227"/>
    </row>
    <row r="873" spans="11:12" x14ac:dyDescent="0.25">
      <c r="K873" s="227"/>
      <c r="L873" s="227"/>
    </row>
    <row r="874" spans="11:12" x14ac:dyDescent="0.25">
      <c r="K874" s="227"/>
      <c r="L874" s="227"/>
    </row>
    <row r="875" spans="11:12" x14ac:dyDescent="0.25">
      <c r="K875" s="227"/>
      <c r="L875" s="227"/>
    </row>
    <row r="876" spans="11:12" x14ac:dyDescent="0.25">
      <c r="K876" s="227"/>
      <c r="L876" s="227"/>
    </row>
    <row r="877" spans="11:12" x14ac:dyDescent="0.25">
      <c r="K877" s="227"/>
      <c r="L877" s="227"/>
    </row>
    <row r="878" spans="11:12" x14ac:dyDescent="0.25">
      <c r="K878" s="227"/>
      <c r="L878" s="227"/>
    </row>
    <row r="879" spans="11:12" x14ac:dyDescent="0.25">
      <c r="K879" s="227"/>
      <c r="L879" s="227"/>
    </row>
    <row r="880" spans="11:12" x14ac:dyDescent="0.25">
      <c r="K880" s="227"/>
      <c r="L880" s="227"/>
    </row>
    <row r="881" spans="11:12" x14ac:dyDescent="0.25">
      <c r="K881" s="227"/>
      <c r="L881" s="227"/>
    </row>
    <row r="882" spans="11:12" x14ac:dyDescent="0.25">
      <c r="K882" s="227"/>
      <c r="L882" s="227"/>
    </row>
    <row r="883" spans="11:12" x14ac:dyDescent="0.25">
      <c r="K883" s="227"/>
      <c r="L883" s="227"/>
    </row>
    <row r="884" spans="11:12" x14ac:dyDescent="0.25">
      <c r="K884" s="227"/>
      <c r="L884" s="227"/>
    </row>
    <row r="885" spans="11:12" x14ac:dyDescent="0.25">
      <c r="K885" s="227"/>
      <c r="L885" s="227"/>
    </row>
    <row r="886" spans="11:12" x14ac:dyDescent="0.25">
      <c r="K886" s="227"/>
      <c r="L886" s="227"/>
    </row>
    <row r="887" spans="11:12" x14ac:dyDescent="0.25">
      <c r="K887" s="227"/>
      <c r="L887" s="227"/>
    </row>
    <row r="888" spans="11:12" x14ac:dyDescent="0.25">
      <c r="K888" s="227"/>
      <c r="L888" s="227"/>
    </row>
    <row r="889" spans="11:12" x14ac:dyDescent="0.25">
      <c r="K889" s="227"/>
      <c r="L889" s="227"/>
    </row>
    <row r="890" spans="11:12" x14ac:dyDescent="0.25">
      <c r="K890" s="227"/>
      <c r="L890" s="227"/>
    </row>
    <row r="891" spans="11:12" x14ac:dyDescent="0.25">
      <c r="K891" s="227"/>
      <c r="L891" s="227"/>
    </row>
    <row r="892" spans="11:12" x14ac:dyDescent="0.25">
      <c r="K892" s="227"/>
      <c r="L892" s="227"/>
    </row>
    <row r="893" spans="11:12" x14ac:dyDescent="0.25">
      <c r="K893" s="227"/>
      <c r="L893" s="227"/>
    </row>
    <row r="894" spans="11:12" x14ac:dyDescent="0.25">
      <c r="K894" s="227"/>
      <c r="L894" s="227"/>
    </row>
    <row r="895" spans="11:12" x14ac:dyDescent="0.25">
      <c r="K895" s="227"/>
      <c r="L895" s="227"/>
    </row>
    <row r="896" spans="11:12" x14ac:dyDescent="0.25">
      <c r="K896" s="227"/>
      <c r="L896" s="227"/>
    </row>
    <row r="897" spans="11:12" x14ac:dyDescent="0.25">
      <c r="K897" s="227"/>
      <c r="L897" s="227"/>
    </row>
    <row r="898" spans="11:12" x14ac:dyDescent="0.25">
      <c r="K898" s="227"/>
      <c r="L898" s="227"/>
    </row>
    <row r="899" spans="11:12" x14ac:dyDescent="0.25">
      <c r="K899" s="227"/>
      <c r="L899" s="227"/>
    </row>
    <row r="900" spans="11:12" x14ac:dyDescent="0.25">
      <c r="K900" s="227"/>
      <c r="L900" s="227"/>
    </row>
    <row r="901" spans="11:12" x14ac:dyDescent="0.25">
      <c r="K901" s="227"/>
      <c r="L901" s="227"/>
    </row>
    <row r="902" spans="11:12" x14ac:dyDescent="0.25">
      <c r="K902" s="227"/>
      <c r="L902" s="227"/>
    </row>
    <row r="903" spans="11:12" x14ac:dyDescent="0.25">
      <c r="K903" s="227"/>
      <c r="L903" s="227"/>
    </row>
    <row r="904" spans="11:12" x14ac:dyDescent="0.25">
      <c r="K904" s="227"/>
      <c r="L904" s="227"/>
    </row>
    <row r="905" spans="11:12" x14ac:dyDescent="0.25">
      <c r="K905" s="227"/>
      <c r="L905" s="227"/>
    </row>
    <row r="906" spans="11:12" x14ac:dyDescent="0.25">
      <c r="K906" s="227"/>
      <c r="L906" s="227"/>
    </row>
    <row r="907" spans="11:12" x14ac:dyDescent="0.25">
      <c r="K907" s="227"/>
      <c r="L907" s="227"/>
    </row>
    <row r="908" spans="11:12" x14ac:dyDescent="0.25">
      <c r="K908" s="227"/>
      <c r="L908" s="227"/>
    </row>
    <row r="909" spans="11:12" x14ac:dyDescent="0.25">
      <c r="K909" s="227"/>
      <c r="L909" s="227"/>
    </row>
    <row r="910" spans="11:12" x14ac:dyDescent="0.25">
      <c r="K910" s="227"/>
      <c r="L910" s="227"/>
    </row>
    <row r="911" spans="11:12" x14ac:dyDescent="0.25">
      <c r="K911" s="227"/>
      <c r="L911" s="227"/>
    </row>
    <row r="912" spans="11:12" x14ac:dyDescent="0.25">
      <c r="K912" s="227"/>
      <c r="L912" s="227"/>
    </row>
    <row r="913" spans="11:12" x14ac:dyDescent="0.25">
      <c r="K913" s="227"/>
      <c r="L913" s="227"/>
    </row>
    <row r="914" spans="11:12" x14ac:dyDescent="0.25">
      <c r="K914" s="227"/>
      <c r="L914" s="227"/>
    </row>
    <row r="915" spans="11:12" x14ac:dyDescent="0.25">
      <c r="K915" s="227"/>
      <c r="L915" s="227"/>
    </row>
    <row r="916" spans="11:12" x14ac:dyDescent="0.25">
      <c r="K916" s="227"/>
      <c r="L916" s="227"/>
    </row>
    <row r="917" spans="11:12" x14ac:dyDescent="0.25">
      <c r="K917" s="227"/>
      <c r="L917" s="227"/>
    </row>
    <row r="918" spans="11:12" x14ac:dyDescent="0.25">
      <c r="K918" s="227"/>
      <c r="L918" s="227"/>
    </row>
    <row r="919" spans="11:12" x14ac:dyDescent="0.25">
      <c r="K919" s="227"/>
      <c r="L919" s="227"/>
    </row>
    <row r="920" spans="11:12" x14ac:dyDescent="0.25">
      <c r="K920" s="227"/>
      <c r="L920" s="227"/>
    </row>
    <row r="921" spans="11:12" x14ac:dyDescent="0.25">
      <c r="K921" s="227"/>
      <c r="L921" s="227"/>
    </row>
    <row r="922" spans="11:12" x14ac:dyDescent="0.25">
      <c r="K922" s="227"/>
      <c r="L922" s="227"/>
    </row>
    <row r="923" spans="11:12" x14ac:dyDescent="0.25">
      <c r="K923" s="227"/>
      <c r="L923" s="227"/>
    </row>
    <row r="924" spans="11:12" x14ac:dyDescent="0.25">
      <c r="K924" s="227"/>
      <c r="L924" s="227"/>
    </row>
    <row r="925" spans="11:12" x14ac:dyDescent="0.25">
      <c r="K925" s="227"/>
      <c r="L925" s="227"/>
    </row>
    <row r="926" spans="11:12" x14ac:dyDescent="0.25">
      <c r="K926" s="227"/>
      <c r="L926" s="227"/>
    </row>
    <row r="927" spans="11:12" x14ac:dyDescent="0.25">
      <c r="K927" s="227"/>
      <c r="L927" s="227"/>
    </row>
    <row r="928" spans="11:12" x14ac:dyDescent="0.25">
      <c r="K928" s="227"/>
      <c r="L928" s="227"/>
    </row>
    <row r="929" spans="11:12" x14ac:dyDescent="0.25">
      <c r="K929" s="227"/>
      <c r="L929" s="227"/>
    </row>
    <row r="930" spans="11:12" x14ac:dyDescent="0.25">
      <c r="K930" s="227"/>
      <c r="L930" s="227"/>
    </row>
    <row r="931" spans="11:12" x14ac:dyDescent="0.25">
      <c r="K931" s="227"/>
      <c r="L931" s="227"/>
    </row>
    <row r="932" spans="11:12" x14ac:dyDescent="0.25">
      <c r="K932" s="227"/>
      <c r="L932" s="227"/>
    </row>
    <row r="933" spans="11:12" x14ac:dyDescent="0.25">
      <c r="K933" s="227"/>
      <c r="L933" s="227"/>
    </row>
    <row r="934" spans="11:12" x14ac:dyDescent="0.25">
      <c r="K934" s="227"/>
      <c r="L934" s="227"/>
    </row>
    <row r="935" spans="11:12" x14ac:dyDescent="0.25">
      <c r="K935" s="227"/>
      <c r="L935" s="227"/>
    </row>
    <row r="936" spans="11:12" x14ac:dyDescent="0.25">
      <c r="K936" s="227"/>
      <c r="L936" s="227"/>
    </row>
    <row r="937" spans="11:12" x14ac:dyDescent="0.25">
      <c r="K937" s="227"/>
      <c r="L937" s="227"/>
    </row>
    <row r="938" spans="11:12" x14ac:dyDescent="0.25">
      <c r="K938" s="227"/>
      <c r="L938" s="227"/>
    </row>
    <row r="939" spans="11:12" x14ac:dyDescent="0.25">
      <c r="K939" s="227"/>
      <c r="L939" s="227"/>
    </row>
    <row r="940" spans="11:12" x14ac:dyDescent="0.25">
      <c r="K940" s="227"/>
      <c r="L940" s="227"/>
    </row>
    <row r="941" spans="11:12" x14ac:dyDescent="0.25">
      <c r="K941" s="227"/>
      <c r="L941" s="227"/>
    </row>
    <row r="942" spans="11:12" x14ac:dyDescent="0.25">
      <c r="K942" s="227"/>
      <c r="L942" s="227"/>
    </row>
    <row r="943" spans="11:12" x14ac:dyDescent="0.25">
      <c r="K943" s="227"/>
      <c r="L943" s="227"/>
    </row>
    <row r="944" spans="11:12" x14ac:dyDescent="0.25">
      <c r="K944" s="227"/>
      <c r="L944" s="227"/>
    </row>
    <row r="945" spans="11:12" x14ac:dyDescent="0.25">
      <c r="K945" s="227"/>
      <c r="L945" s="227"/>
    </row>
    <row r="946" spans="11:12" x14ac:dyDescent="0.25">
      <c r="K946" s="227"/>
      <c r="L946" s="227"/>
    </row>
    <row r="947" spans="11:12" x14ac:dyDescent="0.25">
      <c r="K947" s="227"/>
      <c r="L947" s="227"/>
    </row>
    <row r="948" spans="11:12" x14ac:dyDescent="0.25">
      <c r="K948" s="227"/>
      <c r="L948" s="227"/>
    </row>
    <row r="949" spans="11:12" x14ac:dyDescent="0.25">
      <c r="K949" s="227"/>
      <c r="L949" s="227"/>
    </row>
    <row r="950" spans="11:12" x14ac:dyDescent="0.25">
      <c r="K950" s="227"/>
      <c r="L950" s="227"/>
    </row>
    <row r="951" spans="11:12" x14ac:dyDescent="0.25">
      <c r="K951" s="227"/>
      <c r="L951" s="227"/>
    </row>
    <row r="952" spans="11:12" x14ac:dyDescent="0.25">
      <c r="K952" s="227"/>
      <c r="L952" s="227"/>
    </row>
    <row r="953" spans="11:12" x14ac:dyDescent="0.25">
      <c r="K953" s="227"/>
      <c r="L953" s="227"/>
    </row>
    <row r="954" spans="11:12" x14ac:dyDescent="0.25">
      <c r="K954" s="227"/>
      <c r="L954" s="227"/>
    </row>
    <row r="955" spans="11:12" x14ac:dyDescent="0.25">
      <c r="K955" s="227"/>
      <c r="L955" s="227"/>
    </row>
    <row r="956" spans="11:12" x14ac:dyDescent="0.25">
      <c r="K956" s="227"/>
      <c r="L956" s="227"/>
    </row>
    <row r="957" spans="11:12" x14ac:dyDescent="0.25">
      <c r="K957" s="227"/>
      <c r="L957" s="227"/>
    </row>
    <row r="958" spans="11:12" x14ac:dyDescent="0.25">
      <c r="K958" s="227"/>
      <c r="L958" s="227"/>
    </row>
    <row r="959" spans="11:12" x14ac:dyDescent="0.25">
      <c r="K959" s="227"/>
      <c r="L959" s="227"/>
    </row>
    <row r="960" spans="11:12" x14ac:dyDescent="0.25">
      <c r="K960" s="227"/>
      <c r="L960" s="227"/>
    </row>
    <row r="961" spans="11:12" x14ac:dyDescent="0.25">
      <c r="K961" s="227"/>
      <c r="L961" s="227"/>
    </row>
    <row r="962" spans="11:12" x14ac:dyDescent="0.25">
      <c r="K962" s="227"/>
      <c r="L962" s="227"/>
    </row>
    <row r="963" spans="11:12" x14ac:dyDescent="0.25">
      <c r="K963" s="227"/>
      <c r="L963" s="227"/>
    </row>
    <row r="964" spans="11:12" x14ac:dyDescent="0.25">
      <c r="K964" s="227"/>
      <c r="L964" s="227"/>
    </row>
    <row r="965" spans="11:12" x14ac:dyDescent="0.25">
      <c r="K965" s="227"/>
      <c r="L965" s="227"/>
    </row>
    <row r="966" spans="11:12" x14ac:dyDescent="0.25">
      <c r="K966" s="227"/>
      <c r="L966" s="227"/>
    </row>
    <row r="967" spans="11:12" x14ac:dyDescent="0.25">
      <c r="K967" s="227"/>
      <c r="L967" s="227"/>
    </row>
    <row r="968" spans="11:12" x14ac:dyDescent="0.25">
      <c r="K968" s="227"/>
      <c r="L968" s="227"/>
    </row>
    <row r="969" spans="11:12" x14ac:dyDescent="0.25">
      <c r="K969" s="227"/>
      <c r="L969" s="227"/>
    </row>
    <row r="970" spans="11:12" x14ac:dyDescent="0.25">
      <c r="K970" s="227"/>
      <c r="L970" s="227"/>
    </row>
    <row r="971" spans="11:12" x14ac:dyDescent="0.25">
      <c r="K971" s="227"/>
      <c r="L971" s="227"/>
    </row>
    <row r="972" spans="11:12" x14ac:dyDescent="0.25">
      <c r="K972" s="227"/>
      <c r="L972" s="227"/>
    </row>
    <row r="973" spans="11:12" x14ac:dyDescent="0.25">
      <c r="K973" s="227"/>
      <c r="L973" s="227"/>
    </row>
    <row r="974" spans="11:12" x14ac:dyDescent="0.25">
      <c r="K974" s="227"/>
      <c r="L974" s="227"/>
    </row>
    <row r="975" spans="11:12" x14ac:dyDescent="0.25">
      <c r="K975" s="227"/>
      <c r="L975" s="227"/>
    </row>
    <row r="976" spans="11:12" x14ac:dyDescent="0.25">
      <c r="K976" s="227"/>
      <c r="L976" s="227"/>
    </row>
    <row r="977" spans="11:12" x14ac:dyDescent="0.25">
      <c r="K977" s="227"/>
      <c r="L977" s="227"/>
    </row>
    <row r="978" spans="11:12" x14ac:dyDescent="0.25">
      <c r="K978" s="227"/>
      <c r="L978" s="227"/>
    </row>
    <row r="979" spans="11:12" x14ac:dyDescent="0.25">
      <c r="K979" s="227"/>
      <c r="L979" s="227"/>
    </row>
    <row r="980" spans="11:12" x14ac:dyDescent="0.25">
      <c r="K980" s="227"/>
      <c r="L980" s="227"/>
    </row>
    <row r="981" spans="11:12" x14ac:dyDescent="0.25">
      <c r="K981" s="227"/>
      <c r="L981" s="227"/>
    </row>
    <row r="982" spans="11:12" x14ac:dyDescent="0.25">
      <c r="K982" s="227"/>
      <c r="L982" s="227"/>
    </row>
    <row r="983" spans="11:12" x14ac:dyDescent="0.25">
      <c r="K983" s="227"/>
      <c r="L983" s="227"/>
    </row>
    <row r="984" spans="11:12" x14ac:dyDescent="0.25">
      <c r="K984" s="227"/>
      <c r="L984" s="227"/>
    </row>
    <row r="985" spans="11:12" x14ac:dyDescent="0.25">
      <c r="K985" s="227"/>
      <c r="L985" s="227"/>
    </row>
    <row r="986" spans="11:12" x14ac:dyDescent="0.25">
      <c r="K986" s="227"/>
      <c r="L986" s="227"/>
    </row>
    <row r="987" spans="11:12" x14ac:dyDescent="0.25">
      <c r="K987" s="227"/>
      <c r="L987" s="227"/>
    </row>
    <row r="988" spans="11:12" x14ac:dyDescent="0.25">
      <c r="K988" s="227"/>
      <c r="L988" s="227"/>
    </row>
    <row r="989" spans="11:12" x14ac:dyDescent="0.25">
      <c r="K989" s="227"/>
      <c r="L989" s="227"/>
    </row>
    <row r="990" spans="11:12" x14ac:dyDescent="0.25">
      <c r="K990" s="227"/>
      <c r="L990" s="227"/>
    </row>
    <row r="991" spans="11:12" x14ac:dyDescent="0.25">
      <c r="K991" s="227"/>
      <c r="L991" s="227"/>
    </row>
    <row r="992" spans="11:12" x14ac:dyDescent="0.25">
      <c r="K992" s="227"/>
      <c r="L992" s="227"/>
    </row>
    <row r="993" spans="11:12" x14ac:dyDescent="0.25">
      <c r="K993" s="227"/>
      <c r="L993" s="227"/>
    </row>
    <row r="994" spans="11:12" x14ac:dyDescent="0.25">
      <c r="K994" s="227"/>
      <c r="L994" s="227"/>
    </row>
    <row r="995" spans="11:12" x14ac:dyDescent="0.25">
      <c r="K995" s="227"/>
      <c r="L995" s="227"/>
    </row>
    <row r="996" spans="11:12" x14ac:dyDescent="0.25">
      <c r="K996" s="227"/>
      <c r="L996" s="227"/>
    </row>
    <row r="997" spans="11:12" x14ac:dyDescent="0.25">
      <c r="K997" s="227"/>
      <c r="L997" s="227"/>
    </row>
    <row r="998" spans="11:12" x14ac:dyDescent="0.25">
      <c r="K998" s="227"/>
      <c r="L998" s="227"/>
    </row>
    <row r="999" spans="11:12" x14ac:dyDescent="0.25">
      <c r="K999" s="227"/>
      <c r="L999" s="227"/>
    </row>
    <row r="1000" spans="11:12" x14ac:dyDescent="0.25">
      <c r="K1000" s="227"/>
      <c r="L1000" s="227"/>
    </row>
    <row r="1001" spans="11:12" x14ac:dyDescent="0.25">
      <c r="K1001" s="227"/>
      <c r="L1001" s="227"/>
    </row>
    <row r="1002" spans="11:12" x14ac:dyDescent="0.25">
      <c r="K1002" s="227"/>
      <c r="L1002" s="227"/>
    </row>
    <row r="1003" spans="11:12" x14ac:dyDescent="0.25">
      <c r="K1003" s="227"/>
      <c r="L1003" s="227"/>
    </row>
    <row r="1004" spans="11:12" x14ac:dyDescent="0.25">
      <c r="K1004" s="227"/>
      <c r="L1004" s="227"/>
    </row>
    <row r="1005" spans="11:12" x14ac:dyDescent="0.25">
      <c r="K1005" s="227"/>
      <c r="L1005" s="227"/>
    </row>
    <row r="1006" spans="11:12" x14ac:dyDescent="0.25">
      <c r="K1006" s="227"/>
      <c r="L1006" s="227"/>
    </row>
    <row r="1007" spans="11:12" x14ac:dyDescent="0.25">
      <c r="K1007" s="227"/>
      <c r="L1007" s="227"/>
    </row>
    <row r="1008" spans="11:12" x14ac:dyDescent="0.25">
      <c r="K1008" s="227"/>
      <c r="L1008" s="227"/>
    </row>
    <row r="1009" spans="11:12" x14ac:dyDescent="0.25">
      <c r="K1009" s="227"/>
      <c r="L1009" s="227"/>
    </row>
    <row r="1010" spans="11:12" x14ac:dyDescent="0.25">
      <c r="K1010" s="227"/>
      <c r="L1010" s="227"/>
    </row>
    <row r="1011" spans="11:12" x14ac:dyDescent="0.25">
      <c r="K1011" s="227"/>
      <c r="L1011" s="227"/>
    </row>
    <row r="1012" spans="11:12" x14ac:dyDescent="0.25">
      <c r="K1012" s="227"/>
      <c r="L1012" s="227"/>
    </row>
    <row r="1013" spans="11:12" x14ac:dyDescent="0.25">
      <c r="K1013" s="227"/>
      <c r="L1013" s="227"/>
    </row>
    <row r="1014" spans="11:12" x14ac:dyDescent="0.25">
      <c r="K1014" s="227"/>
      <c r="L1014" s="227"/>
    </row>
    <row r="1015" spans="11:12" x14ac:dyDescent="0.25">
      <c r="K1015" s="227"/>
      <c r="L1015" s="227"/>
    </row>
    <row r="1016" spans="11:12" x14ac:dyDescent="0.25">
      <c r="K1016" s="227"/>
      <c r="L1016" s="227"/>
    </row>
    <row r="1017" spans="11:12" x14ac:dyDescent="0.25">
      <c r="K1017" s="227"/>
      <c r="L1017" s="227"/>
    </row>
    <row r="1018" spans="11:12" x14ac:dyDescent="0.25">
      <c r="K1018" s="227"/>
      <c r="L1018" s="227"/>
    </row>
    <row r="1019" spans="11:12" x14ac:dyDescent="0.25">
      <c r="K1019" s="227"/>
      <c r="L1019" s="227"/>
    </row>
    <row r="1020" spans="11:12" x14ac:dyDescent="0.25">
      <c r="K1020" s="227"/>
      <c r="L1020" s="227"/>
    </row>
    <row r="1021" spans="11:12" x14ac:dyDescent="0.25">
      <c r="K1021" s="227"/>
      <c r="L1021" s="227"/>
    </row>
    <row r="1022" spans="11:12" x14ac:dyDescent="0.25">
      <c r="K1022" s="227"/>
      <c r="L1022" s="227"/>
    </row>
    <row r="1023" spans="11:12" x14ac:dyDescent="0.25">
      <c r="K1023" s="227"/>
      <c r="L1023" s="227"/>
    </row>
    <row r="1024" spans="11:12" x14ac:dyDescent="0.25">
      <c r="K1024" s="227"/>
      <c r="L1024" s="227"/>
    </row>
    <row r="1025" spans="11:12" x14ac:dyDescent="0.25">
      <c r="K1025" s="227"/>
      <c r="L1025" s="227"/>
    </row>
    <row r="1026" spans="11:12" x14ac:dyDescent="0.25">
      <c r="K1026" s="227"/>
      <c r="L1026" s="227"/>
    </row>
    <row r="1027" spans="11:12" x14ac:dyDescent="0.25">
      <c r="K1027" s="227"/>
      <c r="L1027" s="227"/>
    </row>
    <row r="1028" spans="11:12" x14ac:dyDescent="0.25">
      <c r="K1028" s="227"/>
      <c r="L1028" s="227"/>
    </row>
    <row r="1029" spans="11:12" x14ac:dyDescent="0.25">
      <c r="K1029" s="227"/>
      <c r="L1029" s="227"/>
    </row>
    <row r="1030" spans="11:12" x14ac:dyDescent="0.25">
      <c r="K1030" s="227"/>
      <c r="L1030" s="227"/>
    </row>
    <row r="1031" spans="11:12" x14ac:dyDescent="0.25">
      <c r="K1031" s="227"/>
      <c r="L1031" s="227"/>
    </row>
    <row r="1032" spans="11:12" x14ac:dyDescent="0.25">
      <c r="K1032" s="227"/>
      <c r="L1032" s="227"/>
    </row>
    <row r="1033" spans="11:12" x14ac:dyDescent="0.25">
      <c r="K1033" s="227"/>
      <c r="L1033" s="227"/>
    </row>
    <row r="1034" spans="11:12" x14ac:dyDescent="0.25">
      <c r="K1034" s="227"/>
      <c r="L1034" s="227"/>
    </row>
    <row r="1035" spans="11:12" x14ac:dyDescent="0.25">
      <c r="K1035" s="227"/>
      <c r="L1035" s="227"/>
    </row>
    <row r="1036" spans="11:12" x14ac:dyDescent="0.25">
      <c r="K1036" s="227"/>
      <c r="L1036" s="227"/>
    </row>
    <row r="1037" spans="11:12" x14ac:dyDescent="0.25">
      <c r="K1037" s="227"/>
      <c r="L1037" s="227"/>
    </row>
    <row r="1038" spans="11:12" x14ac:dyDescent="0.25">
      <c r="K1038" s="227"/>
      <c r="L1038" s="227"/>
    </row>
    <row r="1039" spans="11:12" x14ac:dyDescent="0.25">
      <c r="K1039" s="227"/>
      <c r="L1039" s="227"/>
    </row>
    <row r="1040" spans="11:12" x14ac:dyDescent="0.25">
      <c r="K1040" s="227"/>
      <c r="L1040" s="227"/>
    </row>
    <row r="1041" spans="11:12" x14ac:dyDescent="0.25">
      <c r="K1041" s="227"/>
      <c r="L1041" s="227"/>
    </row>
    <row r="1042" spans="11:12" x14ac:dyDescent="0.25">
      <c r="K1042" s="227"/>
      <c r="L1042" s="227"/>
    </row>
    <row r="1043" spans="11:12" x14ac:dyDescent="0.25">
      <c r="K1043" s="227"/>
      <c r="L1043" s="227"/>
    </row>
    <row r="1044" spans="11:12" x14ac:dyDescent="0.25">
      <c r="K1044" s="227"/>
      <c r="L1044" s="227"/>
    </row>
    <row r="1045" spans="11:12" x14ac:dyDescent="0.25">
      <c r="K1045" s="227"/>
      <c r="L1045" s="227"/>
    </row>
    <row r="1046" spans="11:12" x14ac:dyDescent="0.25">
      <c r="K1046" s="227"/>
      <c r="L1046" s="227"/>
    </row>
    <row r="1047" spans="11:12" x14ac:dyDescent="0.25">
      <c r="K1047" s="227"/>
      <c r="L1047" s="227"/>
    </row>
    <row r="1048" spans="11:12" x14ac:dyDescent="0.25">
      <c r="K1048" s="227"/>
      <c r="L1048" s="227"/>
    </row>
    <row r="1049" spans="11:12" x14ac:dyDescent="0.25">
      <c r="K1049" s="227"/>
      <c r="L1049" s="227"/>
    </row>
    <row r="1050" spans="11:12" x14ac:dyDescent="0.25">
      <c r="K1050" s="227"/>
      <c r="L1050" s="227"/>
    </row>
    <row r="1051" spans="11:12" x14ac:dyDescent="0.25">
      <c r="K1051" s="227"/>
      <c r="L1051" s="227"/>
    </row>
    <row r="1052" spans="11:12" x14ac:dyDescent="0.25">
      <c r="K1052" s="227"/>
      <c r="L1052" s="227"/>
    </row>
    <row r="1053" spans="11:12" x14ac:dyDescent="0.25">
      <c r="K1053" s="227"/>
      <c r="L1053" s="227"/>
    </row>
    <row r="1054" spans="11:12" x14ac:dyDescent="0.25">
      <c r="K1054" s="227"/>
      <c r="L1054" s="227"/>
    </row>
    <row r="1055" spans="11:12" x14ac:dyDescent="0.25">
      <c r="K1055" s="227"/>
      <c r="L1055" s="227"/>
    </row>
    <row r="1056" spans="11:12" x14ac:dyDescent="0.25">
      <c r="K1056" s="227"/>
      <c r="L1056" s="227"/>
    </row>
    <row r="1057" spans="11:12" x14ac:dyDescent="0.25">
      <c r="K1057" s="227"/>
      <c r="L1057" s="227"/>
    </row>
    <row r="1058" spans="11:12" x14ac:dyDescent="0.25">
      <c r="K1058" s="227"/>
      <c r="L1058" s="227"/>
    </row>
    <row r="1059" spans="11:12" x14ac:dyDescent="0.25">
      <c r="K1059" s="227"/>
      <c r="L1059" s="227"/>
    </row>
    <row r="1060" spans="11:12" x14ac:dyDescent="0.25">
      <c r="K1060" s="227"/>
      <c r="L1060" s="227"/>
    </row>
    <row r="1061" spans="11:12" x14ac:dyDescent="0.25">
      <c r="K1061" s="227"/>
      <c r="L1061" s="227"/>
    </row>
    <row r="1062" spans="11:12" x14ac:dyDescent="0.25">
      <c r="K1062" s="227"/>
      <c r="L1062" s="227"/>
    </row>
    <row r="1063" spans="11:12" x14ac:dyDescent="0.25">
      <c r="K1063" s="227"/>
      <c r="L1063" s="227"/>
    </row>
    <row r="1064" spans="11:12" x14ac:dyDescent="0.25">
      <c r="K1064" s="227"/>
      <c r="L1064" s="227"/>
    </row>
    <row r="1065" spans="11:12" x14ac:dyDescent="0.25">
      <c r="K1065" s="227"/>
      <c r="L1065" s="227"/>
    </row>
    <row r="1066" spans="11:12" x14ac:dyDescent="0.25">
      <c r="K1066" s="227"/>
      <c r="L1066" s="227"/>
    </row>
    <row r="1067" spans="11:12" x14ac:dyDescent="0.25">
      <c r="K1067" s="227"/>
      <c r="L1067" s="227"/>
    </row>
    <row r="1068" spans="11:12" x14ac:dyDescent="0.25">
      <c r="K1068" s="227"/>
      <c r="L1068" s="227"/>
    </row>
    <row r="1069" spans="11:12" x14ac:dyDescent="0.25">
      <c r="K1069" s="227"/>
      <c r="L1069" s="227"/>
    </row>
    <row r="1070" spans="11:12" x14ac:dyDescent="0.25">
      <c r="K1070" s="227"/>
      <c r="L1070" s="227"/>
    </row>
    <row r="1071" spans="11:12" x14ac:dyDescent="0.25">
      <c r="K1071" s="227"/>
      <c r="L1071" s="227"/>
    </row>
    <row r="1072" spans="11:12" x14ac:dyDescent="0.25">
      <c r="K1072" s="227"/>
      <c r="L1072" s="227"/>
    </row>
    <row r="1073" spans="11:12" x14ac:dyDescent="0.25">
      <c r="K1073" s="227"/>
      <c r="L1073" s="227"/>
    </row>
    <row r="1074" spans="11:12" x14ac:dyDescent="0.25">
      <c r="K1074" s="227"/>
      <c r="L1074" s="227"/>
    </row>
    <row r="1075" spans="11:12" x14ac:dyDescent="0.25">
      <c r="K1075" s="227"/>
      <c r="L1075" s="227"/>
    </row>
    <row r="1076" spans="11:12" x14ac:dyDescent="0.25">
      <c r="K1076" s="227"/>
      <c r="L1076" s="227"/>
    </row>
    <row r="1077" spans="11:12" x14ac:dyDescent="0.25">
      <c r="K1077" s="227"/>
      <c r="L1077" s="227"/>
    </row>
    <row r="1078" spans="11:12" x14ac:dyDescent="0.25">
      <c r="K1078" s="227"/>
      <c r="L1078" s="227"/>
    </row>
    <row r="1079" spans="11:12" x14ac:dyDescent="0.25">
      <c r="K1079" s="227"/>
      <c r="L1079" s="227"/>
    </row>
    <row r="1080" spans="11:12" x14ac:dyDescent="0.25">
      <c r="K1080" s="227"/>
      <c r="L1080" s="227"/>
    </row>
    <row r="1081" spans="11:12" x14ac:dyDescent="0.25">
      <c r="K1081" s="227"/>
      <c r="L1081" s="227"/>
    </row>
    <row r="1082" spans="11:12" x14ac:dyDescent="0.25">
      <c r="K1082" s="227"/>
      <c r="L1082" s="227"/>
    </row>
    <row r="1083" spans="11:12" x14ac:dyDescent="0.25">
      <c r="K1083" s="227"/>
      <c r="L1083" s="227"/>
    </row>
    <row r="1084" spans="11:12" x14ac:dyDescent="0.25">
      <c r="K1084" s="227"/>
      <c r="L1084" s="227"/>
    </row>
    <row r="1085" spans="11:12" x14ac:dyDescent="0.25">
      <c r="K1085" s="227"/>
      <c r="L1085" s="227"/>
    </row>
    <row r="1086" spans="11:12" x14ac:dyDescent="0.25">
      <c r="K1086" s="227"/>
      <c r="L1086" s="227"/>
    </row>
    <row r="1087" spans="11:12" x14ac:dyDescent="0.25">
      <c r="K1087" s="227"/>
      <c r="L1087" s="227"/>
    </row>
    <row r="1088" spans="11:12" x14ac:dyDescent="0.25">
      <c r="K1088" s="227"/>
      <c r="L1088" s="227"/>
    </row>
    <row r="1089" spans="11:12" x14ac:dyDescent="0.25">
      <c r="K1089" s="227"/>
      <c r="L1089" s="227"/>
    </row>
    <row r="1090" spans="11:12" x14ac:dyDescent="0.25">
      <c r="K1090" s="227"/>
      <c r="L1090" s="227"/>
    </row>
    <row r="1091" spans="11:12" x14ac:dyDescent="0.25">
      <c r="K1091" s="227"/>
      <c r="L1091" s="227"/>
    </row>
    <row r="1092" spans="11:12" x14ac:dyDescent="0.25">
      <c r="K1092" s="227"/>
      <c r="L1092" s="227"/>
    </row>
    <row r="1093" spans="11:12" x14ac:dyDescent="0.25">
      <c r="K1093" s="227"/>
      <c r="L1093" s="227"/>
    </row>
    <row r="1094" spans="11:12" x14ac:dyDescent="0.25">
      <c r="K1094" s="227"/>
      <c r="L1094" s="227"/>
    </row>
    <row r="1095" spans="11:12" x14ac:dyDescent="0.25">
      <c r="K1095" s="227"/>
      <c r="L1095" s="227"/>
    </row>
    <row r="1096" spans="11:12" x14ac:dyDescent="0.25">
      <c r="K1096" s="227"/>
      <c r="L1096" s="227"/>
    </row>
    <row r="1097" spans="11:12" x14ac:dyDescent="0.25">
      <c r="K1097" s="227"/>
      <c r="L1097" s="227"/>
    </row>
    <row r="1098" spans="11:12" x14ac:dyDescent="0.25">
      <c r="K1098" s="227"/>
      <c r="L1098" s="227"/>
    </row>
    <row r="1099" spans="11:12" x14ac:dyDescent="0.25">
      <c r="K1099" s="227"/>
      <c r="L1099" s="227"/>
    </row>
    <row r="1100" spans="11:12" x14ac:dyDescent="0.25">
      <c r="K1100" s="227"/>
      <c r="L1100" s="227"/>
    </row>
    <row r="1101" spans="11:12" x14ac:dyDescent="0.25">
      <c r="K1101" s="227"/>
      <c r="L1101" s="227"/>
    </row>
    <row r="1102" spans="11:12" x14ac:dyDescent="0.25">
      <c r="K1102" s="227"/>
      <c r="L1102" s="227"/>
    </row>
    <row r="1103" spans="11:12" x14ac:dyDescent="0.25">
      <c r="K1103" s="227"/>
      <c r="L1103" s="227"/>
    </row>
    <row r="1104" spans="11:12" x14ac:dyDescent="0.25">
      <c r="K1104" s="227"/>
      <c r="L1104" s="227"/>
    </row>
    <row r="1105" spans="11:12" x14ac:dyDescent="0.25">
      <c r="K1105" s="227"/>
      <c r="L1105" s="227"/>
    </row>
    <row r="1106" spans="11:12" x14ac:dyDescent="0.25">
      <c r="K1106" s="227"/>
      <c r="L1106" s="227"/>
    </row>
    <row r="1107" spans="11:12" x14ac:dyDescent="0.25">
      <c r="K1107" s="227"/>
      <c r="L1107" s="227"/>
    </row>
    <row r="1108" spans="11:12" x14ac:dyDescent="0.25">
      <c r="K1108" s="227"/>
      <c r="L1108" s="227"/>
    </row>
    <row r="1109" spans="11:12" x14ac:dyDescent="0.25">
      <c r="K1109" s="227"/>
      <c r="L1109" s="227"/>
    </row>
    <row r="1110" spans="11:12" x14ac:dyDescent="0.25">
      <c r="K1110" s="227"/>
      <c r="L1110" s="227"/>
    </row>
    <row r="1111" spans="11:12" x14ac:dyDescent="0.25">
      <c r="K1111" s="227"/>
      <c r="L1111" s="227"/>
    </row>
    <row r="1112" spans="11:12" x14ac:dyDescent="0.25">
      <c r="K1112" s="227"/>
      <c r="L1112" s="227"/>
    </row>
    <row r="1113" spans="11:12" x14ac:dyDescent="0.25">
      <c r="K1113" s="227"/>
      <c r="L1113" s="227"/>
    </row>
    <row r="1114" spans="11:12" x14ac:dyDescent="0.25">
      <c r="K1114" s="227"/>
      <c r="L1114" s="227"/>
    </row>
    <row r="1115" spans="11:12" x14ac:dyDescent="0.25">
      <c r="K1115" s="227"/>
      <c r="L1115" s="227"/>
    </row>
    <row r="1116" spans="11:12" x14ac:dyDescent="0.25">
      <c r="K1116" s="227"/>
      <c r="L1116" s="227"/>
    </row>
    <row r="1117" spans="11:12" x14ac:dyDescent="0.25">
      <c r="K1117" s="227"/>
      <c r="L1117" s="227"/>
    </row>
    <row r="1118" spans="11:12" x14ac:dyDescent="0.25">
      <c r="K1118" s="227"/>
      <c r="L1118" s="227"/>
    </row>
    <row r="1119" spans="11:12" x14ac:dyDescent="0.25">
      <c r="K1119" s="227"/>
      <c r="L1119" s="227"/>
    </row>
    <row r="1120" spans="11:12" x14ac:dyDescent="0.25">
      <c r="K1120" s="227"/>
      <c r="L1120" s="227"/>
    </row>
    <row r="1121" spans="11:12" x14ac:dyDescent="0.25">
      <c r="K1121" s="227"/>
      <c r="L1121" s="227"/>
    </row>
    <row r="1122" spans="11:12" x14ac:dyDescent="0.25">
      <c r="K1122" s="227"/>
      <c r="L1122" s="227"/>
    </row>
    <row r="1123" spans="11:12" x14ac:dyDescent="0.25">
      <c r="K1123" s="227"/>
      <c r="L1123" s="227"/>
    </row>
    <row r="1124" spans="11:12" x14ac:dyDescent="0.25">
      <c r="K1124" s="227"/>
      <c r="L1124" s="227"/>
    </row>
    <row r="1125" spans="11:12" x14ac:dyDescent="0.25">
      <c r="K1125" s="227"/>
      <c r="L1125" s="227"/>
    </row>
    <row r="1126" spans="11:12" x14ac:dyDescent="0.25">
      <c r="K1126" s="227"/>
      <c r="L1126" s="227"/>
    </row>
    <row r="1127" spans="11:12" x14ac:dyDescent="0.25">
      <c r="K1127" s="227"/>
      <c r="L1127" s="227"/>
    </row>
    <row r="1128" spans="11:12" x14ac:dyDescent="0.25">
      <c r="K1128" s="227"/>
      <c r="L1128" s="227"/>
    </row>
    <row r="1129" spans="11:12" x14ac:dyDescent="0.25">
      <c r="K1129" s="227"/>
      <c r="L1129" s="227"/>
    </row>
    <row r="1130" spans="11:12" x14ac:dyDescent="0.25">
      <c r="K1130" s="227"/>
      <c r="L1130" s="227"/>
    </row>
    <row r="1131" spans="11:12" x14ac:dyDescent="0.25">
      <c r="K1131" s="227"/>
      <c r="L1131" s="227"/>
    </row>
    <row r="1132" spans="11:12" x14ac:dyDescent="0.25">
      <c r="K1132" s="227"/>
      <c r="L1132" s="227"/>
    </row>
    <row r="1133" spans="11:12" x14ac:dyDescent="0.25">
      <c r="K1133" s="227"/>
      <c r="L1133" s="227"/>
    </row>
    <row r="1134" spans="11:12" x14ac:dyDescent="0.25">
      <c r="K1134" s="227"/>
      <c r="L1134" s="227"/>
    </row>
    <row r="1135" spans="11:12" x14ac:dyDescent="0.25">
      <c r="K1135" s="227"/>
      <c r="L1135" s="227"/>
    </row>
    <row r="1136" spans="11:12" x14ac:dyDescent="0.25">
      <c r="K1136" s="227"/>
      <c r="L1136" s="227"/>
    </row>
    <row r="1137" spans="11:12" x14ac:dyDescent="0.25">
      <c r="K1137" s="227"/>
      <c r="L1137" s="227"/>
    </row>
    <row r="1138" spans="11:12" x14ac:dyDescent="0.25">
      <c r="K1138" s="227"/>
      <c r="L1138" s="227"/>
    </row>
    <row r="1139" spans="11:12" x14ac:dyDescent="0.25">
      <c r="K1139" s="227"/>
      <c r="L1139" s="227"/>
    </row>
    <row r="1140" spans="11:12" x14ac:dyDescent="0.25">
      <c r="K1140" s="227"/>
      <c r="L1140" s="227"/>
    </row>
    <row r="1141" spans="11:12" x14ac:dyDescent="0.25">
      <c r="K1141" s="227"/>
      <c r="L1141" s="227"/>
    </row>
    <row r="1142" spans="11:12" x14ac:dyDescent="0.25">
      <c r="K1142" s="227"/>
      <c r="L1142" s="227"/>
    </row>
    <row r="1143" spans="11:12" x14ac:dyDescent="0.25">
      <c r="K1143" s="227"/>
      <c r="L1143" s="227"/>
    </row>
    <row r="1144" spans="11:12" x14ac:dyDescent="0.25">
      <c r="K1144" s="227"/>
      <c r="L1144" s="227"/>
    </row>
    <row r="1145" spans="11:12" x14ac:dyDescent="0.25">
      <c r="K1145" s="227"/>
      <c r="L1145" s="227"/>
    </row>
    <row r="1146" spans="11:12" x14ac:dyDescent="0.25">
      <c r="K1146" s="227"/>
      <c r="L1146" s="227"/>
    </row>
    <row r="1147" spans="11:12" x14ac:dyDescent="0.25">
      <c r="K1147" s="227"/>
      <c r="L1147" s="227"/>
    </row>
    <row r="1148" spans="11:12" x14ac:dyDescent="0.25">
      <c r="K1148" s="227"/>
      <c r="L1148" s="227"/>
    </row>
    <row r="1149" spans="11:12" x14ac:dyDescent="0.25">
      <c r="K1149" s="227"/>
      <c r="L1149" s="227"/>
    </row>
    <row r="1150" spans="11:12" x14ac:dyDescent="0.25">
      <c r="K1150" s="227"/>
      <c r="L1150" s="227"/>
    </row>
    <row r="1151" spans="11:12" x14ac:dyDescent="0.25">
      <c r="K1151" s="227"/>
      <c r="L1151" s="227"/>
    </row>
    <row r="1152" spans="11:12" x14ac:dyDescent="0.25">
      <c r="K1152" s="227"/>
      <c r="L1152" s="227"/>
    </row>
    <row r="1153" spans="11:12" x14ac:dyDescent="0.25">
      <c r="K1153" s="227"/>
      <c r="L1153" s="227"/>
    </row>
    <row r="1154" spans="11:12" x14ac:dyDescent="0.25">
      <c r="K1154" s="227"/>
      <c r="L1154" s="227"/>
    </row>
    <row r="1155" spans="11:12" x14ac:dyDescent="0.25">
      <c r="K1155" s="227"/>
      <c r="L1155" s="227"/>
    </row>
    <row r="1156" spans="11:12" x14ac:dyDescent="0.25">
      <c r="K1156" s="227"/>
      <c r="L1156" s="227"/>
    </row>
    <row r="1157" spans="11:12" x14ac:dyDescent="0.25">
      <c r="K1157" s="227"/>
      <c r="L1157" s="227"/>
    </row>
    <row r="1158" spans="11:12" x14ac:dyDescent="0.25">
      <c r="K1158" s="227"/>
      <c r="L1158" s="227"/>
    </row>
    <row r="1159" spans="11:12" x14ac:dyDescent="0.25">
      <c r="K1159" s="227"/>
      <c r="L1159" s="227"/>
    </row>
    <row r="1160" spans="11:12" x14ac:dyDescent="0.25">
      <c r="K1160" s="227"/>
      <c r="L1160" s="227"/>
    </row>
    <row r="1161" spans="11:12" x14ac:dyDescent="0.25">
      <c r="K1161" s="227"/>
      <c r="L1161" s="227"/>
    </row>
    <row r="1162" spans="11:12" x14ac:dyDescent="0.25">
      <c r="K1162" s="227"/>
      <c r="L1162" s="227"/>
    </row>
    <row r="1163" spans="11:12" x14ac:dyDescent="0.25">
      <c r="K1163" s="227"/>
      <c r="L1163" s="227"/>
    </row>
    <row r="1164" spans="11:12" x14ac:dyDescent="0.25">
      <c r="K1164" s="227"/>
      <c r="L1164" s="227"/>
    </row>
    <row r="1165" spans="11:12" x14ac:dyDescent="0.25">
      <c r="K1165" s="227"/>
      <c r="L1165" s="227"/>
    </row>
    <row r="1166" spans="11:12" x14ac:dyDescent="0.25">
      <c r="K1166" s="227"/>
      <c r="L1166" s="227"/>
    </row>
    <row r="1167" spans="11:12" x14ac:dyDescent="0.25">
      <c r="K1167" s="227"/>
      <c r="L1167" s="227"/>
    </row>
    <row r="1168" spans="11:12" x14ac:dyDescent="0.25">
      <c r="K1168" s="227"/>
      <c r="L1168" s="227"/>
    </row>
    <row r="1169" spans="11:12" x14ac:dyDescent="0.25">
      <c r="K1169" s="227"/>
      <c r="L1169" s="227"/>
    </row>
    <row r="1170" spans="11:12" x14ac:dyDescent="0.25">
      <c r="K1170" s="227"/>
      <c r="L1170" s="227"/>
    </row>
    <row r="1171" spans="11:12" x14ac:dyDescent="0.25">
      <c r="K1171" s="227"/>
      <c r="L1171" s="227"/>
    </row>
    <row r="1172" spans="11:12" x14ac:dyDescent="0.25">
      <c r="K1172" s="227"/>
      <c r="L1172" s="227"/>
    </row>
    <row r="1173" spans="11:12" x14ac:dyDescent="0.25">
      <c r="K1173" s="227"/>
      <c r="L1173" s="227"/>
    </row>
    <row r="1174" spans="11:12" x14ac:dyDescent="0.25">
      <c r="K1174" s="227"/>
      <c r="L1174" s="227"/>
    </row>
    <row r="1175" spans="11:12" x14ac:dyDescent="0.25">
      <c r="K1175" s="227"/>
      <c r="L1175" s="227"/>
    </row>
    <row r="1176" spans="11:12" x14ac:dyDescent="0.25">
      <c r="K1176" s="227"/>
      <c r="L1176" s="227"/>
    </row>
    <row r="1177" spans="11:12" x14ac:dyDescent="0.25">
      <c r="K1177" s="227"/>
      <c r="L1177" s="227"/>
    </row>
    <row r="1178" spans="11:12" x14ac:dyDescent="0.25">
      <c r="K1178" s="227"/>
      <c r="L1178" s="227"/>
    </row>
    <row r="1179" spans="11:12" x14ac:dyDescent="0.25">
      <c r="K1179" s="227"/>
      <c r="L1179" s="227"/>
    </row>
    <row r="1180" spans="11:12" x14ac:dyDescent="0.25">
      <c r="K1180" s="227"/>
      <c r="L1180" s="227"/>
    </row>
    <row r="1181" spans="11:12" x14ac:dyDescent="0.25">
      <c r="K1181" s="227"/>
      <c r="L1181" s="227"/>
    </row>
    <row r="1182" spans="11:12" x14ac:dyDescent="0.25">
      <c r="K1182" s="227"/>
      <c r="L1182" s="227"/>
    </row>
    <row r="1183" spans="11:12" x14ac:dyDescent="0.25">
      <c r="K1183" s="227"/>
      <c r="L1183" s="227"/>
    </row>
    <row r="1184" spans="11:12" x14ac:dyDescent="0.25">
      <c r="K1184" s="227"/>
      <c r="L1184" s="227"/>
    </row>
    <row r="1185" spans="11:12" x14ac:dyDescent="0.25">
      <c r="K1185" s="227"/>
      <c r="L1185" s="227"/>
    </row>
    <row r="1186" spans="11:12" x14ac:dyDescent="0.25">
      <c r="K1186" s="227"/>
      <c r="L1186" s="227"/>
    </row>
    <row r="1187" spans="11:12" x14ac:dyDescent="0.25">
      <c r="K1187" s="227"/>
      <c r="L1187" s="227"/>
    </row>
    <row r="1188" spans="11:12" x14ac:dyDescent="0.25">
      <c r="K1188" s="227"/>
      <c r="L1188" s="227"/>
    </row>
    <row r="1189" spans="11:12" x14ac:dyDescent="0.25">
      <c r="K1189" s="227"/>
      <c r="L1189" s="227"/>
    </row>
    <row r="1190" spans="11:12" x14ac:dyDescent="0.25">
      <c r="K1190" s="227"/>
      <c r="L1190" s="227"/>
    </row>
    <row r="1191" spans="11:12" x14ac:dyDescent="0.25">
      <c r="K1191" s="227"/>
      <c r="L1191" s="227"/>
    </row>
    <row r="1192" spans="11:12" x14ac:dyDescent="0.25">
      <c r="K1192" s="227"/>
      <c r="L1192" s="227"/>
    </row>
    <row r="1193" spans="11:12" x14ac:dyDescent="0.25">
      <c r="K1193" s="227"/>
      <c r="L1193" s="227"/>
    </row>
    <row r="1194" spans="11:12" x14ac:dyDescent="0.25">
      <c r="K1194" s="227"/>
      <c r="L1194" s="227"/>
    </row>
    <row r="1195" spans="11:12" x14ac:dyDescent="0.25">
      <c r="K1195" s="227"/>
      <c r="L1195" s="227"/>
    </row>
    <row r="1196" spans="11:12" x14ac:dyDescent="0.25">
      <c r="K1196" s="227"/>
      <c r="L1196" s="227"/>
    </row>
    <row r="1197" spans="11:12" x14ac:dyDescent="0.25">
      <c r="K1197" s="227"/>
      <c r="L1197" s="227"/>
    </row>
    <row r="1198" spans="11:12" x14ac:dyDescent="0.25">
      <c r="K1198" s="227"/>
      <c r="L1198" s="227"/>
    </row>
    <row r="1199" spans="11:12" x14ac:dyDescent="0.25">
      <c r="K1199" s="227"/>
      <c r="L1199" s="227"/>
    </row>
    <row r="1200" spans="11:12" x14ac:dyDescent="0.25">
      <c r="K1200" s="227"/>
      <c r="L1200" s="227"/>
    </row>
    <row r="1201" spans="11:12" x14ac:dyDescent="0.25">
      <c r="K1201" s="227"/>
      <c r="L1201" s="227"/>
    </row>
    <row r="1202" spans="11:12" x14ac:dyDescent="0.25">
      <c r="K1202" s="227"/>
      <c r="L1202" s="227"/>
    </row>
    <row r="1203" spans="11:12" x14ac:dyDescent="0.25">
      <c r="K1203" s="227"/>
      <c r="L1203" s="227"/>
    </row>
    <row r="1204" spans="11:12" x14ac:dyDescent="0.25">
      <c r="K1204" s="227"/>
      <c r="L1204" s="227"/>
    </row>
    <row r="1205" spans="11:12" x14ac:dyDescent="0.25">
      <c r="K1205" s="227"/>
      <c r="L1205" s="227"/>
    </row>
    <row r="1206" spans="11:12" x14ac:dyDescent="0.25">
      <c r="K1206" s="227"/>
      <c r="L1206" s="227"/>
    </row>
    <row r="1207" spans="11:12" x14ac:dyDescent="0.25">
      <c r="K1207" s="227"/>
      <c r="L1207" s="227"/>
    </row>
    <row r="1208" spans="11:12" x14ac:dyDescent="0.25">
      <c r="K1208" s="227"/>
      <c r="L1208" s="227"/>
    </row>
    <row r="1209" spans="11:12" x14ac:dyDescent="0.25">
      <c r="K1209" s="227"/>
      <c r="L1209" s="227"/>
    </row>
    <row r="1210" spans="11:12" x14ac:dyDescent="0.25">
      <c r="K1210" s="227"/>
      <c r="L1210" s="227"/>
    </row>
    <row r="1211" spans="11:12" x14ac:dyDescent="0.25">
      <c r="K1211" s="227"/>
      <c r="L1211" s="227"/>
    </row>
    <row r="1212" spans="11:12" x14ac:dyDescent="0.25">
      <c r="K1212" s="227"/>
      <c r="L1212" s="227"/>
    </row>
    <row r="1213" spans="11:12" x14ac:dyDescent="0.25">
      <c r="K1213" s="227"/>
      <c r="L1213" s="227"/>
    </row>
    <row r="1214" spans="11:12" x14ac:dyDescent="0.25">
      <c r="K1214" s="227"/>
      <c r="L1214" s="227"/>
    </row>
    <row r="1215" spans="11:12" x14ac:dyDescent="0.25">
      <c r="K1215" s="227"/>
      <c r="L1215" s="227"/>
    </row>
    <row r="1216" spans="11:12" x14ac:dyDescent="0.25">
      <c r="K1216" s="227"/>
      <c r="L1216" s="227"/>
    </row>
    <row r="1217" spans="11:12" x14ac:dyDescent="0.25">
      <c r="K1217" s="227"/>
      <c r="L1217" s="227"/>
    </row>
    <row r="1218" spans="11:12" x14ac:dyDescent="0.25">
      <c r="K1218" s="227"/>
      <c r="L1218" s="227"/>
    </row>
    <row r="1219" spans="11:12" x14ac:dyDescent="0.25">
      <c r="K1219" s="227"/>
      <c r="L1219" s="227"/>
    </row>
    <row r="1220" spans="11:12" x14ac:dyDescent="0.25">
      <c r="K1220" s="227"/>
      <c r="L1220" s="227"/>
    </row>
    <row r="1221" spans="11:12" x14ac:dyDescent="0.25">
      <c r="K1221" s="227"/>
      <c r="L1221" s="227"/>
    </row>
    <row r="1222" spans="11:12" x14ac:dyDescent="0.25">
      <c r="K1222" s="227"/>
      <c r="L1222" s="227"/>
    </row>
    <row r="1223" spans="11:12" x14ac:dyDescent="0.25">
      <c r="K1223" s="227"/>
      <c r="L1223" s="227"/>
    </row>
    <row r="1224" spans="11:12" x14ac:dyDescent="0.25">
      <c r="K1224" s="227"/>
      <c r="L1224" s="227"/>
    </row>
    <row r="1225" spans="11:12" x14ac:dyDescent="0.25">
      <c r="K1225" s="227"/>
      <c r="L1225" s="227"/>
    </row>
    <row r="1226" spans="11:12" x14ac:dyDescent="0.25">
      <c r="K1226" s="227"/>
      <c r="L1226" s="227"/>
    </row>
    <row r="1227" spans="11:12" x14ac:dyDescent="0.25">
      <c r="K1227" s="227"/>
      <c r="L1227" s="227"/>
    </row>
    <row r="1228" spans="11:12" x14ac:dyDescent="0.25">
      <c r="K1228" s="227"/>
      <c r="L1228" s="227"/>
    </row>
    <row r="1229" spans="11:12" x14ac:dyDescent="0.25">
      <c r="K1229" s="227"/>
      <c r="L1229" s="227"/>
    </row>
    <row r="1230" spans="11:12" x14ac:dyDescent="0.25">
      <c r="K1230" s="227"/>
      <c r="L1230" s="227"/>
    </row>
    <row r="1231" spans="11:12" x14ac:dyDescent="0.25">
      <c r="K1231" s="227"/>
      <c r="L1231" s="227"/>
    </row>
    <row r="1232" spans="11:12" x14ac:dyDescent="0.25">
      <c r="K1232" s="227"/>
      <c r="L1232" s="227"/>
    </row>
    <row r="1233" spans="11:12" x14ac:dyDescent="0.25">
      <c r="K1233" s="227"/>
      <c r="L1233" s="227"/>
    </row>
    <row r="1234" spans="11:12" x14ac:dyDescent="0.25">
      <c r="K1234" s="227"/>
      <c r="L1234" s="227"/>
    </row>
    <row r="1235" spans="11:12" x14ac:dyDescent="0.25">
      <c r="K1235" s="227"/>
      <c r="L1235" s="227"/>
    </row>
    <row r="1236" spans="11:12" x14ac:dyDescent="0.25">
      <c r="K1236" s="227"/>
      <c r="L1236" s="227"/>
    </row>
    <row r="1237" spans="11:12" x14ac:dyDescent="0.25">
      <c r="K1237" s="227"/>
      <c r="L1237" s="227"/>
    </row>
    <row r="1238" spans="11:12" x14ac:dyDescent="0.25">
      <c r="K1238" s="227"/>
      <c r="L1238" s="227"/>
    </row>
    <row r="1239" spans="11:12" x14ac:dyDescent="0.25">
      <c r="K1239" s="227"/>
      <c r="L1239" s="227"/>
    </row>
    <row r="1240" spans="11:12" x14ac:dyDescent="0.25">
      <c r="K1240" s="227"/>
      <c r="L1240" s="227"/>
    </row>
    <row r="1241" spans="11:12" x14ac:dyDescent="0.25">
      <c r="K1241" s="227"/>
      <c r="L1241" s="227"/>
    </row>
    <row r="1242" spans="11:12" x14ac:dyDescent="0.25">
      <c r="K1242" s="227"/>
      <c r="L1242" s="227"/>
    </row>
    <row r="1243" spans="11:12" x14ac:dyDescent="0.25">
      <c r="K1243" s="227"/>
      <c r="L1243" s="227"/>
    </row>
    <row r="1244" spans="11:12" x14ac:dyDescent="0.25">
      <c r="K1244" s="227"/>
      <c r="L1244" s="227"/>
    </row>
    <row r="1245" spans="11:12" x14ac:dyDescent="0.25">
      <c r="K1245" s="227"/>
      <c r="L1245" s="227"/>
    </row>
    <row r="1246" spans="11:12" x14ac:dyDescent="0.25">
      <c r="K1246" s="227"/>
      <c r="L1246" s="227"/>
    </row>
    <row r="1247" spans="11:12" x14ac:dyDescent="0.25">
      <c r="K1247" s="227"/>
      <c r="L1247" s="227"/>
    </row>
    <row r="1248" spans="11:12" x14ac:dyDescent="0.25">
      <c r="K1248" s="227"/>
      <c r="L1248" s="227"/>
    </row>
    <row r="1249" spans="11:12" x14ac:dyDescent="0.25">
      <c r="K1249" s="227"/>
      <c r="L1249" s="227"/>
    </row>
    <row r="1250" spans="11:12" x14ac:dyDescent="0.25">
      <c r="K1250" s="227"/>
      <c r="L1250" s="227"/>
    </row>
    <row r="1251" spans="11:12" x14ac:dyDescent="0.25">
      <c r="K1251" s="227"/>
      <c r="L1251" s="227"/>
    </row>
    <row r="1252" spans="11:12" x14ac:dyDescent="0.25">
      <c r="K1252" s="227"/>
      <c r="L1252" s="227"/>
    </row>
    <row r="1253" spans="11:12" x14ac:dyDescent="0.25">
      <c r="K1253" s="227"/>
      <c r="L1253" s="227"/>
    </row>
    <row r="1254" spans="11:12" x14ac:dyDescent="0.25">
      <c r="K1254" s="227"/>
      <c r="L1254" s="227"/>
    </row>
    <row r="1255" spans="11:12" x14ac:dyDescent="0.25">
      <c r="K1255" s="227"/>
      <c r="L1255" s="227"/>
    </row>
    <row r="1256" spans="11:12" x14ac:dyDescent="0.25">
      <c r="K1256" s="227"/>
      <c r="L1256" s="227"/>
    </row>
    <row r="1257" spans="11:12" x14ac:dyDescent="0.25">
      <c r="K1257" s="227"/>
      <c r="L1257" s="227"/>
    </row>
    <row r="1258" spans="11:12" x14ac:dyDescent="0.25">
      <c r="K1258" s="227"/>
      <c r="L1258" s="227"/>
    </row>
    <row r="1259" spans="11:12" x14ac:dyDescent="0.25">
      <c r="K1259" s="227"/>
      <c r="L1259" s="227"/>
    </row>
    <row r="1260" spans="11:12" x14ac:dyDescent="0.25">
      <c r="K1260" s="227"/>
      <c r="L1260" s="227"/>
    </row>
    <row r="1261" spans="11:12" x14ac:dyDescent="0.25">
      <c r="K1261" s="227"/>
      <c r="L1261" s="227"/>
    </row>
    <row r="1262" spans="11:12" x14ac:dyDescent="0.25">
      <c r="K1262" s="227"/>
      <c r="L1262" s="227"/>
    </row>
    <row r="1263" spans="11:12" x14ac:dyDescent="0.25">
      <c r="K1263" s="227"/>
      <c r="L1263" s="227"/>
    </row>
    <row r="1264" spans="11:12" x14ac:dyDescent="0.25">
      <c r="K1264" s="227"/>
      <c r="L1264" s="227"/>
    </row>
    <row r="1265" spans="11:12" x14ac:dyDescent="0.25">
      <c r="K1265" s="227"/>
      <c r="L1265" s="227"/>
    </row>
    <row r="1266" spans="11:12" x14ac:dyDescent="0.25">
      <c r="K1266" s="227"/>
      <c r="L1266" s="227"/>
    </row>
    <row r="1267" spans="11:12" x14ac:dyDescent="0.25">
      <c r="K1267" s="227"/>
      <c r="L1267" s="227"/>
    </row>
    <row r="1268" spans="11:12" x14ac:dyDescent="0.25">
      <c r="K1268" s="227"/>
      <c r="L1268" s="227"/>
    </row>
    <row r="1269" spans="11:12" x14ac:dyDescent="0.25">
      <c r="K1269" s="227"/>
      <c r="L1269" s="227"/>
    </row>
    <row r="1270" spans="11:12" x14ac:dyDescent="0.25">
      <c r="K1270" s="227"/>
      <c r="L1270" s="227"/>
    </row>
    <row r="1271" spans="11:12" x14ac:dyDescent="0.25">
      <c r="K1271" s="227"/>
      <c r="L1271" s="227"/>
    </row>
    <row r="1272" spans="11:12" x14ac:dyDescent="0.25">
      <c r="K1272" s="227"/>
      <c r="L1272" s="227"/>
    </row>
    <row r="1273" spans="11:12" x14ac:dyDescent="0.25">
      <c r="K1273" s="227"/>
      <c r="L1273" s="227"/>
    </row>
    <row r="1274" spans="11:12" x14ac:dyDescent="0.25">
      <c r="K1274" s="227"/>
      <c r="L1274" s="227"/>
    </row>
    <row r="1275" spans="11:12" x14ac:dyDescent="0.25">
      <c r="K1275" s="227"/>
      <c r="L1275" s="227"/>
    </row>
    <row r="1276" spans="11:12" x14ac:dyDescent="0.25">
      <c r="K1276" s="227"/>
      <c r="L1276" s="227"/>
    </row>
    <row r="1277" spans="11:12" x14ac:dyDescent="0.25">
      <c r="K1277" s="227"/>
      <c r="L1277" s="227"/>
    </row>
    <row r="1278" spans="11:12" x14ac:dyDescent="0.25">
      <c r="K1278" s="227"/>
      <c r="L1278" s="227"/>
    </row>
    <row r="1279" spans="11:12" x14ac:dyDescent="0.25">
      <c r="K1279" s="227"/>
      <c r="L1279" s="227"/>
    </row>
    <row r="1280" spans="11:12" x14ac:dyDescent="0.25">
      <c r="K1280" s="227"/>
      <c r="L1280" s="227"/>
    </row>
    <row r="1281" spans="11:12" x14ac:dyDescent="0.25">
      <c r="K1281" s="227"/>
      <c r="L1281" s="227"/>
    </row>
    <row r="1282" spans="11:12" x14ac:dyDescent="0.25">
      <c r="K1282" s="227"/>
      <c r="L1282" s="227"/>
    </row>
    <row r="1283" spans="11:12" x14ac:dyDescent="0.25">
      <c r="K1283" s="227"/>
      <c r="L1283" s="227"/>
    </row>
    <row r="1284" spans="11:12" x14ac:dyDescent="0.25">
      <c r="K1284" s="227"/>
      <c r="L1284" s="227"/>
    </row>
    <row r="1285" spans="11:12" x14ac:dyDescent="0.25">
      <c r="K1285" s="227"/>
      <c r="L1285" s="227"/>
    </row>
    <row r="1286" spans="11:12" x14ac:dyDescent="0.25">
      <c r="K1286" s="227"/>
      <c r="L1286" s="227"/>
    </row>
    <row r="1287" spans="11:12" x14ac:dyDescent="0.25">
      <c r="K1287" s="227"/>
      <c r="L1287" s="227"/>
    </row>
    <row r="1288" spans="11:12" x14ac:dyDescent="0.25">
      <c r="K1288" s="227"/>
      <c r="L1288" s="227"/>
    </row>
    <row r="1289" spans="11:12" x14ac:dyDescent="0.25">
      <c r="K1289" s="227"/>
      <c r="L1289" s="227"/>
    </row>
    <row r="1290" spans="11:12" x14ac:dyDescent="0.25">
      <c r="K1290" s="227"/>
      <c r="L1290" s="227"/>
    </row>
    <row r="1291" spans="11:12" x14ac:dyDescent="0.25">
      <c r="K1291" s="227"/>
      <c r="L1291" s="227"/>
    </row>
    <row r="1292" spans="11:12" x14ac:dyDescent="0.25">
      <c r="K1292" s="227"/>
      <c r="L1292" s="227"/>
    </row>
    <row r="1293" spans="11:12" x14ac:dyDescent="0.25">
      <c r="K1293" s="227"/>
      <c r="L1293" s="227"/>
    </row>
    <row r="1294" spans="11:12" x14ac:dyDescent="0.25">
      <c r="K1294" s="227"/>
      <c r="L1294" s="227"/>
    </row>
    <row r="1295" spans="11:12" x14ac:dyDescent="0.25">
      <c r="K1295" s="227"/>
      <c r="L1295" s="227"/>
    </row>
    <row r="1296" spans="11:12" x14ac:dyDescent="0.25">
      <c r="K1296" s="227"/>
      <c r="L1296" s="227"/>
    </row>
    <row r="1297" spans="11:12" x14ac:dyDescent="0.25">
      <c r="K1297" s="227"/>
      <c r="L1297" s="227"/>
    </row>
    <row r="1298" spans="11:12" x14ac:dyDescent="0.25">
      <c r="K1298" s="227"/>
      <c r="L1298" s="227"/>
    </row>
    <row r="1299" spans="11:12" x14ac:dyDescent="0.25">
      <c r="K1299" s="227"/>
      <c r="L1299" s="227"/>
    </row>
    <row r="1300" spans="11:12" x14ac:dyDescent="0.25">
      <c r="K1300" s="227"/>
      <c r="L1300" s="227"/>
    </row>
    <row r="1301" spans="11:12" x14ac:dyDescent="0.25">
      <c r="K1301" s="227"/>
      <c r="L1301" s="227"/>
    </row>
    <row r="1302" spans="11:12" x14ac:dyDescent="0.25">
      <c r="K1302" s="227"/>
      <c r="L1302" s="227"/>
    </row>
    <row r="1303" spans="11:12" x14ac:dyDescent="0.25">
      <c r="K1303" s="227"/>
      <c r="L1303" s="227"/>
    </row>
    <row r="1304" spans="11:12" x14ac:dyDescent="0.25">
      <c r="K1304" s="227"/>
      <c r="L1304" s="227"/>
    </row>
    <row r="1305" spans="11:12" x14ac:dyDescent="0.25">
      <c r="K1305" s="227"/>
      <c r="L1305" s="227"/>
    </row>
    <row r="1306" spans="11:12" x14ac:dyDescent="0.25">
      <c r="K1306" s="227"/>
      <c r="L1306" s="227"/>
    </row>
    <row r="1307" spans="11:12" x14ac:dyDescent="0.25">
      <c r="K1307" s="227"/>
      <c r="L1307" s="227"/>
    </row>
    <row r="1308" spans="11:12" x14ac:dyDescent="0.25">
      <c r="K1308" s="227"/>
      <c r="L1308" s="227"/>
    </row>
    <row r="1309" spans="11:12" x14ac:dyDescent="0.25">
      <c r="K1309" s="227"/>
      <c r="L1309" s="227"/>
    </row>
    <row r="1310" spans="11:12" x14ac:dyDescent="0.25">
      <c r="K1310" s="227"/>
      <c r="L1310" s="227"/>
    </row>
    <row r="1311" spans="11:12" x14ac:dyDescent="0.25">
      <c r="K1311" s="227"/>
      <c r="L1311" s="227"/>
    </row>
    <row r="1312" spans="11:12" x14ac:dyDescent="0.25">
      <c r="K1312" s="227"/>
      <c r="L1312" s="227"/>
    </row>
    <row r="1313" spans="11:12" x14ac:dyDescent="0.25">
      <c r="K1313" s="227"/>
      <c r="L1313" s="227"/>
    </row>
    <row r="1314" spans="11:12" x14ac:dyDescent="0.25">
      <c r="K1314" s="227"/>
      <c r="L1314" s="227"/>
    </row>
    <row r="1315" spans="11:12" x14ac:dyDescent="0.25">
      <c r="K1315" s="227"/>
      <c r="L1315" s="227"/>
    </row>
    <row r="1316" spans="11:12" x14ac:dyDescent="0.25">
      <c r="K1316" s="227"/>
      <c r="L1316" s="227"/>
    </row>
    <row r="1317" spans="11:12" x14ac:dyDescent="0.25">
      <c r="K1317" s="227"/>
      <c r="L1317" s="227"/>
    </row>
    <row r="1318" spans="11:12" x14ac:dyDescent="0.25">
      <c r="K1318" s="227"/>
      <c r="L1318" s="227"/>
    </row>
    <row r="1319" spans="11:12" x14ac:dyDescent="0.25">
      <c r="K1319" s="227"/>
      <c r="L1319" s="227"/>
    </row>
    <row r="1320" spans="11:12" x14ac:dyDescent="0.25">
      <c r="K1320" s="227"/>
      <c r="L1320" s="227"/>
    </row>
    <row r="1321" spans="11:12" x14ac:dyDescent="0.25">
      <c r="K1321" s="227"/>
      <c r="L1321" s="227"/>
    </row>
    <row r="1322" spans="11:12" x14ac:dyDescent="0.25">
      <c r="K1322" s="227"/>
      <c r="L1322" s="227"/>
    </row>
    <row r="1323" spans="11:12" x14ac:dyDescent="0.25">
      <c r="K1323" s="227"/>
      <c r="L1323" s="227"/>
    </row>
    <row r="1324" spans="11:12" x14ac:dyDescent="0.25">
      <c r="K1324" s="227"/>
      <c r="L1324" s="227"/>
    </row>
    <row r="1325" spans="11:12" x14ac:dyDescent="0.25">
      <c r="K1325" s="227"/>
      <c r="L1325" s="227"/>
    </row>
    <row r="1326" spans="11:12" x14ac:dyDescent="0.25">
      <c r="K1326" s="227"/>
      <c r="L1326" s="227"/>
    </row>
    <row r="1327" spans="11:12" x14ac:dyDescent="0.25">
      <c r="K1327" s="227"/>
      <c r="L1327" s="227"/>
    </row>
    <row r="1328" spans="11:12" x14ac:dyDescent="0.25">
      <c r="K1328" s="227"/>
      <c r="L1328" s="227"/>
    </row>
    <row r="1329" spans="11:12" x14ac:dyDescent="0.25">
      <c r="K1329" s="227"/>
      <c r="L1329" s="227"/>
    </row>
    <row r="1330" spans="11:12" x14ac:dyDescent="0.25">
      <c r="K1330" s="227"/>
      <c r="L1330" s="227"/>
    </row>
    <row r="1331" spans="11:12" x14ac:dyDescent="0.25">
      <c r="K1331" s="227"/>
      <c r="L1331" s="227"/>
    </row>
    <row r="1332" spans="11:12" x14ac:dyDescent="0.25">
      <c r="K1332" s="227"/>
      <c r="L1332" s="227"/>
    </row>
    <row r="1333" spans="11:12" x14ac:dyDescent="0.25">
      <c r="K1333" s="227"/>
      <c r="L1333" s="227"/>
    </row>
    <row r="1334" spans="11:12" x14ac:dyDescent="0.25">
      <c r="K1334" s="227"/>
      <c r="L1334" s="227"/>
    </row>
    <row r="1335" spans="11:12" x14ac:dyDescent="0.25">
      <c r="K1335" s="227"/>
      <c r="L1335" s="227"/>
    </row>
    <row r="1336" spans="11:12" x14ac:dyDescent="0.25">
      <c r="K1336" s="227"/>
      <c r="L1336" s="227"/>
    </row>
    <row r="1337" spans="11:12" x14ac:dyDescent="0.25">
      <c r="K1337" s="227"/>
      <c r="L1337" s="227"/>
    </row>
    <row r="1338" spans="11:12" x14ac:dyDescent="0.25">
      <c r="K1338" s="227"/>
      <c r="L1338" s="227"/>
    </row>
    <row r="1339" spans="11:12" x14ac:dyDescent="0.25">
      <c r="K1339" s="227"/>
      <c r="L1339" s="227"/>
    </row>
    <row r="1340" spans="11:12" x14ac:dyDescent="0.25">
      <c r="K1340" s="227"/>
      <c r="L1340" s="227"/>
    </row>
    <row r="1341" spans="11:12" x14ac:dyDescent="0.25">
      <c r="K1341" s="227"/>
      <c r="L1341" s="227"/>
    </row>
    <row r="1342" spans="11:12" x14ac:dyDescent="0.25">
      <c r="K1342" s="227"/>
      <c r="L1342" s="227"/>
    </row>
    <row r="1343" spans="11:12" x14ac:dyDescent="0.25">
      <c r="K1343" s="227"/>
      <c r="L1343" s="227"/>
    </row>
    <row r="1344" spans="11:12" x14ac:dyDescent="0.25">
      <c r="K1344" s="227"/>
      <c r="L1344" s="227"/>
    </row>
    <row r="1345" spans="11:12" x14ac:dyDescent="0.25">
      <c r="K1345" s="227"/>
      <c r="L1345" s="227"/>
    </row>
    <row r="1346" spans="11:12" x14ac:dyDescent="0.25">
      <c r="K1346" s="227"/>
      <c r="L1346" s="227"/>
    </row>
    <row r="1347" spans="11:12" x14ac:dyDescent="0.25">
      <c r="K1347" s="227"/>
      <c r="L1347" s="227"/>
    </row>
    <row r="1348" spans="11:12" x14ac:dyDescent="0.25">
      <c r="K1348" s="227"/>
      <c r="L1348" s="227"/>
    </row>
    <row r="1349" spans="11:12" x14ac:dyDescent="0.25">
      <c r="K1349" s="227"/>
      <c r="L1349" s="227"/>
    </row>
    <row r="1350" spans="11:12" x14ac:dyDescent="0.25">
      <c r="K1350" s="227"/>
      <c r="L1350" s="227"/>
    </row>
    <row r="1351" spans="11:12" x14ac:dyDescent="0.25">
      <c r="K1351" s="227"/>
      <c r="L1351" s="227"/>
    </row>
    <row r="1352" spans="11:12" x14ac:dyDescent="0.25">
      <c r="K1352" s="227"/>
      <c r="L1352" s="227"/>
    </row>
    <row r="1353" spans="11:12" x14ac:dyDescent="0.25">
      <c r="K1353" s="227"/>
      <c r="L1353" s="227"/>
    </row>
    <row r="1354" spans="11:12" x14ac:dyDescent="0.25">
      <c r="K1354" s="227"/>
      <c r="L1354" s="227"/>
    </row>
    <row r="1355" spans="11:12" x14ac:dyDescent="0.25">
      <c r="K1355" s="227"/>
      <c r="L1355" s="227"/>
    </row>
    <row r="1356" spans="11:12" x14ac:dyDescent="0.25">
      <c r="K1356" s="227"/>
      <c r="L1356" s="227"/>
    </row>
    <row r="1357" spans="11:12" x14ac:dyDescent="0.25">
      <c r="K1357" s="227"/>
      <c r="L1357" s="227"/>
    </row>
    <row r="1358" spans="11:12" x14ac:dyDescent="0.25">
      <c r="K1358" s="227"/>
      <c r="L1358" s="227"/>
    </row>
    <row r="1359" spans="11:12" x14ac:dyDescent="0.25">
      <c r="K1359" s="227"/>
      <c r="L1359" s="227"/>
    </row>
    <row r="1360" spans="11:12" x14ac:dyDescent="0.25">
      <c r="K1360" s="227"/>
      <c r="L1360" s="227"/>
    </row>
    <row r="1361" spans="11:12" x14ac:dyDescent="0.25">
      <c r="K1361" s="227"/>
      <c r="L1361" s="227"/>
    </row>
    <row r="1362" spans="11:12" x14ac:dyDescent="0.25">
      <c r="K1362" s="227"/>
      <c r="L1362" s="227"/>
    </row>
    <row r="1363" spans="11:12" x14ac:dyDescent="0.25">
      <c r="K1363" s="227"/>
      <c r="L1363" s="227"/>
    </row>
    <row r="1364" spans="11:12" x14ac:dyDescent="0.25">
      <c r="K1364" s="227"/>
      <c r="L1364" s="227"/>
    </row>
    <row r="1365" spans="11:12" x14ac:dyDescent="0.25">
      <c r="K1365" s="227"/>
      <c r="L1365" s="227"/>
    </row>
    <row r="1366" spans="11:12" x14ac:dyDescent="0.25">
      <c r="K1366" s="227"/>
      <c r="L1366" s="227"/>
    </row>
    <row r="1367" spans="11:12" x14ac:dyDescent="0.25">
      <c r="K1367" s="227"/>
      <c r="L1367" s="227"/>
    </row>
    <row r="1368" spans="11:12" x14ac:dyDescent="0.25">
      <c r="K1368" s="227"/>
      <c r="L1368" s="227"/>
    </row>
    <row r="1369" spans="11:12" x14ac:dyDescent="0.25">
      <c r="K1369" s="227"/>
      <c r="L1369" s="227"/>
    </row>
    <row r="1370" spans="11:12" x14ac:dyDescent="0.25">
      <c r="K1370" s="227"/>
      <c r="L1370" s="227"/>
    </row>
    <row r="1371" spans="11:12" x14ac:dyDescent="0.25">
      <c r="K1371" s="227"/>
      <c r="L1371" s="227"/>
    </row>
    <row r="1372" spans="11:12" x14ac:dyDescent="0.25">
      <c r="K1372" s="227"/>
      <c r="L1372" s="227"/>
    </row>
    <row r="1373" spans="11:12" x14ac:dyDescent="0.25">
      <c r="K1373" s="227"/>
      <c r="L1373" s="227"/>
    </row>
    <row r="1374" spans="11:12" x14ac:dyDescent="0.25">
      <c r="K1374" s="227"/>
      <c r="L1374" s="227"/>
    </row>
    <row r="1375" spans="11:12" x14ac:dyDescent="0.25">
      <c r="K1375" s="227"/>
      <c r="L1375" s="227"/>
    </row>
    <row r="1376" spans="11:12" x14ac:dyDescent="0.25">
      <c r="K1376" s="227"/>
      <c r="L1376" s="227"/>
    </row>
    <row r="1377" spans="11:12" x14ac:dyDescent="0.25">
      <c r="K1377" s="227"/>
      <c r="L1377" s="227"/>
    </row>
    <row r="1378" spans="11:12" x14ac:dyDescent="0.25">
      <c r="K1378" s="227"/>
      <c r="L1378" s="227"/>
    </row>
    <row r="1379" spans="11:12" x14ac:dyDescent="0.25">
      <c r="K1379" s="227"/>
      <c r="L1379" s="227"/>
    </row>
    <row r="1380" spans="11:12" x14ac:dyDescent="0.25">
      <c r="K1380" s="227"/>
      <c r="L1380" s="227"/>
    </row>
    <row r="1381" spans="11:12" x14ac:dyDescent="0.25">
      <c r="K1381" s="227"/>
      <c r="L1381" s="227"/>
    </row>
    <row r="1382" spans="11:12" x14ac:dyDescent="0.25">
      <c r="K1382" s="227"/>
      <c r="L1382" s="227"/>
    </row>
    <row r="1383" spans="11:12" x14ac:dyDescent="0.25">
      <c r="K1383" s="227"/>
      <c r="L1383" s="227"/>
    </row>
    <row r="1384" spans="11:12" x14ac:dyDescent="0.25">
      <c r="K1384" s="227"/>
      <c r="L1384" s="227"/>
    </row>
    <row r="1385" spans="11:12" x14ac:dyDescent="0.25">
      <c r="K1385" s="227"/>
      <c r="L1385" s="227"/>
    </row>
    <row r="1386" spans="11:12" x14ac:dyDescent="0.25">
      <c r="K1386" s="227"/>
      <c r="L1386" s="227"/>
    </row>
    <row r="1387" spans="11:12" x14ac:dyDescent="0.25">
      <c r="K1387" s="227"/>
      <c r="L1387" s="227"/>
    </row>
    <row r="1388" spans="11:12" x14ac:dyDescent="0.25">
      <c r="K1388" s="227"/>
      <c r="L1388" s="227"/>
    </row>
    <row r="1389" spans="11:12" x14ac:dyDescent="0.25">
      <c r="K1389" s="227"/>
      <c r="L1389" s="227"/>
    </row>
    <row r="1390" spans="11:12" x14ac:dyDescent="0.25">
      <c r="K1390" s="227"/>
      <c r="L1390" s="227"/>
    </row>
    <row r="1391" spans="11:12" x14ac:dyDescent="0.25">
      <c r="K1391" s="227"/>
      <c r="L1391" s="227"/>
    </row>
    <row r="1392" spans="11:12" x14ac:dyDescent="0.25">
      <c r="K1392" s="227"/>
      <c r="L1392" s="227"/>
    </row>
    <row r="1393" spans="11:12" x14ac:dyDescent="0.25">
      <c r="K1393" s="227"/>
      <c r="L1393" s="227"/>
    </row>
    <row r="1394" spans="11:12" x14ac:dyDescent="0.25">
      <c r="K1394" s="227"/>
      <c r="L1394" s="227"/>
    </row>
    <row r="1395" spans="11:12" x14ac:dyDescent="0.25">
      <c r="K1395" s="227"/>
      <c r="L1395" s="227"/>
    </row>
    <row r="1396" spans="11:12" x14ac:dyDescent="0.25">
      <c r="K1396" s="227"/>
      <c r="L1396" s="227"/>
    </row>
    <row r="1397" spans="11:12" x14ac:dyDescent="0.25">
      <c r="K1397" s="227"/>
      <c r="L1397" s="227"/>
    </row>
    <row r="1398" spans="11:12" x14ac:dyDescent="0.25">
      <c r="K1398" s="227"/>
      <c r="L1398" s="227"/>
    </row>
    <row r="1399" spans="11:12" x14ac:dyDescent="0.25">
      <c r="K1399" s="227"/>
      <c r="L1399" s="227"/>
    </row>
    <row r="1400" spans="11:12" x14ac:dyDescent="0.25">
      <c r="K1400" s="227"/>
      <c r="L1400" s="227"/>
    </row>
    <row r="1401" spans="11:12" x14ac:dyDescent="0.25">
      <c r="K1401" s="227"/>
      <c r="L1401" s="227"/>
    </row>
    <row r="1402" spans="11:12" x14ac:dyDescent="0.25">
      <c r="K1402" s="227"/>
      <c r="L1402" s="227"/>
    </row>
    <row r="1403" spans="11:12" x14ac:dyDescent="0.25">
      <c r="K1403" s="227"/>
      <c r="L1403" s="227"/>
    </row>
    <row r="1404" spans="11:12" x14ac:dyDescent="0.25">
      <c r="K1404" s="227"/>
      <c r="L1404" s="227"/>
    </row>
    <row r="1405" spans="11:12" x14ac:dyDescent="0.25">
      <c r="K1405" s="227"/>
      <c r="L1405" s="227"/>
    </row>
    <row r="1406" spans="11:12" x14ac:dyDescent="0.25">
      <c r="K1406" s="227"/>
      <c r="L1406" s="227"/>
    </row>
    <row r="1407" spans="11:12" x14ac:dyDescent="0.25">
      <c r="K1407" s="227"/>
      <c r="L1407" s="227"/>
    </row>
    <row r="1408" spans="11:12" x14ac:dyDescent="0.25">
      <c r="K1408" s="227"/>
      <c r="L1408" s="227"/>
    </row>
    <row r="1409" spans="11:12" x14ac:dyDescent="0.25">
      <c r="K1409" s="227"/>
      <c r="L1409" s="227"/>
    </row>
    <row r="1410" spans="11:12" x14ac:dyDescent="0.25">
      <c r="K1410" s="227"/>
      <c r="L1410" s="227"/>
    </row>
    <row r="1411" spans="11:12" x14ac:dyDescent="0.25">
      <c r="K1411" s="227"/>
      <c r="L1411" s="227"/>
    </row>
    <row r="1412" spans="11:12" x14ac:dyDescent="0.25">
      <c r="K1412" s="227"/>
      <c r="L1412" s="227"/>
    </row>
    <row r="1413" spans="11:12" x14ac:dyDescent="0.25">
      <c r="K1413" s="227"/>
      <c r="L1413" s="227"/>
    </row>
    <row r="1414" spans="11:12" x14ac:dyDescent="0.25">
      <c r="K1414" s="227"/>
      <c r="L1414" s="227"/>
    </row>
    <row r="1415" spans="11:12" x14ac:dyDescent="0.25">
      <c r="K1415" s="227"/>
      <c r="L1415" s="227"/>
    </row>
    <row r="1416" spans="11:12" x14ac:dyDescent="0.25">
      <c r="K1416" s="227"/>
      <c r="L1416" s="227"/>
    </row>
    <row r="1417" spans="11:12" x14ac:dyDescent="0.25">
      <c r="K1417" s="227"/>
      <c r="L1417" s="227"/>
    </row>
    <row r="1418" spans="11:12" x14ac:dyDescent="0.25">
      <c r="K1418" s="227"/>
      <c r="L1418" s="227"/>
    </row>
    <row r="1419" spans="11:12" x14ac:dyDescent="0.25">
      <c r="K1419" s="227"/>
      <c r="L1419" s="227"/>
    </row>
    <row r="1420" spans="11:12" x14ac:dyDescent="0.25">
      <c r="K1420" s="227"/>
      <c r="L1420" s="227"/>
    </row>
    <row r="1421" spans="11:12" x14ac:dyDescent="0.25">
      <c r="K1421" s="227"/>
      <c r="L1421" s="227"/>
    </row>
    <row r="1422" spans="11:12" x14ac:dyDescent="0.25">
      <c r="K1422" s="227"/>
      <c r="L1422" s="227"/>
    </row>
    <row r="1423" spans="11:12" x14ac:dyDescent="0.25">
      <c r="K1423" s="227"/>
      <c r="L1423" s="227"/>
    </row>
    <row r="1424" spans="11:12" x14ac:dyDescent="0.25">
      <c r="K1424" s="227"/>
      <c r="L1424" s="227"/>
    </row>
    <row r="1425" spans="11:12" x14ac:dyDescent="0.25">
      <c r="K1425" s="227"/>
      <c r="L1425" s="227"/>
    </row>
    <row r="1426" spans="11:12" x14ac:dyDescent="0.25">
      <c r="K1426" s="227"/>
      <c r="L1426" s="227"/>
    </row>
    <row r="1427" spans="11:12" x14ac:dyDescent="0.25">
      <c r="K1427" s="227"/>
      <c r="L1427" s="227"/>
    </row>
    <row r="1428" spans="11:12" x14ac:dyDescent="0.25">
      <c r="K1428" s="227"/>
      <c r="L1428" s="227"/>
    </row>
    <row r="1429" spans="11:12" x14ac:dyDescent="0.25">
      <c r="K1429" s="227"/>
      <c r="L1429" s="227"/>
    </row>
    <row r="1430" spans="11:12" x14ac:dyDescent="0.25">
      <c r="K1430" s="227"/>
      <c r="L1430" s="227"/>
    </row>
    <row r="1431" spans="11:12" x14ac:dyDescent="0.25">
      <c r="K1431" s="227"/>
      <c r="L1431" s="227"/>
    </row>
    <row r="1432" spans="11:12" x14ac:dyDescent="0.25">
      <c r="K1432" s="227"/>
      <c r="L1432" s="227"/>
    </row>
    <row r="1433" spans="11:12" x14ac:dyDescent="0.25">
      <c r="K1433" s="227"/>
      <c r="L1433" s="227"/>
    </row>
    <row r="1434" spans="11:12" x14ac:dyDescent="0.25">
      <c r="K1434" s="227"/>
      <c r="L1434" s="227"/>
    </row>
    <row r="1435" spans="11:12" x14ac:dyDescent="0.25">
      <c r="K1435" s="227"/>
      <c r="L1435" s="227"/>
    </row>
    <row r="1436" spans="11:12" x14ac:dyDescent="0.25">
      <c r="K1436" s="227"/>
      <c r="L1436" s="227"/>
    </row>
    <row r="1437" spans="11:12" x14ac:dyDescent="0.25">
      <c r="K1437" s="227"/>
      <c r="L1437" s="227"/>
    </row>
    <row r="1438" spans="11:12" x14ac:dyDescent="0.25">
      <c r="K1438" s="227"/>
      <c r="L1438" s="227"/>
    </row>
    <row r="1439" spans="11:12" x14ac:dyDescent="0.25">
      <c r="K1439" s="227"/>
      <c r="L1439" s="227"/>
    </row>
    <row r="1440" spans="11:12" x14ac:dyDescent="0.25">
      <c r="K1440" s="227"/>
      <c r="L1440" s="227"/>
    </row>
    <row r="1441" spans="11:12" x14ac:dyDescent="0.25">
      <c r="K1441" s="227"/>
      <c r="L1441" s="227"/>
    </row>
    <row r="1442" spans="11:12" x14ac:dyDescent="0.25">
      <c r="K1442" s="227"/>
      <c r="L1442" s="227"/>
    </row>
    <row r="1443" spans="11:12" x14ac:dyDescent="0.25">
      <c r="K1443" s="227"/>
      <c r="L1443" s="227"/>
    </row>
    <row r="1444" spans="11:12" x14ac:dyDescent="0.25">
      <c r="K1444" s="227"/>
      <c r="L1444" s="227"/>
    </row>
    <row r="1445" spans="11:12" x14ac:dyDescent="0.25">
      <c r="K1445" s="227"/>
      <c r="L1445" s="227"/>
    </row>
    <row r="1446" spans="11:12" x14ac:dyDescent="0.25">
      <c r="K1446" s="227"/>
      <c r="L1446" s="227"/>
    </row>
    <row r="1447" spans="11:12" x14ac:dyDescent="0.25">
      <c r="K1447" s="227"/>
      <c r="L1447" s="227"/>
    </row>
    <row r="1448" spans="11:12" x14ac:dyDescent="0.25">
      <c r="K1448" s="227"/>
      <c r="L1448" s="227"/>
    </row>
    <row r="1449" spans="11:12" x14ac:dyDescent="0.25">
      <c r="K1449" s="227"/>
      <c r="L1449" s="227"/>
    </row>
    <row r="1450" spans="11:12" x14ac:dyDescent="0.25">
      <c r="K1450" s="227"/>
      <c r="L1450" s="227"/>
    </row>
    <row r="1451" spans="11:12" x14ac:dyDescent="0.25">
      <c r="K1451" s="227"/>
      <c r="L1451" s="227"/>
    </row>
    <row r="1452" spans="11:12" x14ac:dyDescent="0.25">
      <c r="K1452" s="227"/>
      <c r="L1452" s="227"/>
    </row>
    <row r="1453" spans="11:12" x14ac:dyDescent="0.25">
      <c r="K1453" s="227"/>
      <c r="L1453" s="227"/>
    </row>
    <row r="1454" spans="11:12" x14ac:dyDescent="0.25">
      <c r="K1454" s="227"/>
      <c r="L1454" s="227"/>
    </row>
    <row r="1455" spans="11:12" x14ac:dyDescent="0.25">
      <c r="K1455" s="227"/>
      <c r="L1455" s="227"/>
    </row>
    <row r="1456" spans="11:12" x14ac:dyDescent="0.25">
      <c r="K1456" s="227"/>
      <c r="L1456" s="227"/>
    </row>
    <row r="1457" spans="11:12" x14ac:dyDescent="0.25">
      <c r="K1457" s="227"/>
      <c r="L1457" s="227"/>
    </row>
    <row r="1458" spans="11:12" x14ac:dyDescent="0.25">
      <c r="K1458" s="227"/>
      <c r="L1458" s="227"/>
    </row>
    <row r="1459" spans="11:12" x14ac:dyDescent="0.25">
      <c r="K1459" s="227"/>
      <c r="L1459" s="227"/>
    </row>
    <row r="1460" spans="11:12" x14ac:dyDescent="0.25">
      <c r="K1460" s="227"/>
      <c r="L1460" s="227"/>
    </row>
    <row r="1461" spans="11:12" x14ac:dyDescent="0.25">
      <c r="K1461" s="227"/>
      <c r="L1461" s="227"/>
    </row>
    <row r="1462" spans="11:12" x14ac:dyDescent="0.25">
      <c r="K1462" s="227"/>
      <c r="L1462" s="227"/>
    </row>
    <row r="1463" spans="11:12" x14ac:dyDescent="0.25">
      <c r="K1463" s="227"/>
      <c r="L1463" s="227"/>
    </row>
    <row r="1464" spans="11:12" x14ac:dyDescent="0.25">
      <c r="K1464" s="227"/>
      <c r="L1464" s="227"/>
    </row>
    <row r="1465" spans="11:12" x14ac:dyDescent="0.25">
      <c r="K1465" s="227"/>
      <c r="L1465" s="227"/>
    </row>
    <row r="1466" spans="11:12" x14ac:dyDescent="0.25">
      <c r="K1466" s="227"/>
      <c r="L1466" s="227"/>
    </row>
    <row r="1467" spans="11:12" x14ac:dyDescent="0.25">
      <c r="K1467" s="227"/>
      <c r="L1467" s="227"/>
    </row>
    <row r="1468" spans="11:12" x14ac:dyDescent="0.25">
      <c r="K1468" s="227"/>
      <c r="L1468" s="227"/>
    </row>
    <row r="1469" spans="11:12" x14ac:dyDescent="0.25">
      <c r="K1469" s="227"/>
      <c r="L1469" s="227"/>
    </row>
    <row r="1470" spans="11:12" x14ac:dyDescent="0.25">
      <c r="K1470" s="227"/>
      <c r="L1470" s="227"/>
    </row>
    <row r="1471" spans="11:12" x14ac:dyDescent="0.25">
      <c r="K1471" s="227"/>
      <c r="L1471" s="227"/>
    </row>
    <row r="1472" spans="11:12" x14ac:dyDescent="0.25">
      <c r="K1472" s="227"/>
      <c r="L1472" s="227"/>
    </row>
    <row r="1473" spans="11:12" x14ac:dyDescent="0.25">
      <c r="K1473" s="227"/>
      <c r="L1473" s="227"/>
    </row>
    <row r="1474" spans="11:12" x14ac:dyDescent="0.25">
      <c r="K1474" s="227"/>
      <c r="L1474" s="227"/>
    </row>
    <row r="1475" spans="11:12" x14ac:dyDescent="0.25">
      <c r="K1475" s="227"/>
      <c r="L1475" s="227"/>
    </row>
    <row r="1476" spans="11:12" x14ac:dyDescent="0.25">
      <c r="K1476" s="227"/>
      <c r="L1476" s="227"/>
    </row>
    <row r="1477" spans="11:12" x14ac:dyDescent="0.25">
      <c r="K1477" s="227"/>
      <c r="L1477" s="227"/>
    </row>
    <row r="1478" spans="11:12" x14ac:dyDescent="0.25">
      <c r="K1478" s="227"/>
      <c r="L1478" s="227"/>
    </row>
    <row r="1479" spans="11:12" x14ac:dyDescent="0.25">
      <c r="K1479" s="227"/>
      <c r="L1479" s="227"/>
    </row>
    <row r="1480" spans="11:12" x14ac:dyDescent="0.25">
      <c r="K1480" s="227"/>
      <c r="L1480" s="227"/>
    </row>
    <row r="1481" spans="11:12" x14ac:dyDescent="0.25">
      <c r="K1481" s="227"/>
      <c r="L1481" s="227"/>
    </row>
    <row r="1482" spans="11:12" x14ac:dyDescent="0.25">
      <c r="K1482" s="227"/>
      <c r="L1482" s="227"/>
    </row>
    <row r="1483" spans="11:12" x14ac:dyDescent="0.25">
      <c r="K1483" s="227"/>
      <c r="L1483" s="227"/>
    </row>
    <row r="1484" spans="11:12" x14ac:dyDescent="0.25">
      <c r="K1484" s="227"/>
      <c r="L1484" s="227"/>
    </row>
    <row r="1485" spans="11:12" x14ac:dyDescent="0.25">
      <c r="K1485" s="227"/>
      <c r="L1485" s="227"/>
    </row>
    <row r="1486" spans="11:12" x14ac:dyDescent="0.25">
      <c r="K1486" s="227"/>
      <c r="L1486" s="227"/>
    </row>
    <row r="1487" spans="11:12" x14ac:dyDescent="0.25">
      <c r="K1487" s="227"/>
      <c r="L1487" s="227"/>
    </row>
    <row r="1488" spans="11:12" x14ac:dyDescent="0.25">
      <c r="K1488" s="227"/>
      <c r="L1488" s="227"/>
    </row>
    <row r="1489" spans="11:12" x14ac:dyDescent="0.25">
      <c r="K1489" s="227"/>
      <c r="L1489" s="227"/>
    </row>
    <row r="1490" spans="11:12" x14ac:dyDescent="0.25">
      <c r="K1490" s="227"/>
      <c r="L1490" s="227"/>
    </row>
    <row r="1491" spans="11:12" x14ac:dyDescent="0.25">
      <c r="K1491" s="227"/>
      <c r="L1491" s="227"/>
    </row>
    <row r="1492" spans="11:12" x14ac:dyDescent="0.25">
      <c r="K1492" s="227"/>
      <c r="L1492" s="227"/>
    </row>
    <row r="1493" spans="11:12" x14ac:dyDescent="0.25">
      <c r="K1493" s="227"/>
      <c r="L1493" s="227"/>
    </row>
    <row r="1494" spans="11:12" x14ac:dyDescent="0.25">
      <c r="K1494" s="227"/>
      <c r="L1494" s="227"/>
    </row>
    <row r="1495" spans="11:12" x14ac:dyDescent="0.25">
      <c r="K1495" s="227"/>
      <c r="L1495" s="227"/>
    </row>
    <row r="1496" spans="11:12" x14ac:dyDescent="0.25">
      <c r="K1496" s="227"/>
      <c r="L1496" s="227"/>
    </row>
    <row r="1497" spans="11:12" x14ac:dyDescent="0.25">
      <c r="K1497" s="227"/>
      <c r="L1497" s="227"/>
    </row>
    <row r="1498" spans="11:12" x14ac:dyDescent="0.25">
      <c r="K1498" s="227"/>
      <c r="L1498" s="227"/>
    </row>
    <row r="1499" spans="11:12" x14ac:dyDescent="0.25">
      <c r="K1499" s="227"/>
      <c r="L1499" s="227"/>
    </row>
    <row r="1500" spans="11:12" x14ac:dyDescent="0.25">
      <c r="K1500" s="227"/>
      <c r="L1500" s="227"/>
    </row>
    <row r="1501" spans="11:12" x14ac:dyDescent="0.25">
      <c r="K1501" s="227"/>
      <c r="L1501" s="227"/>
    </row>
    <row r="1502" spans="11:12" x14ac:dyDescent="0.25">
      <c r="K1502" s="227"/>
      <c r="L1502" s="227"/>
    </row>
    <row r="1503" spans="11:12" x14ac:dyDescent="0.25">
      <c r="K1503" s="227"/>
      <c r="L1503" s="227"/>
    </row>
    <row r="1504" spans="11:12" x14ac:dyDescent="0.25">
      <c r="K1504" s="227"/>
      <c r="L1504" s="227"/>
    </row>
    <row r="1505" spans="11:12" x14ac:dyDescent="0.25">
      <c r="K1505" s="227"/>
      <c r="L1505" s="227"/>
    </row>
    <row r="1506" spans="11:12" x14ac:dyDescent="0.25">
      <c r="K1506" s="227"/>
      <c r="L1506" s="227"/>
    </row>
    <row r="1507" spans="11:12" x14ac:dyDescent="0.25">
      <c r="K1507" s="227"/>
      <c r="L1507" s="227"/>
    </row>
    <row r="1508" spans="11:12" x14ac:dyDescent="0.25">
      <c r="K1508" s="227"/>
      <c r="L1508" s="227"/>
    </row>
    <row r="1509" spans="11:12" x14ac:dyDescent="0.25">
      <c r="K1509" s="227"/>
      <c r="L1509" s="227"/>
    </row>
    <row r="1510" spans="11:12" x14ac:dyDescent="0.25">
      <c r="K1510" s="227"/>
      <c r="L1510" s="227"/>
    </row>
    <row r="1511" spans="11:12" x14ac:dyDescent="0.25">
      <c r="K1511" s="227"/>
      <c r="L1511" s="227"/>
    </row>
    <row r="1512" spans="11:12" x14ac:dyDescent="0.25">
      <c r="K1512" s="227"/>
      <c r="L1512" s="227"/>
    </row>
    <row r="1513" spans="11:12" x14ac:dyDescent="0.25">
      <c r="K1513" s="227"/>
      <c r="L1513" s="227"/>
    </row>
    <row r="1514" spans="11:12" x14ac:dyDescent="0.25">
      <c r="K1514" s="227"/>
      <c r="L1514" s="227"/>
    </row>
    <row r="1515" spans="11:12" x14ac:dyDescent="0.25">
      <c r="K1515" s="227"/>
      <c r="L1515" s="227"/>
    </row>
    <row r="1516" spans="11:12" x14ac:dyDescent="0.25">
      <c r="K1516" s="227"/>
      <c r="L1516" s="227"/>
    </row>
    <row r="1517" spans="11:12" x14ac:dyDescent="0.25">
      <c r="K1517" s="227"/>
      <c r="L1517" s="227"/>
    </row>
    <row r="1518" spans="11:12" x14ac:dyDescent="0.25">
      <c r="K1518" s="227"/>
      <c r="L1518" s="227"/>
    </row>
    <row r="1519" spans="11:12" x14ac:dyDescent="0.25">
      <c r="K1519" s="227"/>
      <c r="L1519" s="227"/>
    </row>
    <row r="1520" spans="11:12" x14ac:dyDescent="0.25">
      <c r="K1520" s="227"/>
      <c r="L1520" s="227"/>
    </row>
    <row r="1521" spans="11:12" x14ac:dyDescent="0.25">
      <c r="K1521" s="227"/>
      <c r="L1521" s="227"/>
    </row>
    <row r="1522" spans="11:12" x14ac:dyDescent="0.25">
      <c r="K1522" s="227"/>
      <c r="L1522" s="227"/>
    </row>
    <row r="1523" spans="11:12" x14ac:dyDescent="0.25">
      <c r="K1523" s="227"/>
      <c r="L1523" s="227"/>
    </row>
    <row r="1524" spans="11:12" x14ac:dyDescent="0.25">
      <c r="K1524" s="227"/>
      <c r="L1524" s="227"/>
    </row>
    <row r="1525" spans="11:12" x14ac:dyDescent="0.25">
      <c r="K1525" s="227"/>
      <c r="L1525" s="227"/>
    </row>
    <row r="1526" spans="11:12" x14ac:dyDescent="0.25">
      <c r="K1526" s="227"/>
      <c r="L1526" s="227"/>
    </row>
    <row r="1527" spans="11:12" x14ac:dyDescent="0.25">
      <c r="K1527" s="227"/>
      <c r="L1527" s="227"/>
    </row>
    <row r="1528" spans="11:12" x14ac:dyDescent="0.25">
      <c r="K1528" s="227"/>
      <c r="L1528" s="227"/>
    </row>
    <row r="1529" spans="11:12" x14ac:dyDescent="0.25">
      <c r="K1529" s="227"/>
      <c r="L1529" s="227"/>
    </row>
    <row r="1530" spans="11:12" x14ac:dyDescent="0.25">
      <c r="K1530" s="227"/>
      <c r="L1530" s="227"/>
    </row>
    <row r="1531" spans="11:12" x14ac:dyDescent="0.25">
      <c r="K1531" s="227"/>
      <c r="L1531" s="227"/>
    </row>
    <row r="1532" spans="11:12" x14ac:dyDescent="0.25">
      <c r="K1532" s="227"/>
      <c r="L1532" s="227"/>
    </row>
    <row r="1533" spans="11:12" x14ac:dyDescent="0.25">
      <c r="K1533" s="227"/>
      <c r="L1533" s="227"/>
    </row>
    <row r="1534" spans="11:12" x14ac:dyDescent="0.25">
      <c r="K1534" s="227"/>
      <c r="L1534" s="227"/>
    </row>
    <row r="1535" spans="11:12" x14ac:dyDescent="0.25">
      <c r="K1535" s="227"/>
      <c r="L1535" s="227"/>
    </row>
    <row r="1536" spans="11:12" x14ac:dyDescent="0.25">
      <c r="K1536" s="227"/>
      <c r="L1536" s="227"/>
    </row>
    <row r="1537" spans="11:12" x14ac:dyDescent="0.25">
      <c r="K1537" s="227"/>
      <c r="L1537" s="227"/>
    </row>
    <row r="1538" spans="11:12" x14ac:dyDescent="0.25">
      <c r="K1538" s="227"/>
      <c r="L1538" s="227"/>
    </row>
    <row r="1539" spans="11:12" x14ac:dyDescent="0.25">
      <c r="K1539" s="227"/>
      <c r="L1539" s="227"/>
    </row>
    <row r="1540" spans="11:12" x14ac:dyDescent="0.25">
      <c r="K1540" s="227"/>
      <c r="L1540" s="227"/>
    </row>
    <row r="1541" spans="11:12" x14ac:dyDescent="0.25">
      <c r="K1541" s="227"/>
      <c r="L1541" s="227"/>
    </row>
    <row r="1542" spans="11:12" x14ac:dyDescent="0.25">
      <c r="K1542" s="227"/>
      <c r="L1542" s="227"/>
    </row>
    <row r="1543" spans="11:12" x14ac:dyDescent="0.25">
      <c r="K1543" s="227"/>
      <c r="L1543" s="227"/>
    </row>
    <row r="1544" spans="11:12" x14ac:dyDescent="0.25">
      <c r="K1544" s="227"/>
      <c r="L1544" s="227"/>
    </row>
    <row r="1545" spans="11:12" x14ac:dyDescent="0.25">
      <c r="K1545" s="227"/>
      <c r="L1545" s="227"/>
    </row>
    <row r="1546" spans="11:12" x14ac:dyDescent="0.25">
      <c r="K1546" s="227"/>
      <c r="L1546" s="227"/>
    </row>
    <row r="1547" spans="11:12" x14ac:dyDescent="0.25">
      <c r="K1547" s="227"/>
      <c r="L1547" s="227"/>
    </row>
    <row r="1548" spans="11:12" x14ac:dyDescent="0.25">
      <c r="K1548" s="227"/>
      <c r="L1548" s="227"/>
    </row>
    <row r="1549" spans="11:12" x14ac:dyDescent="0.25">
      <c r="K1549" s="227"/>
      <c r="L1549" s="227"/>
    </row>
    <row r="1550" spans="11:12" x14ac:dyDescent="0.25">
      <c r="K1550" s="227"/>
      <c r="L1550" s="227"/>
    </row>
    <row r="1551" spans="11:12" x14ac:dyDescent="0.25">
      <c r="K1551" s="227"/>
      <c r="L1551" s="227"/>
    </row>
    <row r="1552" spans="11:12" x14ac:dyDescent="0.25">
      <c r="K1552" s="227"/>
      <c r="L1552" s="227"/>
    </row>
    <row r="1553" spans="11:12" x14ac:dyDescent="0.25">
      <c r="K1553" s="227"/>
      <c r="L1553" s="227"/>
    </row>
    <row r="1554" spans="11:12" x14ac:dyDescent="0.25">
      <c r="K1554" s="227"/>
      <c r="L1554" s="227"/>
    </row>
    <row r="1555" spans="11:12" x14ac:dyDescent="0.25">
      <c r="K1555" s="227"/>
      <c r="L1555" s="227"/>
    </row>
    <row r="1556" spans="11:12" x14ac:dyDescent="0.25">
      <c r="K1556" s="227"/>
      <c r="L1556" s="227"/>
    </row>
    <row r="1557" spans="11:12" x14ac:dyDescent="0.25">
      <c r="K1557" s="227"/>
      <c r="L1557" s="227"/>
    </row>
    <row r="1558" spans="11:12" x14ac:dyDescent="0.25">
      <c r="K1558" s="227"/>
      <c r="L1558" s="227"/>
    </row>
    <row r="1559" spans="11:12" x14ac:dyDescent="0.25">
      <c r="K1559" s="227"/>
      <c r="L1559" s="227"/>
    </row>
    <row r="1560" spans="11:12" x14ac:dyDescent="0.25">
      <c r="K1560" s="227"/>
      <c r="L1560" s="227"/>
    </row>
    <row r="1561" spans="11:12" x14ac:dyDescent="0.25">
      <c r="K1561" s="227"/>
      <c r="L1561" s="227"/>
    </row>
    <row r="1562" spans="11:12" x14ac:dyDescent="0.25">
      <c r="K1562" s="227"/>
      <c r="L1562" s="227"/>
    </row>
    <row r="1563" spans="11:12" x14ac:dyDescent="0.25">
      <c r="K1563" s="227"/>
      <c r="L1563" s="227"/>
    </row>
    <row r="1564" spans="11:12" x14ac:dyDescent="0.25">
      <c r="K1564" s="227"/>
      <c r="L1564" s="227"/>
    </row>
    <row r="1565" spans="11:12" x14ac:dyDescent="0.25">
      <c r="K1565" s="227"/>
      <c r="L1565" s="227"/>
    </row>
    <row r="1566" spans="11:12" x14ac:dyDescent="0.25">
      <c r="K1566" s="227"/>
      <c r="L1566" s="227"/>
    </row>
    <row r="1567" spans="11:12" x14ac:dyDescent="0.25">
      <c r="K1567" s="227"/>
      <c r="L1567" s="227"/>
    </row>
    <row r="1568" spans="11:12" x14ac:dyDescent="0.25">
      <c r="K1568" s="227"/>
      <c r="L1568" s="227"/>
    </row>
    <row r="1569" spans="11:12" x14ac:dyDescent="0.25">
      <c r="K1569" s="227"/>
      <c r="L1569" s="227"/>
    </row>
    <row r="1570" spans="11:12" x14ac:dyDescent="0.25">
      <c r="K1570" s="227"/>
      <c r="L1570" s="227"/>
    </row>
    <row r="1571" spans="11:12" x14ac:dyDescent="0.25">
      <c r="K1571" s="227"/>
      <c r="L1571" s="227"/>
    </row>
    <row r="1572" spans="11:12" x14ac:dyDescent="0.25">
      <c r="K1572" s="227"/>
      <c r="L1572" s="227"/>
    </row>
    <row r="1573" spans="11:12" x14ac:dyDescent="0.25">
      <c r="K1573" s="227"/>
      <c r="L1573" s="227"/>
    </row>
    <row r="1574" spans="11:12" x14ac:dyDescent="0.25">
      <c r="K1574" s="227"/>
      <c r="L1574" s="227"/>
    </row>
    <row r="1575" spans="11:12" x14ac:dyDescent="0.25">
      <c r="K1575" s="227"/>
      <c r="L1575" s="227"/>
    </row>
    <row r="1576" spans="11:12" x14ac:dyDescent="0.25">
      <c r="K1576" s="227"/>
      <c r="L1576" s="227"/>
    </row>
    <row r="1577" spans="11:12" x14ac:dyDescent="0.25">
      <c r="K1577" s="227"/>
      <c r="L1577" s="227"/>
    </row>
    <row r="1578" spans="11:12" x14ac:dyDescent="0.25">
      <c r="K1578" s="227"/>
      <c r="L1578" s="227"/>
    </row>
    <row r="1579" spans="11:12" x14ac:dyDescent="0.25">
      <c r="K1579" s="227"/>
      <c r="L1579" s="227"/>
    </row>
    <row r="1580" spans="11:12" x14ac:dyDescent="0.25">
      <c r="K1580" s="227"/>
      <c r="L1580" s="227"/>
    </row>
    <row r="1581" spans="11:12" x14ac:dyDescent="0.25">
      <c r="K1581" s="227"/>
      <c r="L1581" s="227"/>
    </row>
    <row r="1582" spans="11:12" x14ac:dyDescent="0.25">
      <c r="K1582" s="227"/>
      <c r="L1582" s="227"/>
    </row>
    <row r="1583" spans="11:12" x14ac:dyDescent="0.25">
      <c r="K1583" s="227"/>
      <c r="L1583" s="227"/>
    </row>
    <row r="1584" spans="11:12" x14ac:dyDescent="0.25">
      <c r="K1584" s="227"/>
      <c r="L1584" s="227"/>
    </row>
    <row r="1585" spans="11:12" x14ac:dyDescent="0.25">
      <c r="K1585" s="227"/>
      <c r="L1585" s="227"/>
    </row>
    <row r="1586" spans="11:12" x14ac:dyDescent="0.25">
      <c r="K1586" s="227"/>
      <c r="L1586" s="227"/>
    </row>
    <row r="1587" spans="11:12" x14ac:dyDescent="0.25">
      <c r="K1587" s="227"/>
      <c r="L1587" s="227"/>
    </row>
    <row r="1588" spans="11:12" x14ac:dyDescent="0.25">
      <c r="K1588" s="227"/>
      <c r="L1588" s="227"/>
    </row>
    <row r="1589" spans="11:12" x14ac:dyDescent="0.25">
      <c r="K1589" s="227"/>
      <c r="L1589" s="227"/>
    </row>
    <row r="1590" spans="11:12" x14ac:dyDescent="0.25">
      <c r="K1590" s="227"/>
      <c r="L1590" s="227"/>
    </row>
    <row r="1591" spans="11:12" x14ac:dyDescent="0.25">
      <c r="K1591" s="227"/>
      <c r="L1591" s="227"/>
    </row>
    <row r="1592" spans="11:12" x14ac:dyDescent="0.25">
      <c r="K1592" s="227"/>
      <c r="L1592" s="227"/>
    </row>
    <row r="1593" spans="11:12" x14ac:dyDescent="0.25">
      <c r="K1593" s="227"/>
      <c r="L1593" s="227"/>
    </row>
    <row r="1594" spans="11:12" x14ac:dyDescent="0.25">
      <c r="K1594" s="227"/>
      <c r="L1594" s="227"/>
    </row>
    <row r="1595" spans="11:12" x14ac:dyDescent="0.25">
      <c r="K1595" s="227"/>
      <c r="L1595" s="227"/>
    </row>
    <row r="1596" spans="11:12" x14ac:dyDescent="0.25">
      <c r="K1596" s="227"/>
      <c r="L1596" s="227"/>
    </row>
    <row r="1597" spans="11:12" x14ac:dyDescent="0.25">
      <c r="K1597" s="227"/>
      <c r="L1597" s="227"/>
    </row>
    <row r="1598" spans="11:12" x14ac:dyDescent="0.25">
      <c r="K1598" s="227"/>
      <c r="L1598" s="227"/>
    </row>
    <row r="1599" spans="11:12" x14ac:dyDescent="0.25">
      <c r="K1599" s="227"/>
      <c r="L1599" s="227"/>
    </row>
    <row r="1600" spans="11:12" x14ac:dyDescent="0.25">
      <c r="K1600" s="227"/>
      <c r="L1600" s="227"/>
    </row>
    <row r="1601" spans="11:12" x14ac:dyDescent="0.25">
      <c r="K1601" s="227"/>
      <c r="L1601" s="227"/>
    </row>
    <row r="1602" spans="11:12" x14ac:dyDescent="0.25">
      <c r="K1602" s="227"/>
      <c r="L1602" s="227"/>
    </row>
    <row r="1603" spans="11:12" x14ac:dyDescent="0.25">
      <c r="K1603" s="227"/>
      <c r="L1603" s="227"/>
    </row>
    <row r="1604" spans="11:12" x14ac:dyDescent="0.25">
      <c r="K1604" s="227"/>
      <c r="L1604" s="227"/>
    </row>
    <row r="1605" spans="11:12" x14ac:dyDescent="0.25">
      <c r="K1605" s="227"/>
      <c r="L1605" s="227"/>
    </row>
    <row r="1606" spans="11:12" x14ac:dyDescent="0.25">
      <c r="K1606" s="227"/>
      <c r="L1606" s="227"/>
    </row>
    <row r="1607" spans="11:12" x14ac:dyDescent="0.25">
      <c r="K1607" s="227"/>
      <c r="L1607" s="227"/>
    </row>
    <row r="1608" spans="11:12" x14ac:dyDescent="0.25">
      <c r="K1608" s="227"/>
      <c r="L1608" s="227"/>
    </row>
    <row r="1609" spans="11:12" x14ac:dyDescent="0.25">
      <c r="K1609" s="227"/>
      <c r="L1609" s="227"/>
    </row>
    <row r="1610" spans="11:12" x14ac:dyDescent="0.25">
      <c r="K1610" s="227"/>
      <c r="L1610" s="227"/>
    </row>
    <row r="1611" spans="11:12" x14ac:dyDescent="0.25">
      <c r="K1611" s="227"/>
      <c r="L1611" s="227"/>
    </row>
    <row r="1612" spans="11:12" x14ac:dyDescent="0.25">
      <c r="K1612" s="227"/>
      <c r="L1612" s="227"/>
    </row>
    <row r="1613" spans="11:12" x14ac:dyDescent="0.25">
      <c r="K1613" s="227"/>
      <c r="L1613" s="227"/>
    </row>
    <row r="1614" spans="11:12" x14ac:dyDescent="0.25">
      <c r="K1614" s="227"/>
      <c r="L1614" s="227"/>
    </row>
    <row r="1615" spans="11:12" x14ac:dyDescent="0.25">
      <c r="K1615" s="227"/>
      <c r="L1615" s="227"/>
    </row>
    <row r="1616" spans="11:12" x14ac:dyDescent="0.25">
      <c r="K1616" s="227"/>
      <c r="L1616" s="227"/>
    </row>
    <row r="1617" spans="11:12" x14ac:dyDescent="0.25">
      <c r="K1617" s="227"/>
      <c r="L1617" s="227"/>
    </row>
    <row r="1618" spans="11:12" x14ac:dyDescent="0.25">
      <c r="K1618" s="227"/>
      <c r="L1618" s="227"/>
    </row>
    <row r="1619" spans="11:12" x14ac:dyDescent="0.25">
      <c r="K1619" s="227"/>
      <c r="L1619" s="227"/>
    </row>
    <row r="1620" spans="11:12" x14ac:dyDescent="0.25">
      <c r="K1620" s="227"/>
      <c r="L1620" s="227"/>
    </row>
    <row r="1621" spans="11:12" x14ac:dyDescent="0.25">
      <c r="K1621" s="227"/>
      <c r="L1621" s="227"/>
    </row>
    <row r="1622" spans="11:12" x14ac:dyDescent="0.25">
      <c r="K1622" s="227"/>
      <c r="L1622" s="227"/>
    </row>
    <row r="1623" spans="11:12" x14ac:dyDescent="0.25">
      <c r="K1623" s="227"/>
      <c r="L1623" s="227"/>
    </row>
    <row r="1624" spans="11:12" x14ac:dyDescent="0.25">
      <c r="K1624" s="227"/>
      <c r="L1624" s="227"/>
    </row>
    <row r="1625" spans="11:12" x14ac:dyDescent="0.25">
      <c r="K1625" s="227"/>
      <c r="L1625" s="227"/>
    </row>
    <row r="1626" spans="11:12" x14ac:dyDescent="0.25">
      <c r="K1626" s="227"/>
      <c r="L1626" s="227"/>
    </row>
    <row r="1627" spans="11:12" x14ac:dyDescent="0.25">
      <c r="K1627" s="227"/>
      <c r="L1627" s="227"/>
    </row>
    <row r="1628" spans="11:12" x14ac:dyDescent="0.25">
      <c r="K1628" s="227"/>
      <c r="L1628" s="227"/>
    </row>
    <row r="1629" spans="11:12" x14ac:dyDescent="0.25">
      <c r="K1629" s="227"/>
      <c r="L1629" s="227"/>
    </row>
    <row r="1630" spans="11:12" x14ac:dyDescent="0.25">
      <c r="K1630" s="227"/>
      <c r="L1630" s="227"/>
    </row>
    <row r="1631" spans="11:12" x14ac:dyDescent="0.25">
      <c r="K1631" s="227"/>
      <c r="L1631" s="227"/>
    </row>
    <row r="1632" spans="11:12" x14ac:dyDescent="0.25">
      <c r="K1632" s="227"/>
      <c r="L1632" s="227"/>
    </row>
    <row r="1633" spans="11:12" x14ac:dyDescent="0.25">
      <c r="K1633" s="227"/>
      <c r="L1633" s="227"/>
    </row>
    <row r="1634" spans="11:12" x14ac:dyDescent="0.25">
      <c r="K1634" s="227"/>
      <c r="L1634" s="227"/>
    </row>
    <row r="1635" spans="11:12" x14ac:dyDescent="0.25">
      <c r="K1635" s="227"/>
      <c r="L1635" s="227"/>
    </row>
    <row r="1636" spans="11:12" x14ac:dyDescent="0.25">
      <c r="K1636" s="227"/>
      <c r="L1636" s="227"/>
    </row>
    <row r="1637" spans="11:12" x14ac:dyDescent="0.25">
      <c r="K1637" s="227"/>
      <c r="L1637" s="227"/>
    </row>
    <row r="1638" spans="11:12" x14ac:dyDescent="0.25">
      <c r="K1638" s="227"/>
      <c r="L1638" s="227"/>
    </row>
    <row r="1639" spans="11:12" x14ac:dyDescent="0.25">
      <c r="K1639" s="227"/>
      <c r="L1639" s="227"/>
    </row>
    <row r="1640" spans="11:12" x14ac:dyDescent="0.25">
      <c r="K1640" s="227"/>
      <c r="L1640" s="227"/>
    </row>
    <row r="1641" spans="11:12" x14ac:dyDescent="0.25">
      <c r="K1641" s="227"/>
      <c r="L1641" s="227"/>
    </row>
    <row r="1642" spans="11:12" x14ac:dyDescent="0.25">
      <c r="K1642" s="227"/>
      <c r="L1642" s="227"/>
    </row>
    <row r="1643" spans="11:12" x14ac:dyDescent="0.25">
      <c r="K1643" s="227"/>
      <c r="L1643" s="227"/>
    </row>
    <row r="1644" spans="11:12" x14ac:dyDescent="0.25">
      <c r="K1644" s="227"/>
      <c r="L1644" s="227"/>
    </row>
    <row r="1645" spans="11:12" x14ac:dyDescent="0.25">
      <c r="K1645" s="227"/>
      <c r="L1645" s="227"/>
    </row>
    <row r="1646" spans="11:12" x14ac:dyDescent="0.25">
      <c r="K1646" s="227"/>
      <c r="L1646" s="227"/>
    </row>
    <row r="1647" spans="11:12" x14ac:dyDescent="0.25">
      <c r="K1647" s="227"/>
      <c r="L1647" s="227"/>
    </row>
    <row r="1648" spans="11:12" x14ac:dyDescent="0.25">
      <c r="K1648" s="227"/>
      <c r="L1648" s="227"/>
    </row>
    <row r="1649" spans="11:12" x14ac:dyDescent="0.25">
      <c r="K1649" s="227"/>
      <c r="L1649" s="227"/>
    </row>
    <row r="1650" spans="11:12" x14ac:dyDescent="0.25">
      <c r="K1650" s="227"/>
      <c r="L1650" s="227"/>
    </row>
    <row r="1651" spans="11:12" x14ac:dyDescent="0.25">
      <c r="K1651" s="227"/>
      <c r="L1651" s="227"/>
    </row>
    <row r="1652" spans="11:12" x14ac:dyDescent="0.25">
      <c r="K1652" s="227"/>
      <c r="L1652" s="227"/>
    </row>
    <row r="1653" spans="11:12" x14ac:dyDescent="0.25">
      <c r="K1653" s="227"/>
      <c r="L1653" s="227"/>
    </row>
    <row r="1654" spans="11:12" x14ac:dyDescent="0.25">
      <c r="K1654" s="227"/>
      <c r="L1654" s="227"/>
    </row>
    <row r="1655" spans="11:12" x14ac:dyDescent="0.25">
      <c r="K1655" s="227"/>
      <c r="L1655" s="227"/>
    </row>
    <row r="1656" spans="11:12" x14ac:dyDescent="0.25">
      <c r="K1656" s="227"/>
      <c r="L1656" s="227"/>
    </row>
    <row r="1657" spans="11:12" x14ac:dyDescent="0.25">
      <c r="K1657" s="227"/>
      <c r="L1657" s="227"/>
    </row>
    <row r="1658" spans="11:12" x14ac:dyDescent="0.25">
      <c r="K1658" s="227"/>
      <c r="L1658" s="227"/>
    </row>
    <row r="1659" spans="11:12" x14ac:dyDescent="0.25">
      <c r="K1659" s="227"/>
      <c r="L1659" s="227"/>
    </row>
    <row r="1660" spans="11:12" x14ac:dyDescent="0.25">
      <c r="K1660" s="227"/>
      <c r="L1660" s="227"/>
    </row>
    <row r="1661" spans="11:12" x14ac:dyDescent="0.25">
      <c r="K1661" s="227"/>
      <c r="L1661" s="227"/>
    </row>
    <row r="1662" spans="11:12" x14ac:dyDescent="0.25">
      <c r="K1662" s="227"/>
      <c r="L1662" s="227"/>
    </row>
    <row r="1663" spans="11:12" x14ac:dyDescent="0.25">
      <c r="K1663" s="227"/>
      <c r="L1663" s="227"/>
    </row>
    <row r="1664" spans="11:12" x14ac:dyDescent="0.25">
      <c r="K1664" s="227"/>
      <c r="L1664" s="227"/>
    </row>
    <row r="1665" spans="11:12" x14ac:dyDescent="0.25">
      <c r="K1665" s="227"/>
      <c r="L1665" s="227"/>
    </row>
    <row r="1666" spans="11:12" x14ac:dyDescent="0.25">
      <c r="K1666" s="227"/>
      <c r="L1666" s="227"/>
    </row>
    <row r="1667" spans="11:12" x14ac:dyDescent="0.25">
      <c r="K1667" s="227"/>
      <c r="L1667" s="227"/>
    </row>
    <row r="1668" spans="11:12" x14ac:dyDescent="0.25">
      <c r="K1668" s="227"/>
      <c r="L1668" s="227"/>
    </row>
    <row r="1669" spans="11:12" x14ac:dyDescent="0.25">
      <c r="K1669" s="227"/>
      <c r="L1669" s="227"/>
    </row>
    <row r="1670" spans="11:12" x14ac:dyDescent="0.25">
      <c r="K1670" s="227"/>
      <c r="L1670" s="227"/>
    </row>
    <row r="1671" spans="11:12" x14ac:dyDescent="0.25">
      <c r="K1671" s="227"/>
      <c r="L1671" s="227"/>
    </row>
    <row r="1672" spans="11:12" x14ac:dyDescent="0.25">
      <c r="K1672" s="227"/>
      <c r="L1672" s="227"/>
    </row>
    <row r="1673" spans="11:12" x14ac:dyDescent="0.25">
      <c r="K1673" s="227"/>
      <c r="L1673" s="227"/>
    </row>
    <row r="1674" spans="11:12" x14ac:dyDescent="0.25">
      <c r="K1674" s="227"/>
      <c r="L1674" s="227"/>
    </row>
    <row r="1675" spans="11:12" x14ac:dyDescent="0.25">
      <c r="K1675" s="227"/>
      <c r="L1675" s="227"/>
    </row>
    <row r="1676" spans="11:12" x14ac:dyDescent="0.25">
      <c r="K1676" s="227"/>
      <c r="L1676" s="227"/>
    </row>
    <row r="1677" spans="11:12" x14ac:dyDescent="0.25">
      <c r="K1677" s="227"/>
      <c r="L1677" s="227"/>
    </row>
    <row r="1678" spans="11:12" x14ac:dyDescent="0.25">
      <c r="K1678" s="227"/>
      <c r="L1678" s="227"/>
    </row>
    <row r="1679" spans="11:12" x14ac:dyDescent="0.25">
      <c r="K1679" s="227"/>
      <c r="L1679" s="227"/>
    </row>
    <row r="1680" spans="11:12" x14ac:dyDescent="0.25">
      <c r="K1680" s="227"/>
      <c r="L1680" s="227"/>
    </row>
    <row r="1681" spans="11:12" x14ac:dyDescent="0.25">
      <c r="K1681" s="227"/>
      <c r="L1681" s="227"/>
    </row>
    <row r="1682" spans="11:12" x14ac:dyDescent="0.25">
      <c r="K1682" s="227"/>
      <c r="L1682" s="227"/>
    </row>
    <row r="1683" spans="11:12" x14ac:dyDescent="0.25">
      <c r="K1683" s="227"/>
      <c r="L1683" s="227"/>
    </row>
    <row r="1684" spans="11:12" x14ac:dyDescent="0.25">
      <c r="K1684" s="227"/>
      <c r="L1684" s="227"/>
    </row>
    <row r="1685" spans="11:12" x14ac:dyDescent="0.25">
      <c r="K1685" s="227"/>
      <c r="L1685" s="227"/>
    </row>
    <row r="1686" spans="11:12" x14ac:dyDescent="0.25">
      <c r="K1686" s="227"/>
      <c r="L1686" s="227"/>
    </row>
    <row r="1687" spans="11:12" x14ac:dyDescent="0.25">
      <c r="K1687" s="227"/>
      <c r="L1687" s="227"/>
    </row>
    <row r="1688" spans="11:12" x14ac:dyDescent="0.25">
      <c r="K1688" s="227"/>
      <c r="L1688" s="227"/>
    </row>
    <row r="1689" spans="11:12" x14ac:dyDescent="0.25">
      <c r="K1689" s="227"/>
      <c r="L1689" s="227"/>
    </row>
    <row r="1690" spans="11:12" x14ac:dyDescent="0.25">
      <c r="K1690" s="227"/>
      <c r="L1690" s="227"/>
    </row>
    <row r="1691" spans="11:12" x14ac:dyDescent="0.25">
      <c r="K1691" s="227"/>
      <c r="L1691" s="227"/>
    </row>
    <row r="1692" spans="11:12" x14ac:dyDescent="0.25">
      <c r="K1692" s="227"/>
      <c r="L1692" s="227"/>
    </row>
    <row r="1693" spans="11:12" x14ac:dyDescent="0.25">
      <c r="K1693" s="227"/>
      <c r="L1693" s="227"/>
    </row>
    <row r="1694" spans="11:12" x14ac:dyDescent="0.25">
      <c r="K1694" s="227"/>
      <c r="L1694" s="227"/>
    </row>
    <row r="1695" spans="11:12" x14ac:dyDescent="0.25">
      <c r="K1695" s="227"/>
      <c r="L1695" s="227"/>
    </row>
    <row r="1696" spans="11:12" x14ac:dyDescent="0.25">
      <c r="K1696" s="227"/>
      <c r="L1696" s="227"/>
    </row>
    <row r="1697" spans="11:12" x14ac:dyDescent="0.25">
      <c r="K1697" s="227"/>
      <c r="L1697" s="227"/>
    </row>
    <row r="1698" spans="11:12" x14ac:dyDescent="0.25">
      <c r="K1698" s="227"/>
      <c r="L1698" s="227"/>
    </row>
    <row r="1699" spans="11:12" x14ac:dyDescent="0.25">
      <c r="K1699" s="227"/>
      <c r="L1699" s="227"/>
    </row>
    <row r="1700" spans="11:12" x14ac:dyDescent="0.25">
      <c r="K1700" s="227"/>
      <c r="L1700" s="227"/>
    </row>
    <row r="1701" spans="11:12" x14ac:dyDescent="0.25">
      <c r="K1701" s="227"/>
      <c r="L1701" s="227"/>
    </row>
    <row r="1702" spans="11:12" x14ac:dyDescent="0.25">
      <c r="K1702" s="227"/>
      <c r="L1702" s="227"/>
    </row>
    <row r="1703" spans="11:12" x14ac:dyDescent="0.25">
      <c r="K1703" s="227"/>
      <c r="L1703" s="227"/>
    </row>
    <row r="1704" spans="11:12" x14ac:dyDescent="0.25">
      <c r="K1704" s="227"/>
      <c r="L1704" s="227"/>
    </row>
    <row r="1705" spans="11:12" x14ac:dyDescent="0.25">
      <c r="K1705" s="227"/>
      <c r="L1705" s="227"/>
    </row>
    <row r="1706" spans="11:12" x14ac:dyDescent="0.25">
      <c r="K1706" s="227"/>
      <c r="L1706" s="227"/>
    </row>
    <row r="1707" spans="11:12" x14ac:dyDescent="0.25">
      <c r="K1707" s="227"/>
      <c r="L1707" s="227"/>
    </row>
    <row r="1708" spans="11:12" x14ac:dyDescent="0.25">
      <c r="K1708" s="227"/>
      <c r="L1708" s="227"/>
    </row>
    <row r="1709" spans="11:12" x14ac:dyDescent="0.25">
      <c r="K1709" s="227"/>
      <c r="L1709" s="227"/>
    </row>
    <row r="1710" spans="11:12" x14ac:dyDescent="0.25">
      <c r="K1710" s="227"/>
      <c r="L1710" s="227"/>
    </row>
    <row r="1711" spans="11:12" x14ac:dyDescent="0.25">
      <c r="K1711" s="227"/>
      <c r="L1711" s="227"/>
    </row>
    <row r="1712" spans="11:12" x14ac:dyDescent="0.25">
      <c r="K1712" s="227"/>
      <c r="L1712" s="227"/>
    </row>
    <row r="1713" spans="11:12" x14ac:dyDescent="0.25">
      <c r="K1713" s="227"/>
      <c r="L1713" s="227"/>
    </row>
    <row r="1714" spans="11:12" x14ac:dyDescent="0.25">
      <c r="K1714" s="227"/>
      <c r="L1714" s="227"/>
    </row>
    <row r="1715" spans="11:12" x14ac:dyDescent="0.25">
      <c r="K1715" s="227"/>
      <c r="L1715" s="227"/>
    </row>
    <row r="1716" spans="11:12" x14ac:dyDescent="0.25">
      <c r="K1716" s="227"/>
      <c r="L1716" s="227"/>
    </row>
    <row r="1717" spans="11:12" x14ac:dyDescent="0.25">
      <c r="K1717" s="227"/>
      <c r="L1717" s="227"/>
    </row>
    <row r="1718" spans="11:12" x14ac:dyDescent="0.25">
      <c r="K1718" s="227"/>
      <c r="L1718" s="227"/>
    </row>
    <row r="1719" spans="11:12" x14ac:dyDescent="0.25">
      <c r="K1719" s="227"/>
      <c r="L1719" s="227"/>
    </row>
    <row r="1720" spans="11:12" x14ac:dyDescent="0.25">
      <c r="K1720" s="227"/>
      <c r="L1720" s="227"/>
    </row>
    <row r="1721" spans="11:12" x14ac:dyDescent="0.25">
      <c r="K1721" s="227"/>
      <c r="L1721" s="227"/>
    </row>
    <row r="1722" spans="11:12" x14ac:dyDescent="0.25">
      <c r="K1722" s="227"/>
      <c r="L1722" s="227"/>
    </row>
    <row r="1723" spans="11:12" x14ac:dyDescent="0.25">
      <c r="K1723" s="227"/>
      <c r="L1723" s="227"/>
    </row>
    <row r="1724" spans="11:12" x14ac:dyDescent="0.25">
      <c r="K1724" s="227"/>
      <c r="L1724" s="227"/>
    </row>
    <row r="1725" spans="11:12" x14ac:dyDescent="0.25">
      <c r="K1725" s="227"/>
      <c r="L1725" s="227"/>
    </row>
    <row r="1726" spans="11:12" x14ac:dyDescent="0.25">
      <c r="K1726" s="227"/>
      <c r="L1726" s="227"/>
    </row>
    <row r="1727" spans="11:12" x14ac:dyDescent="0.25">
      <c r="K1727" s="227"/>
      <c r="L1727" s="227"/>
    </row>
    <row r="1728" spans="11:12" x14ac:dyDescent="0.25">
      <c r="K1728" s="227"/>
      <c r="L1728" s="227"/>
    </row>
    <row r="1729" spans="11:12" x14ac:dyDescent="0.25">
      <c r="K1729" s="227"/>
      <c r="L1729" s="227"/>
    </row>
    <row r="1730" spans="11:12" x14ac:dyDescent="0.25">
      <c r="K1730" s="227"/>
      <c r="L1730" s="227"/>
    </row>
    <row r="1731" spans="11:12" x14ac:dyDescent="0.25">
      <c r="K1731" s="227"/>
      <c r="L1731" s="227"/>
    </row>
    <row r="1732" spans="11:12" x14ac:dyDescent="0.25">
      <c r="K1732" s="227"/>
      <c r="L1732" s="227"/>
    </row>
    <row r="1733" spans="11:12" x14ac:dyDescent="0.25">
      <c r="K1733" s="227"/>
      <c r="L1733" s="227"/>
    </row>
    <row r="1734" spans="11:12" x14ac:dyDescent="0.25">
      <c r="K1734" s="227"/>
      <c r="L1734" s="227"/>
    </row>
    <row r="1735" spans="11:12" x14ac:dyDescent="0.25">
      <c r="K1735" s="227"/>
      <c r="L1735" s="227"/>
    </row>
    <row r="1736" spans="11:12" x14ac:dyDescent="0.25">
      <c r="K1736" s="227"/>
      <c r="L1736" s="227"/>
    </row>
    <row r="1737" spans="11:12" x14ac:dyDescent="0.25">
      <c r="K1737" s="227"/>
      <c r="L1737" s="227"/>
    </row>
    <row r="1738" spans="11:12" x14ac:dyDescent="0.25">
      <c r="K1738" s="227"/>
      <c r="L1738" s="227"/>
    </row>
    <row r="1739" spans="11:12" x14ac:dyDescent="0.25">
      <c r="K1739" s="227"/>
      <c r="L1739" s="227"/>
    </row>
    <row r="1740" spans="11:12" x14ac:dyDescent="0.25">
      <c r="K1740" s="227"/>
      <c r="L1740" s="227"/>
    </row>
    <row r="1741" spans="11:12" x14ac:dyDescent="0.25">
      <c r="K1741" s="227"/>
      <c r="L1741" s="227"/>
    </row>
    <row r="1742" spans="11:12" x14ac:dyDescent="0.25">
      <c r="K1742" s="227"/>
      <c r="L1742" s="227"/>
    </row>
    <row r="1743" spans="11:12" x14ac:dyDescent="0.25">
      <c r="K1743" s="227"/>
      <c r="L1743" s="227"/>
    </row>
    <row r="1744" spans="11:12" x14ac:dyDescent="0.25">
      <c r="K1744" s="227"/>
      <c r="L1744" s="227"/>
    </row>
    <row r="1745" spans="11:12" x14ac:dyDescent="0.25">
      <c r="K1745" s="227"/>
      <c r="L1745" s="227"/>
    </row>
    <row r="1746" spans="11:12" x14ac:dyDescent="0.25">
      <c r="K1746" s="227"/>
      <c r="L1746" s="227"/>
    </row>
    <row r="1747" spans="11:12" x14ac:dyDescent="0.25">
      <c r="K1747" s="227"/>
      <c r="L1747" s="227"/>
    </row>
    <row r="1748" spans="11:12" x14ac:dyDescent="0.25">
      <c r="K1748" s="227"/>
      <c r="L1748" s="227"/>
    </row>
    <row r="1749" spans="11:12" x14ac:dyDescent="0.25">
      <c r="K1749" s="227"/>
      <c r="L1749" s="227"/>
    </row>
    <row r="1750" spans="11:12" x14ac:dyDescent="0.25">
      <c r="K1750" s="227"/>
      <c r="L1750" s="227"/>
    </row>
    <row r="1751" spans="11:12" x14ac:dyDescent="0.25">
      <c r="K1751" s="227"/>
      <c r="L1751" s="227"/>
    </row>
    <row r="1752" spans="11:12" x14ac:dyDescent="0.25">
      <c r="K1752" s="227"/>
      <c r="L1752" s="227"/>
    </row>
    <row r="1753" spans="11:12" x14ac:dyDescent="0.25">
      <c r="K1753" s="227"/>
      <c r="L1753" s="227"/>
    </row>
    <row r="1754" spans="11:12" x14ac:dyDescent="0.25">
      <c r="K1754" s="227"/>
      <c r="L1754" s="227"/>
    </row>
    <row r="1755" spans="11:12" x14ac:dyDescent="0.25">
      <c r="K1755" s="227"/>
      <c r="L1755" s="227"/>
    </row>
    <row r="1756" spans="11:12" x14ac:dyDescent="0.25">
      <c r="K1756" s="227"/>
      <c r="L1756" s="227"/>
    </row>
    <row r="1757" spans="11:12" x14ac:dyDescent="0.25">
      <c r="K1757" s="227"/>
      <c r="L1757" s="227"/>
    </row>
    <row r="1758" spans="11:12" x14ac:dyDescent="0.25">
      <c r="K1758" s="227"/>
      <c r="L1758" s="227"/>
    </row>
    <row r="1759" spans="11:12" x14ac:dyDescent="0.25">
      <c r="K1759" s="227"/>
      <c r="L1759" s="227"/>
    </row>
    <row r="1760" spans="11:12" x14ac:dyDescent="0.25">
      <c r="K1760" s="227"/>
      <c r="L1760" s="227"/>
    </row>
    <row r="1761" spans="11:12" x14ac:dyDescent="0.25">
      <c r="K1761" s="227"/>
      <c r="L1761" s="227"/>
    </row>
    <row r="1762" spans="11:12" x14ac:dyDescent="0.25">
      <c r="K1762" s="227"/>
      <c r="L1762" s="227"/>
    </row>
    <row r="1763" spans="11:12" x14ac:dyDescent="0.25">
      <c r="K1763" s="227"/>
      <c r="L1763" s="227"/>
    </row>
    <row r="1764" spans="11:12" x14ac:dyDescent="0.25">
      <c r="K1764" s="227"/>
      <c r="L1764" s="227"/>
    </row>
    <row r="1765" spans="11:12" x14ac:dyDescent="0.25">
      <c r="K1765" s="227"/>
      <c r="L1765" s="227"/>
    </row>
    <row r="1766" spans="11:12" x14ac:dyDescent="0.25">
      <c r="K1766" s="227"/>
      <c r="L1766" s="227"/>
    </row>
    <row r="1767" spans="11:12" x14ac:dyDescent="0.25">
      <c r="K1767" s="227"/>
      <c r="L1767" s="227"/>
    </row>
    <row r="1768" spans="11:12" x14ac:dyDescent="0.25">
      <c r="K1768" s="227"/>
      <c r="L1768" s="227"/>
    </row>
    <row r="1769" spans="11:12" x14ac:dyDescent="0.25">
      <c r="K1769" s="227"/>
      <c r="L1769" s="227"/>
    </row>
    <row r="1770" spans="11:12" x14ac:dyDescent="0.25">
      <c r="K1770" s="227"/>
      <c r="L1770" s="227"/>
    </row>
    <row r="1771" spans="11:12" x14ac:dyDescent="0.25">
      <c r="K1771" s="227"/>
      <c r="L1771" s="227"/>
    </row>
    <row r="1772" spans="11:12" x14ac:dyDescent="0.25">
      <c r="K1772" s="227"/>
      <c r="L1772" s="227"/>
    </row>
    <row r="1773" spans="11:12" x14ac:dyDescent="0.25">
      <c r="K1773" s="227"/>
      <c r="L1773" s="227"/>
    </row>
    <row r="1774" spans="11:12" x14ac:dyDescent="0.25">
      <c r="K1774" s="227"/>
      <c r="L1774" s="227"/>
    </row>
    <row r="1775" spans="11:12" x14ac:dyDescent="0.25">
      <c r="K1775" s="227"/>
      <c r="L1775" s="227"/>
    </row>
    <row r="1776" spans="11:12" x14ac:dyDescent="0.25">
      <c r="K1776" s="227"/>
      <c r="L1776" s="227"/>
    </row>
    <row r="1777" spans="11:12" x14ac:dyDescent="0.25">
      <c r="K1777" s="227"/>
      <c r="L1777" s="227"/>
    </row>
    <row r="1778" spans="11:12" x14ac:dyDescent="0.25">
      <c r="K1778" s="227"/>
      <c r="L1778" s="227"/>
    </row>
    <row r="1779" spans="11:12" x14ac:dyDescent="0.25">
      <c r="K1779" s="227"/>
      <c r="L1779" s="227"/>
    </row>
    <row r="1780" spans="11:12" x14ac:dyDescent="0.25">
      <c r="K1780" s="227"/>
      <c r="L1780" s="227"/>
    </row>
    <row r="1781" spans="11:12" x14ac:dyDescent="0.25">
      <c r="K1781" s="227"/>
      <c r="L1781" s="227"/>
    </row>
    <row r="1782" spans="11:12" x14ac:dyDescent="0.25">
      <c r="K1782" s="227"/>
      <c r="L1782" s="227"/>
    </row>
    <row r="1783" spans="11:12" x14ac:dyDescent="0.25">
      <c r="K1783" s="227"/>
      <c r="L1783" s="227"/>
    </row>
    <row r="1784" spans="11:12" x14ac:dyDescent="0.25">
      <c r="K1784" s="227"/>
      <c r="L1784" s="227"/>
    </row>
    <row r="1785" spans="11:12" x14ac:dyDescent="0.25">
      <c r="K1785" s="227"/>
      <c r="L1785" s="227"/>
    </row>
    <row r="1786" spans="11:12" x14ac:dyDescent="0.25">
      <c r="K1786" s="227"/>
      <c r="L1786" s="227"/>
    </row>
    <row r="1787" spans="11:12" x14ac:dyDescent="0.25">
      <c r="K1787" s="227"/>
      <c r="L1787" s="227"/>
    </row>
    <row r="1788" spans="11:12" x14ac:dyDescent="0.25">
      <c r="K1788" s="227"/>
      <c r="L1788" s="227"/>
    </row>
    <row r="1789" spans="11:12" x14ac:dyDescent="0.25">
      <c r="K1789" s="227"/>
      <c r="L1789" s="227"/>
    </row>
    <row r="1790" spans="11:12" x14ac:dyDescent="0.25">
      <c r="K1790" s="227"/>
      <c r="L1790" s="227"/>
    </row>
    <row r="1791" spans="11:12" x14ac:dyDescent="0.25">
      <c r="K1791" s="227"/>
      <c r="L1791" s="227"/>
    </row>
    <row r="1792" spans="11:12" x14ac:dyDescent="0.25">
      <c r="K1792" s="227"/>
      <c r="L1792" s="227"/>
    </row>
    <row r="1793" spans="11:12" x14ac:dyDescent="0.25">
      <c r="K1793" s="227"/>
      <c r="L1793" s="227"/>
    </row>
    <row r="1794" spans="11:12" x14ac:dyDescent="0.25">
      <c r="K1794" s="227"/>
      <c r="L1794" s="227"/>
    </row>
    <row r="1795" spans="11:12" x14ac:dyDescent="0.25">
      <c r="K1795" s="227"/>
      <c r="L1795" s="227"/>
    </row>
    <row r="1796" spans="11:12" x14ac:dyDescent="0.25">
      <c r="K1796" s="227"/>
      <c r="L1796" s="227"/>
    </row>
    <row r="1797" spans="11:12" x14ac:dyDescent="0.25">
      <c r="K1797" s="227"/>
      <c r="L1797" s="227"/>
    </row>
    <row r="1798" spans="11:12" x14ac:dyDescent="0.25">
      <c r="K1798" s="227"/>
      <c r="L1798" s="227"/>
    </row>
    <row r="1799" spans="11:12" x14ac:dyDescent="0.25">
      <c r="K1799" s="227"/>
      <c r="L1799" s="227"/>
    </row>
    <row r="1800" spans="11:12" x14ac:dyDescent="0.25">
      <c r="K1800" s="227"/>
      <c r="L1800" s="227"/>
    </row>
    <row r="1801" spans="11:12" x14ac:dyDescent="0.25">
      <c r="K1801" s="227"/>
      <c r="L1801" s="227"/>
    </row>
    <row r="1802" spans="11:12" x14ac:dyDescent="0.25">
      <c r="K1802" s="227"/>
      <c r="L1802" s="227"/>
    </row>
    <row r="1803" spans="11:12" x14ac:dyDescent="0.25">
      <c r="K1803" s="227"/>
      <c r="L1803" s="227"/>
    </row>
    <row r="1804" spans="11:12" x14ac:dyDescent="0.25">
      <c r="K1804" s="227"/>
      <c r="L1804" s="227"/>
    </row>
    <row r="1805" spans="11:12" x14ac:dyDescent="0.25">
      <c r="K1805" s="227"/>
      <c r="L1805" s="227"/>
    </row>
    <row r="1806" spans="11:12" x14ac:dyDescent="0.25">
      <c r="K1806" s="227"/>
      <c r="L1806" s="227"/>
    </row>
    <row r="1807" spans="11:12" x14ac:dyDescent="0.25">
      <c r="K1807" s="227"/>
      <c r="L1807" s="227"/>
    </row>
    <row r="1808" spans="11:12" x14ac:dyDescent="0.25">
      <c r="K1808" s="227"/>
      <c r="L1808" s="227"/>
    </row>
    <row r="1809" spans="11:12" x14ac:dyDescent="0.25">
      <c r="K1809" s="227"/>
      <c r="L1809" s="227"/>
    </row>
    <row r="1810" spans="11:12" x14ac:dyDescent="0.25">
      <c r="K1810" s="227"/>
      <c r="L1810" s="227"/>
    </row>
    <row r="1811" spans="11:12" x14ac:dyDescent="0.25">
      <c r="K1811" s="227"/>
      <c r="L1811" s="227"/>
    </row>
    <row r="1812" spans="11:12" x14ac:dyDescent="0.25">
      <c r="K1812" s="227"/>
      <c r="L1812" s="227"/>
    </row>
    <row r="1813" spans="11:12" x14ac:dyDescent="0.25">
      <c r="K1813" s="227"/>
      <c r="L1813" s="227"/>
    </row>
    <row r="1814" spans="11:12" x14ac:dyDescent="0.25">
      <c r="K1814" s="227"/>
      <c r="L1814" s="227"/>
    </row>
    <row r="1815" spans="11:12" x14ac:dyDescent="0.25">
      <c r="K1815" s="227"/>
      <c r="L1815" s="227"/>
    </row>
    <row r="1816" spans="11:12" x14ac:dyDescent="0.25">
      <c r="K1816" s="227"/>
      <c r="L1816" s="227"/>
    </row>
    <row r="1817" spans="11:12" x14ac:dyDescent="0.25">
      <c r="K1817" s="227"/>
      <c r="L1817" s="227"/>
    </row>
    <row r="1818" spans="11:12" x14ac:dyDescent="0.25">
      <c r="K1818" s="227"/>
      <c r="L1818" s="227"/>
    </row>
    <row r="1819" spans="11:12" x14ac:dyDescent="0.25">
      <c r="K1819" s="227"/>
      <c r="L1819" s="227"/>
    </row>
    <row r="1820" spans="11:12" x14ac:dyDescent="0.25">
      <c r="K1820" s="227"/>
      <c r="L1820" s="227"/>
    </row>
    <row r="1821" spans="11:12" x14ac:dyDescent="0.25">
      <c r="K1821" s="227"/>
      <c r="L1821" s="227"/>
    </row>
    <row r="1822" spans="11:12" x14ac:dyDescent="0.25">
      <c r="K1822" s="227"/>
      <c r="L1822" s="227"/>
    </row>
    <row r="1823" spans="11:12" x14ac:dyDescent="0.25">
      <c r="K1823" s="227"/>
      <c r="L1823" s="227"/>
    </row>
    <row r="1824" spans="11:12" x14ac:dyDescent="0.25">
      <c r="K1824" s="227"/>
      <c r="L1824" s="227"/>
    </row>
    <row r="1825" spans="11:12" x14ac:dyDescent="0.25">
      <c r="K1825" s="227"/>
      <c r="L1825" s="227"/>
    </row>
    <row r="1826" spans="11:12" x14ac:dyDescent="0.25">
      <c r="K1826" s="227"/>
      <c r="L1826" s="227"/>
    </row>
    <row r="1827" spans="11:12" x14ac:dyDescent="0.25">
      <c r="K1827" s="227"/>
      <c r="L1827" s="227"/>
    </row>
    <row r="1828" spans="11:12" x14ac:dyDescent="0.25">
      <c r="K1828" s="227"/>
      <c r="L1828" s="227"/>
    </row>
    <row r="1829" spans="11:12" x14ac:dyDescent="0.25">
      <c r="K1829" s="227"/>
      <c r="L1829" s="227"/>
    </row>
    <row r="1830" spans="11:12" x14ac:dyDescent="0.25">
      <c r="K1830" s="227"/>
      <c r="L1830" s="227"/>
    </row>
    <row r="1831" spans="11:12" x14ac:dyDescent="0.25">
      <c r="K1831" s="227"/>
      <c r="L1831" s="227"/>
    </row>
    <row r="1832" spans="11:12" x14ac:dyDescent="0.25">
      <c r="K1832" s="227"/>
      <c r="L1832" s="227"/>
    </row>
    <row r="1833" spans="11:12" x14ac:dyDescent="0.25">
      <c r="K1833" s="227"/>
      <c r="L1833" s="227"/>
    </row>
    <row r="1834" spans="11:12" x14ac:dyDescent="0.25">
      <c r="K1834" s="227"/>
      <c r="L1834" s="227"/>
    </row>
    <row r="1835" spans="11:12" x14ac:dyDescent="0.25">
      <c r="K1835" s="227"/>
      <c r="L1835" s="227"/>
    </row>
    <row r="1836" spans="11:12" x14ac:dyDescent="0.25">
      <c r="K1836" s="227"/>
      <c r="L1836" s="227"/>
    </row>
    <row r="1837" spans="11:12" x14ac:dyDescent="0.25">
      <c r="K1837" s="227"/>
      <c r="L1837" s="227"/>
    </row>
    <row r="1838" spans="11:12" x14ac:dyDescent="0.25">
      <c r="K1838" s="227"/>
      <c r="L1838" s="227"/>
    </row>
    <row r="1839" spans="11:12" x14ac:dyDescent="0.25">
      <c r="K1839" s="227"/>
      <c r="L1839" s="227"/>
    </row>
    <row r="1840" spans="11:12" x14ac:dyDescent="0.25">
      <c r="K1840" s="227"/>
      <c r="L1840" s="227"/>
    </row>
    <row r="1841" spans="11:12" x14ac:dyDescent="0.25">
      <c r="K1841" s="227"/>
      <c r="L1841" s="227"/>
    </row>
    <row r="1842" spans="11:12" x14ac:dyDescent="0.25">
      <c r="K1842" s="227"/>
      <c r="L1842" s="227"/>
    </row>
    <row r="1843" spans="11:12" x14ac:dyDescent="0.25">
      <c r="K1843" s="227"/>
      <c r="L1843" s="227"/>
    </row>
    <row r="1844" spans="11:12" x14ac:dyDescent="0.25">
      <c r="K1844" s="227"/>
      <c r="L1844" s="227"/>
    </row>
    <row r="1845" spans="11:12" x14ac:dyDescent="0.25">
      <c r="K1845" s="227"/>
      <c r="L1845" s="227"/>
    </row>
    <row r="1846" spans="11:12" x14ac:dyDescent="0.25">
      <c r="K1846" s="227"/>
      <c r="L1846" s="227"/>
    </row>
    <row r="1847" spans="11:12" x14ac:dyDescent="0.25">
      <c r="K1847" s="227"/>
      <c r="L1847" s="227"/>
    </row>
    <row r="1848" spans="11:12" x14ac:dyDescent="0.25">
      <c r="K1848" s="227"/>
      <c r="L1848" s="227"/>
    </row>
    <row r="1849" spans="11:12" x14ac:dyDescent="0.25">
      <c r="K1849" s="227"/>
      <c r="L1849" s="227"/>
    </row>
    <row r="1850" spans="11:12" x14ac:dyDescent="0.25">
      <c r="K1850" s="227"/>
      <c r="L1850" s="227"/>
    </row>
    <row r="1851" spans="11:12" x14ac:dyDescent="0.25">
      <c r="K1851" s="227"/>
      <c r="L1851" s="227"/>
    </row>
    <row r="1852" spans="11:12" x14ac:dyDescent="0.25">
      <c r="K1852" s="227"/>
      <c r="L1852" s="227"/>
    </row>
    <row r="1853" spans="11:12" x14ac:dyDescent="0.25">
      <c r="K1853" s="227"/>
      <c r="L1853" s="227"/>
    </row>
    <row r="1854" spans="11:12" x14ac:dyDescent="0.25">
      <c r="K1854" s="227"/>
      <c r="L1854" s="227"/>
    </row>
    <row r="1855" spans="11:12" x14ac:dyDescent="0.25">
      <c r="K1855" s="227"/>
      <c r="L1855" s="227"/>
    </row>
    <row r="1856" spans="11:12" x14ac:dyDescent="0.25">
      <c r="K1856" s="227"/>
      <c r="L1856" s="227"/>
    </row>
    <row r="1857" spans="11:12" x14ac:dyDescent="0.25">
      <c r="K1857" s="227"/>
      <c r="L1857" s="227"/>
    </row>
    <row r="1858" spans="11:12" x14ac:dyDescent="0.25">
      <c r="K1858" s="227"/>
      <c r="L1858" s="227"/>
    </row>
    <row r="1859" spans="11:12" x14ac:dyDescent="0.25">
      <c r="K1859" s="227"/>
      <c r="L1859" s="227"/>
    </row>
    <row r="1860" spans="11:12" x14ac:dyDescent="0.25">
      <c r="K1860" s="227"/>
      <c r="L1860" s="227"/>
    </row>
    <row r="1861" spans="11:12" x14ac:dyDescent="0.25">
      <c r="K1861" s="227"/>
      <c r="L1861" s="227"/>
    </row>
    <row r="1862" spans="11:12" x14ac:dyDescent="0.25">
      <c r="K1862" s="227"/>
      <c r="L1862" s="227"/>
    </row>
    <row r="1863" spans="11:12" x14ac:dyDescent="0.25">
      <c r="K1863" s="227"/>
      <c r="L1863" s="227"/>
    </row>
    <row r="1864" spans="11:12" x14ac:dyDescent="0.25">
      <c r="K1864" s="227"/>
      <c r="L1864" s="227"/>
    </row>
    <row r="1865" spans="11:12" x14ac:dyDescent="0.25">
      <c r="K1865" s="227"/>
      <c r="L1865" s="227"/>
    </row>
    <row r="1866" spans="11:12" x14ac:dyDescent="0.25">
      <c r="K1866" s="227"/>
      <c r="L1866" s="227"/>
    </row>
    <row r="1867" spans="11:12" x14ac:dyDescent="0.25">
      <c r="K1867" s="227"/>
      <c r="L1867" s="227"/>
    </row>
    <row r="1868" spans="11:12" x14ac:dyDescent="0.25">
      <c r="K1868" s="227"/>
      <c r="L1868" s="227"/>
    </row>
    <row r="1869" spans="11:12" x14ac:dyDescent="0.25">
      <c r="K1869" s="227"/>
      <c r="L1869" s="227"/>
    </row>
    <row r="1870" spans="11:12" x14ac:dyDescent="0.25">
      <c r="K1870" s="227"/>
      <c r="L1870" s="227"/>
    </row>
    <row r="1871" spans="11:12" x14ac:dyDescent="0.25">
      <c r="K1871" s="227"/>
      <c r="L1871" s="227"/>
    </row>
    <row r="1872" spans="11:12" x14ac:dyDescent="0.25">
      <c r="K1872" s="227"/>
      <c r="L1872" s="227"/>
    </row>
    <row r="1873" spans="11:12" x14ac:dyDescent="0.25">
      <c r="K1873" s="227"/>
      <c r="L1873" s="227"/>
    </row>
    <row r="1874" spans="11:12" x14ac:dyDescent="0.25">
      <c r="K1874" s="227"/>
      <c r="L1874" s="227"/>
    </row>
    <row r="1875" spans="11:12" x14ac:dyDescent="0.25">
      <c r="K1875" s="227"/>
      <c r="L1875" s="227"/>
    </row>
    <row r="1876" spans="11:12" x14ac:dyDescent="0.25">
      <c r="K1876" s="227"/>
      <c r="L1876" s="227"/>
    </row>
    <row r="1877" spans="11:12" x14ac:dyDescent="0.25">
      <c r="K1877" s="227"/>
      <c r="L1877" s="227"/>
    </row>
    <row r="1878" spans="11:12" x14ac:dyDescent="0.25">
      <c r="K1878" s="227"/>
      <c r="L1878" s="227"/>
    </row>
    <row r="1879" spans="11:12" x14ac:dyDescent="0.25">
      <c r="K1879" s="227"/>
      <c r="L1879" s="227"/>
    </row>
    <row r="1880" spans="11:12" x14ac:dyDescent="0.25">
      <c r="K1880" s="227"/>
      <c r="L1880" s="227"/>
    </row>
    <row r="1881" spans="11:12" x14ac:dyDescent="0.25">
      <c r="K1881" s="227"/>
      <c r="L1881" s="227"/>
    </row>
    <row r="1882" spans="11:12" x14ac:dyDescent="0.25">
      <c r="K1882" s="227"/>
      <c r="L1882" s="227"/>
    </row>
    <row r="1883" spans="11:12" x14ac:dyDescent="0.25">
      <c r="K1883" s="227"/>
      <c r="L1883" s="227"/>
    </row>
    <row r="1884" spans="11:12" x14ac:dyDescent="0.25">
      <c r="K1884" s="227"/>
      <c r="L1884" s="227"/>
    </row>
    <row r="1885" spans="11:12" x14ac:dyDescent="0.25">
      <c r="K1885" s="227"/>
      <c r="L1885" s="227"/>
    </row>
    <row r="1886" spans="11:12" x14ac:dyDescent="0.25">
      <c r="K1886" s="227"/>
      <c r="L1886" s="227"/>
    </row>
    <row r="1887" spans="11:12" x14ac:dyDescent="0.25">
      <c r="K1887" s="227"/>
      <c r="L1887" s="227"/>
    </row>
    <row r="1888" spans="11:12" x14ac:dyDescent="0.25">
      <c r="K1888" s="227"/>
      <c r="L1888" s="227"/>
    </row>
    <row r="1889" spans="11:12" x14ac:dyDescent="0.25">
      <c r="K1889" s="227"/>
      <c r="L1889" s="227"/>
    </row>
    <row r="1890" spans="11:12" x14ac:dyDescent="0.25">
      <c r="K1890" s="227"/>
      <c r="L1890" s="227"/>
    </row>
    <row r="1891" spans="11:12" x14ac:dyDescent="0.25">
      <c r="K1891" s="227"/>
      <c r="L1891" s="227"/>
    </row>
    <row r="1892" spans="11:12" x14ac:dyDescent="0.25">
      <c r="K1892" s="227"/>
      <c r="L1892" s="227"/>
    </row>
    <row r="1893" spans="11:12" x14ac:dyDescent="0.25">
      <c r="K1893" s="227"/>
      <c r="L1893" s="227"/>
    </row>
    <row r="1894" spans="11:12" x14ac:dyDescent="0.25">
      <c r="K1894" s="227"/>
      <c r="L1894" s="227"/>
    </row>
    <row r="1895" spans="11:12" x14ac:dyDescent="0.25">
      <c r="K1895" s="227"/>
      <c r="L1895" s="227"/>
    </row>
    <row r="1896" spans="11:12" x14ac:dyDescent="0.25">
      <c r="K1896" s="227"/>
      <c r="L1896" s="227"/>
    </row>
    <row r="1897" spans="11:12" x14ac:dyDescent="0.25">
      <c r="K1897" s="227"/>
      <c r="L1897" s="227"/>
    </row>
    <row r="1898" spans="11:12" x14ac:dyDescent="0.25">
      <c r="K1898" s="227"/>
      <c r="L1898" s="227"/>
    </row>
    <row r="1899" spans="11:12" x14ac:dyDescent="0.25">
      <c r="K1899" s="227"/>
      <c r="L1899" s="227"/>
    </row>
    <row r="1900" spans="11:12" x14ac:dyDescent="0.25">
      <c r="K1900" s="227"/>
      <c r="L1900" s="227"/>
    </row>
    <row r="1901" spans="11:12" x14ac:dyDescent="0.25">
      <c r="K1901" s="227"/>
      <c r="L1901" s="227"/>
    </row>
    <row r="1902" spans="11:12" x14ac:dyDescent="0.25">
      <c r="K1902" s="227"/>
      <c r="L1902" s="227"/>
    </row>
    <row r="1903" spans="11:12" x14ac:dyDescent="0.25">
      <c r="K1903" s="227"/>
      <c r="L1903" s="227"/>
    </row>
    <row r="1904" spans="11:12" x14ac:dyDescent="0.25">
      <c r="K1904" s="227"/>
      <c r="L1904" s="227"/>
    </row>
    <row r="1905" spans="11:12" x14ac:dyDescent="0.25">
      <c r="K1905" s="227"/>
      <c r="L1905" s="227"/>
    </row>
    <row r="1906" spans="11:12" x14ac:dyDescent="0.25">
      <c r="K1906" s="227"/>
      <c r="L1906" s="227"/>
    </row>
    <row r="1907" spans="11:12" x14ac:dyDescent="0.25">
      <c r="K1907" s="227"/>
      <c r="L1907" s="227"/>
    </row>
    <row r="1908" spans="11:12" x14ac:dyDescent="0.25">
      <c r="K1908" s="227"/>
      <c r="L1908" s="227"/>
    </row>
    <row r="1909" spans="11:12" x14ac:dyDescent="0.25">
      <c r="K1909" s="227"/>
      <c r="L1909" s="227"/>
    </row>
    <row r="1910" spans="11:12" x14ac:dyDescent="0.25">
      <c r="K1910" s="227"/>
      <c r="L1910" s="227"/>
    </row>
    <row r="1911" spans="11:12" x14ac:dyDescent="0.25">
      <c r="K1911" s="227"/>
      <c r="L1911" s="227"/>
    </row>
    <row r="1912" spans="11:12" x14ac:dyDescent="0.25">
      <c r="K1912" s="227"/>
      <c r="L1912" s="227"/>
    </row>
    <row r="1913" spans="11:12" x14ac:dyDescent="0.25">
      <c r="K1913" s="227"/>
      <c r="L1913" s="227"/>
    </row>
    <row r="1914" spans="11:12" x14ac:dyDescent="0.25">
      <c r="K1914" s="227"/>
      <c r="L1914" s="227"/>
    </row>
    <row r="1915" spans="11:12" x14ac:dyDescent="0.25">
      <c r="K1915" s="227"/>
      <c r="L1915" s="227"/>
    </row>
    <row r="1916" spans="11:12" x14ac:dyDescent="0.25">
      <c r="K1916" s="227"/>
      <c r="L1916" s="227"/>
    </row>
    <row r="1917" spans="11:12" x14ac:dyDescent="0.25">
      <c r="K1917" s="227"/>
      <c r="L1917" s="227"/>
    </row>
    <row r="1918" spans="11:12" x14ac:dyDescent="0.25">
      <c r="K1918" s="227"/>
      <c r="L1918" s="227"/>
    </row>
    <row r="1919" spans="11:12" x14ac:dyDescent="0.25">
      <c r="K1919" s="227"/>
      <c r="L1919" s="227"/>
    </row>
    <row r="1920" spans="11:12" x14ac:dyDescent="0.25">
      <c r="K1920" s="227"/>
      <c r="L1920" s="227"/>
    </row>
    <row r="1921" spans="11:12" x14ac:dyDescent="0.25">
      <c r="K1921" s="227"/>
      <c r="L1921" s="227"/>
    </row>
    <row r="1922" spans="11:12" x14ac:dyDescent="0.25">
      <c r="K1922" s="227"/>
      <c r="L1922" s="227"/>
    </row>
    <row r="1923" spans="11:12" x14ac:dyDescent="0.25">
      <c r="K1923" s="227"/>
      <c r="L1923" s="227"/>
    </row>
    <row r="1924" spans="11:12" x14ac:dyDescent="0.25">
      <c r="K1924" s="227"/>
      <c r="L1924" s="227"/>
    </row>
    <row r="1925" spans="11:12" x14ac:dyDescent="0.25">
      <c r="K1925" s="227"/>
      <c r="L1925" s="227"/>
    </row>
    <row r="1926" spans="11:12" x14ac:dyDescent="0.25">
      <c r="K1926" s="227"/>
      <c r="L1926" s="227"/>
    </row>
    <row r="1927" spans="11:12" x14ac:dyDescent="0.25">
      <c r="K1927" s="227"/>
      <c r="L1927" s="227"/>
    </row>
    <row r="1928" spans="11:12" x14ac:dyDescent="0.25">
      <c r="K1928" s="227"/>
      <c r="L1928" s="227"/>
    </row>
    <row r="1929" spans="11:12" x14ac:dyDescent="0.25">
      <c r="K1929" s="227"/>
      <c r="L1929" s="227"/>
    </row>
    <row r="1930" spans="11:12" x14ac:dyDescent="0.25">
      <c r="K1930" s="227"/>
      <c r="L1930" s="227"/>
    </row>
    <row r="1931" spans="11:12" x14ac:dyDescent="0.25">
      <c r="K1931" s="227"/>
      <c r="L1931" s="227"/>
    </row>
    <row r="1932" spans="11:12" x14ac:dyDescent="0.25">
      <c r="K1932" s="227"/>
      <c r="L1932" s="227"/>
    </row>
    <row r="1933" spans="11:12" x14ac:dyDescent="0.25">
      <c r="K1933" s="227"/>
      <c r="L1933" s="227"/>
    </row>
    <row r="1934" spans="11:12" x14ac:dyDescent="0.25">
      <c r="K1934" s="227"/>
      <c r="L1934" s="227"/>
    </row>
    <row r="1935" spans="11:12" x14ac:dyDescent="0.25">
      <c r="K1935" s="227"/>
      <c r="L1935" s="227"/>
    </row>
    <row r="1936" spans="11:12" x14ac:dyDescent="0.25">
      <c r="K1936" s="227"/>
      <c r="L1936" s="227"/>
    </row>
    <row r="1937" spans="11:12" x14ac:dyDescent="0.25">
      <c r="K1937" s="227"/>
      <c r="L1937" s="227"/>
    </row>
    <row r="1938" spans="11:12" x14ac:dyDescent="0.25">
      <c r="K1938" s="227"/>
      <c r="L1938" s="227"/>
    </row>
    <row r="1939" spans="11:12" x14ac:dyDescent="0.25">
      <c r="K1939" s="227"/>
      <c r="L1939" s="227"/>
    </row>
    <row r="1940" spans="11:12" x14ac:dyDescent="0.25">
      <c r="K1940" s="227"/>
      <c r="L1940" s="227"/>
    </row>
    <row r="1941" spans="11:12" x14ac:dyDescent="0.25">
      <c r="K1941" s="227"/>
      <c r="L1941" s="227"/>
    </row>
    <row r="1942" spans="11:12" x14ac:dyDescent="0.25">
      <c r="K1942" s="227"/>
      <c r="L1942" s="227"/>
    </row>
    <row r="1943" spans="11:12" x14ac:dyDescent="0.25">
      <c r="K1943" s="227"/>
      <c r="L1943" s="227"/>
    </row>
    <row r="1944" spans="11:12" x14ac:dyDescent="0.25">
      <c r="K1944" s="227"/>
      <c r="L1944" s="227"/>
    </row>
    <row r="1945" spans="11:12" x14ac:dyDescent="0.25">
      <c r="K1945" s="227"/>
      <c r="L1945" s="227"/>
    </row>
    <row r="1946" spans="11:12" x14ac:dyDescent="0.25">
      <c r="K1946" s="227"/>
      <c r="L1946" s="227"/>
    </row>
    <row r="1947" spans="11:12" x14ac:dyDescent="0.25">
      <c r="K1947" s="227"/>
      <c r="L1947" s="227"/>
    </row>
    <row r="1948" spans="11:12" x14ac:dyDescent="0.25">
      <c r="K1948" s="227"/>
      <c r="L1948" s="227"/>
    </row>
    <row r="1949" spans="11:12" x14ac:dyDescent="0.25">
      <c r="K1949" s="227"/>
      <c r="L1949" s="227"/>
    </row>
    <row r="1950" spans="11:12" x14ac:dyDescent="0.25">
      <c r="K1950" s="227"/>
      <c r="L1950" s="227"/>
    </row>
    <row r="1951" spans="11:12" x14ac:dyDescent="0.25">
      <c r="K1951" s="227"/>
      <c r="L1951" s="227"/>
    </row>
    <row r="1952" spans="11:12" x14ac:dyDescent="0.25">
      <c r="K1952" s="227"/>
      <c r="L1952" s="227"/>
    </row>
    <row r="1953" spans="11:12" x14ac:dyDescent="0.25">
      <c r="K1953" s="227"/>
      <c r="L1953" s="227"/>
    </row>
    <row r="1954" spans="11:12" x14ac:dyDescent="0.25">
      <c r="K1954" s="227"/>
      <c r="L1954" s="227"/>
    </row>
    <row r="1955" spans="11:12" x14ac:dyDescent="0.25">
      <c r="K1955" s="227"/>
      <c r="L1955" s="227"/>
    </row>
    <row r="1956" spans="11:12" x14ac:dyDescent="0.25">
      <c r="K1956" s="227"/>
      <c r="L1956" s="227"/>
    </row>
    <row r="1957" spans="11:12" x14ac:dyDescent="0.25">
      <c r="K1957" s="227"/>
      <c r="L1957" s="227"/>
    </row>
    <row r="1958" spans="11:12" x14ac:dyDescent="0.25">
      <c r="K1958" s="227"/>
      <c r="L1958" s="227"/>
    </row>
    <row r="1959" spans="11:12" x14ac:dyDescent="0.25">
      <c r="K1959" s="227"/>
      <c r="L1959" s="227"/>
    </row>
    <row r="1960" spans="11:12" x14ac:dyDescent="0.25">
      <c r="K1960" s="227"/>
      <c r="L1960" s="227"/>
    </row>
    <row r="1961" spans="11:12" x14ac:dyDescent="0.25">
      <c r="K1961" s="227"/>
      <c r="L1961" s="227"/>
    </row>
    <row r="1962" spans="11:12" x14ac:dyDescent="0.25">
      <c r="K1962" s="227"/>
      <c r="L1962" s="227"/>
    </row>
    <row r="1963" spans="11:12" x14ac:dyDescent="0.25">
      <c r="K1963" s="227"/>
      <c r="L1963" s="227"/>
    </row>
    <row r="1964" spans="11:12" x14ac:dyDescent="0.25">
      <c r="K1964" s="227"/>
      <c r="L1964" s="227"/>
    </row>
    <row r="1965" spans="11:12" x14ac:dyDescent="0.25">
      <c r="K1965" s="227"/>
      <c r="L1965" s="227"/>
    </row>
    <row r="1966" spans="11:12" x14ac:dyDescent="0.25">
      <c r="K1966" s="227"/>
      <c r="L1966" s="227"/>
    </row>
    <row r="1967" spans="11:12" x14ac:dyDescent="0.25">
      <c r="K1967" s="227"/>
      <c r="L1967" s="227"/>
    </row>
    <row r="1968" spans="11:12" x14ac:dyDescent="0.25">
      <c r="K1968" s="227"/>
      <c r="L1968" s="227"/>
    </row>
    <row r="1969" spans="11:12" x14ac:dyDescent="0.25">
      <c r="K1969" s="227"/>
      <c r="L1969" s="227"/>
    </row>
    <row r="1970" spans="11:12" x14ac:dyDescent="0.25">
      <c r="K1970" s="227"/>
      <c r="L1970" s="227"/>
    </row>
    <row r="1971" spans="11:12" x14ac:dyDescent="0.25">
      <c r="K1971" s="227"/>
      <c r="L1971" s="227"/>
    </row>
    <row r="1972" spans="11:12" x14ac:dyDescent="0.25">
      <c r="K1972" s="227"/>
      <c r="L1972" s="227"/>
    </row>
    <row r="1973" spans="11:12" x14ac:dyDescent="0.25">
      <c r="K1973" s="227"/>
      <c r="L1973" s="227"/>
    </row>
    <row r="1974" spans="11:12" x14ac:dyDescent="0.25">
      <c r="K1974" s="227"/>
      <c r="L1974" s="227"/>
    </row>
    <row r="1975" spans="11:12" x14ac:dyDescent="0.25">
      <c r="K1975" s="227"/>
      <c r="L1975" s="227"/>
    </row>
    <row r="1976" spans="11:12" x14ac:dyDescent="0.25">
      <c r="K1976" s="227"/>
      <c r="L1976" s="227"/>
    </row>
    <row r="1977" spans="11:12" x14ac:dyDescent="0.25">
      <c r="K1977" s="227"/>
      <c r="L1977" s="227"/>
    </row>
    <row r="1978" spans="11:12" x14ac:dyDescent="0.25">
      <c r="K1978" s="227"/>
      <c r="L1978" s="227"/>
    </row>
    <row r="1979" spans="11:12" x14ac:dyDescent="0.25">
      <c r="K1979" s="227"/>
      <c r="L1979" s="227"/>
    </row>
    <row r="1980" spans="11:12" x14ac:dyDescent="0.25">
      <c r="K1980" s="227"/>
      <c r="L1980" s="227"/>
    </row>
    <row r="1981" spans="11:12" x14ac:dyDescent="0.25">
      <c r="K1981" s="227"/>
      <c r="L1981" s="227"/>
    </row>
    <row r="1982" spans="11:12" x14ac:dyDescent="0.25">
      <c r="K1982" s="227"/>
      <c r="L1982" s="227"/>
    </row>
    <row r="1983" spans="11:12" x14ac:dyDescent="0.25">
      <c r="K1983" s="227"/>
      <c r="L1983" s="227"/>
    </row>
    <row r="1984" spans="11:12" x14ac:dyDescent="0.25">
      <c r="K1984" s="227"/>
      <c r="L1984" s="227"/>
    </row>
    <row r="1985" spans="11:12" x14ac:dyDescent="0.25">
      <c r="K1985" s="227"/>
      <c r="L1985" s="227"/>
    </row>
    <row r="1986" spans="11:12" x14ac:dyDescent="0.25">
      <c r="K1986" s="227"/>
      <c r="L1986" s="227"/>
    </row>
    <row r="1987" spans="11:12" x14ac:dyDescent="0.25">
      <c r="K1987" s="227"/>
      <c r="L1987" s="227"/>
    </row>
    <row r="1988" spans="11:12" x14ac:dyDescent="0.25">
      <c r="K1988" s="227"/>
      <c r="L1988" s="227"/>
    </row>
    <row r="1989" spans="11:12" x14ac:dyDescent="0.25">
      <c r="K1989" s="227"/>
      <c r="L1989" s="227"/>
    </row>
    <row r="1990" spans="11:12" x14ac:dyDescent="0.25">
      <c r="K1990" s="227"/>
      <c r="L1990" s="227"/>
    </row>
    <row r="1991" spans="11:12" x14ac:dyDescent="0.25">
      <c r="K1991" s="227"/>
      <c r="L1991" s="227"/>
    </row>
    <row r="1992" spans="11:12" x14ac:dyDescent="0.25">
      <c r="K1992" s="227"/>
      <c r="L1992" s="227"/>
    </row>
    <row r="1993" spans="11:12" x14ac:dyDescent="0.25">
      <c r="K1993" s="227"/>
      <c r="L1993" s="227"/>
    </row>
    <row r="1994" spans="11:12" x14ac:dyDescent="0.25">
      <c r="K1994" s="227"/>
      <c r="L1994" s="227"/>
    </row>
    <row r="1995" spans="11:12" x14ac:dyDescent="0.25">
      <c r="K1995" s="227"/>
      <c r="L1995" s="227"/>
    </row>
    <row r="1996" spans="11:12" x14ac:dyDescent="0.25">
      <c r="K1996" s="227"/>
      <c r="L1996" s="227"/>
    </row>
    <row r="1997" spans="11:12" x14ac:dyDescent="0.25">
      <c r="K1997" s="227"/>
      <c r="L1997" s="227"/>
    </row>
    <row r="1998" spans="11:12" x14ac:dyDescent="0.25">
      <c r="K1998" s="227"/>
      <c r="L1998" s="227"/>
    </row>
    <row r="1999" spans="11:12" x14ac:dyDescent="0.25">
      <c r="K1999" s="227"/>
      <c r="L1999" s="227"/>
    </row>
    <row r="2000" spans="11:12" x14ac:dyDescent="0.25">
      <c r="K2000" s="227"/>
      <c r="L2000" s="227"/>
    </row>
    <row r="2001" spans="11:12" x14ac:dyDescent="0.25">
      <c r="K2001" s="227"/>
      <c r="L2001" s="227"/>
    </row>
    <row r="2002" spans="11:12" x14ac:dyDescent="0.25">
      <c r="K2002" s="227"/>
      <c r="L2002" s="227"/>
    </row>
    <row r="2003" spans="11:12" x14ac:dyDescent="0.25">
      <c r="K2003" s="227"/>
      <c r="L2003" s="227"/>
    </row>
    <row r="2004" spans="11:12" x14ac:dyDescent="0.25">
      <c r="K2004" s="227"/>
      <c r="L2004" s="227"/>
    </row>
    <row r="2005" spans="11:12" x14ac:dyDescent="0.25">
      <c r="K2005" s="227"/>
      <c r="L2005" s="227"/>
    </row>
    <row r="2006" spans="11:12" x14ac:dyDescent="0.25">
      <c r="K2006" s="227"/>
      <c r="L2006" s="227"/>
    </row>
    <row r="2007" spans="11:12" x14ac:dyDescent="0.25">
      <c r="K2007" s="227"/>
      <c r="L2007" s="227"/>
    </row>
    <row r="2008" spans="11:12" x14ac:dyDescent="0.25">
      <c r="K2008" s="227"/>
      <c r="L2008" s="227"/>
    </row>
    <row r="2009" spans="11:12" x14ac:dyDescent="0.25">
      <c r="K2009" s="227"/>
      <c r="L2009" s="227"/>
    </row>
    <row r="2010" spans="11:12" x14ac:dyDescent="0.25">
      <c r="K2010" s="227"/>
      <c r="L2010" s="227"/>
    </row>
    <row r="2011" spans="11:12" x14ac:dyDescent="0.25">
      <c r="K2011" s="227"/>
      <c r="L2011" s="227"/>
    </row>
    <row r="2012" spans="11:12" x14ac:dyDescent="0.25">
      <c r="K2012" s="227"/>
      <c r="L2012" s="227"/>
    </row>
    <row r="2013" spans="11:12" x14ac:dyDescent="0.25">
      <c r="K2013" s="227"/>
      <c r="L2013" s="227"/>
    </row>
    <row r="2014" spans="11:12" x14ac:dyDescent="0.25">
      <c r="K2014" s="227"/>
      <c r="L2014" s="227"/>
    </row>
    <row r="2015" spans="11:12" x14ac:dyDescent="0.25">
      <c r="K2015" s="227"/>
      <c r="L2015" s="227"/>
    </row>
    <row r="2016" spans="11:12" x14ac:dyDescent="0.25">
      <c r="K2016" s="227"/>
      <c r="L2016" s="227"/>
    </row>
    <row r="2017" spans="11:12" x14ac:dyDescent="0.25">
      <c r="K2017" s="227"/>
      <c r="L2017" s="227"/>
    </row>
    <row r="2018" spans="11:12" x14ac:dyDescent="0.25">
      <c r="K2018" s="227"/>
      <c r="L2018" s="227"/>
    </row>
    <row r="2019" spans="11:12" x14ac:dyDescent="0.25">
      <c r="K2019" s="227"/>
      <c r="L2019" s="227"/>
    </row>
    <row r="2020" spans="11:12" x14ac:dyDescent="0.25">
      <c r="K2020" s="227"/>
      <c r="L2020" s="227"/>
    </row>
    <row r="2021" spans="11:12" x14ac:dyDescent="0.25">
      <c r="K2021" s="227"/>
      <c r="L2021" s="227"/>
    </row>
    <row r="2022" spans="11:12" x14ac:dyDescent="0.25">
      <c r="K2022" s="227"/>
      <c r="L2022" s="227"/>
    </row>
    <row r="2023" spans="11:12" x14ac:dyDescent="0.25">
      <c r="K2023" s="227"/>
      <c r="L2023" s="227"/>
    </row>
    <row r="2024" spans="11:12" x14ac:dyDescent="0.25">
      <c r="K2024" s="227"/>
      <c r="L2024" s="227"/>
    </row>
    <row r="2025" spans="11:12" x14ac:dyDescent="0.25">
      <c r="K2025" s="227"/>
      <c r="L2025" s="227"/>
    </row>
    <row r="2026" spans="11:12" x14ac:dyDescent="0.25">
      <c r="K2026" s="227"/>
      <c r="L2026" s="227"/>
    </row>
    <row r="2027" spans="11:12" x14ac:dyDescent="0.25">
      <c r="K2027" s="227"/>
      <c r="L2027" s="227"/>
    </row>
    <row r="2028" spans="11:12" x14ac:dyDescent="0.25">
      <c r="K2028" s="227"/>
      <c r="L2028" s="227"/>
    </row>
    <row r="2029" spans="11:12" x14ac:dyDescent="0.25">
      <c r="K2029" s="227"/>
      <c r="L2029" s="227"/>
    </row>
    <row r="2030" spans="11:12" x14ac:dyDescent="0.25">
      <c r="K2030" s="227"/>
      <c r="L2030" s="227"/>
    </row>
    <row r="2031" spans="11:12" x14ac:dyDescent="0.25">
      <c r="K2031" s="227"/>
      <c r="L2031" s="227"/>
    </row>
    <row r="2032" spans="11:12" x14ac:dyDescent="0.25">
      <c r="K2032" s="227"/>
      <c r="L2032" s="227"/>
    </row>
    <row r="2033" spans="11:12" x14ac:dyDescent="0.25">
      <c r="K2033" s="227"/>
      <c r="L2033" s="227"/>
    </row>
    <row r="2034" spans="11:12" x14ac:dyDescent="0.25">
      <c r="K2034" s="227"/>
      <c r="L2034" s="227"/>
    </row>
    <row r="2035" spans="11:12" x14ac:dyDescent="0.25">
      <c r="K2035" s="227"/>
      <c r="L2035" s="227"/>
    </row>
    <row r="2036" spans="11:12" x14ac:dyDescent="0.25">
      <c r="K2036" s="227"/>
      <c r="L2036" s="227"/>
    </row>
    <row r="2037" spans="11:12" x14ac:dyDescent="0.25">
      <c r="K2037" s="227"/>
      <c r="L2037" s="227"/>
    </row>
    <row r="2038" spans="11:12" x14ac:dyDescent="0.25">
      <c r="K2038" s="227"/>
      <c r="L2038" s="227"/>
    </row>
    <row r="2039" spans="11:12" x14ac:dyDescent="0.25">
      <c r="K2039" s="227"/>
      <c r="L2039" s="227"/>
    </row>
    <row r="2040" spans="11:12" x14ac:dyDescent="0.25">
      <c r="K2040" s="227"/>
      <c r="L2040" s="227"/>
    </row>
    <row r="2041" spans="11:12" x14ac:dyDescent="0.25">
      <c r="K2041" s="227"/>
      <c r="L2041" s="227"/>
    </row>
    <row r="2042" spans="11:12" x14ac:dyDescent="0.25">
      <c r="K2042" s="227"/>
      <c r="L2042" s="227"/>
    </row>
    <row r="2043" spans="11:12" x14ac:dyDescent="0.25">
      <c r="K2043" s="227"/>
      <c r="L2043" s="227"/>
    </row>
    <row r="2044" spans="11:12" x14ac:dyDescent="0.25">
      <c r="K2044" s="227"/>
      <c r="L2044" s="227"/>
    </row>
    <row r="2045" spans="11:12" x14ac:dyDescent="0.25">
      <c r="K2045" s="227"/>
      <c r="L2045" s="227"/>
    </row>
    <row r="2046" spans="11:12" x14ac:dyDescent="0.25">
      <c r="K2046" s="227"/>
      <c r="L2046" s="227"/>
    </row>
    <row r="2047" spans="11:12" x14ac:dyDescent="0.25">
      <c r="K2047" s="227"/>
      <c r="L2047" s="227"/>
    </row>
    <row r="2048" spans="11:12" x14ac:dyDescent="0.25">
      <c r="K2048" s="227"/>
      <c r="L2048" s="227"/>
    </row>
    <row r="2049" spans="11:12" x14ac:dyDescent="0.25">
      <c r="K2049" s="227"/>
      <c r="L2049" s="227"/>
    </row>
    <row r="2050" spans="11:12" x14ac:dyDescent="0.25">
      <c r="K2050" s="227"/>
      <c r="L2050" s="227"/>
    </row>
    <row r="2051" spans="11:12" x14ac:dyDescent="0.25">
      <c r="K2051" s="227"/>
      <c r="L2051" s="227"/>
    </row>
    <row r="2052" spans="11:12" x14ac:dyDescent="0.25">
      <c r="K2052" s="227"/>
      <c r="L2052" s="227"/>
    </row>
    <row r="2053" spans="11:12" x14ac:dyDescent="0.25">
      <c r="K2053" s="227"/>
      <c r="L2053" s="227"/>
    </row>
    <row r="2054" spans="11:12" x14ac:dyDescent="0.25">
      <c r="K2054" s="227"/>
      <c r="L2054" s="227"/>
    </row>
    <row r="2055" spans="11:12" x14ac:dyDescent="0.25">
      <c r="K2055" s="227"/>
      <c r="L2055" s="227"/>
    </row>
    <row r="2056" spans="11:12" x14ac:dyDescent="0.25">
      <c r="K2056" s="227"/>
      <c r="L2056" s="227"/>
    </row>
    <row r="2057" spans="11:12" x14ac:dyDescent="0.25">
      <c r="K2057" s="227"/>
      <c r="L2057" s="227"/>
    </row>
    <row r="2058" spans="11:12" x14ac:dyDescent="0.25">
      <c r="K2058" s="227"/>
      <c r="L2058" s="227"/>
    </row>
    <row r="2059" spans="11:12" x14ac:dyDescent="0.25">
      <c r="K2059" s="227"/>
      <c r="L2059" s="227"/>
    </row>
    <row r="2060" spans="11:12" x14ac:dyDescent="0.25">
      <c r="K2060" s="227"/>
      <c r="L2060" s="227"/>
    </row>
    <row r="2061" spans="11:12" x14ac:dyDescent="0.25">
      <c r="K2061" s="227"/>
      <c r="L2061" s="227"/>
    </row>
    <row r="2062" spans="11:12" x14ac:dyDescent="0.25">
      <c r="K2062" s="227"/>
      <c r="L2062" s="227"/>
    </row>
    <row r="2063" spans="11:12" x14ac:dyDescent="0.25">
      <c r="K2063" s="227"/>
      <c r="L2063" s="227"/>
    </row>
    <row r="2064" spans="11:12" x14ac:dyDescent="0.25">
      <c r="K2064" s="227"/>
      <c r="L2064" s="227"/>
    </row>
    <row r="2065" spans="11:12" x14ac:dyDescent="0.25">
      <c r="K2065" s="227"/>
      <c r="L2065" s="227"/>
    </row>
    <row r="2066" spans="11:12" x14ac:dyDescent="0.25">
      <c r="K2066" s="227"/>
      <c r="L2066" s="227"/>
    </row>
    <row r="2067" spans="11:12" x14ac:dyDescent="0.25">
      <c r="K2067" s="227"/>
      <c r="L2067" s="227"/>
    </row>
    <row r="2068" spans="11:12" x14ac:dyDescent="0.25">
      <c r="K2068" s="227"/>
      <c r="L2068" s="227"/>
    </row>
    <row r="2069" spans="11:12" x14ac:dyDescent="0.25">
      <c r="K2069" s="227"/>
      <c r="L2069" s="227"/>
    </row>
    <row r="2070" spans="11:12" x14ac:dyDescent="0.25">
      <c r="K2070" s="227"/>
      <c r="L2070" s="227"/>
    </row>
    <row r="2071" spans="11:12" x14ac:dyDescent="0.25">
      <c r="K2071" s="227"/>
      <c r="L2071" s="227"/>
    </row>
    <row r="2072" spans="11:12" x14ac:dyDescent="0.25">
      <c r="K2072" s="227"/>
      <c r="L2072" s="227"/>
    </row>
    <row r="2073" spans="11:12" x14ac:dyDescent="0.25">
      <c r="K2073" s="227"/>
      <c r="L2073" s="227"/>
    </row>
    <row r="2074" spans="11:12" x14ac:dyDescent="0.25">
      <c r="K2074" s="227"/>
      <c r="L2074" s="227"/>
    </row>
    <row r="2075" spans="11:12" x14ac:dyDescent="0.25">
      <c r="K2075" s="227"/>
      <c r="L2075" s="227"/>
    </row>
    <row r="2076" spans="11:12" x14ac:dyDescent="0.25">
      <c r="K2076" s="227"/>
      <c r="L2076" s="227"/>
    </row>
    <row r="2077" spans="11:12" x14ac:dyDescent="0.25">
      <c r="K2077" s="227"/>
      <c r="L2077" s="227"/>
    </row>
    <row r="2078" spans="11:12" x14ac:dyDescent="0.25">
      <c r="K2078" s="227"/>
      <c r="L2078" s="227"/>
    </row>
    <row r="2079" spans="11:12" x14ac:dyDescent="0.25">
      <c r="K2079" s="227"/>
      <c r="L2079" s="227"/>
    </row>
    <row r="2080" spans="11:12" x14ac:dyDescent="0.25">
      <c r="K2080" s="227"/>
      <c r="L2080" s="227"/>
    </row>
    <row r="2081" spans="11:12" x14ac:dyDescent="0.25">
      <c r="K2081" s="227"/>
      <c r="L2081" s="227"/>
    </row>
    <row r="2082" spans="11:12" x14ac:dyDescent="0.25">
      <c r="K2082" s="227"/>
      <c r="L2082" s="227"/>
    </row>
    <row r="2083" spans="11:12" x14ac:dyDescent="0.25">
      <c r="K2083" s="227"/>
      <c r="L2083" s="227"/>
    </row>
    <row r="2084" spans="11:12" x14ac:dyDescent="0.25">
      <c r="K2084" s="227"/>
      <c r="L2084" s="227"/>
    </row>
    <row r="2085" spans="11:12" x14ac:dyDescent="0.25">
      <c r="K2085" s="227"/>
      <c r="L2085" s="227"/>
    </row>
    <row r="2086" spans="11:12" x14ac:dyDescent="0.25">
      <c r="K2086" s="227"/>
      <c r="L2086" s="227"/>
    </row>
    <row r="2087" spans="11:12" x14ac:dyDescent="0.25">
      <c r="K2087" s="227"/>
      <c r="L2087" s="227"/>
    </row>
    <row r="2088" spans="11:12" x14ac:dyDescent="0.25">
      <c r="K2088" s="227"/>
      <c r="L2088" s="227"/>
    </row>
    <row r="2089" spans="11:12" x14ac:dyDescent="0.25">
      <c r="K2089" s="227"/>
      <c r="L2089" s="227"/>
    </row>
    <row r="2090" spans="11:12" x14ac:dyDescent="0.25">
      <c r="K2090" s="227"/>
      <c r="L2090" s="227"/>
    </row>
    <row r="2091" spans="11:12" x14ac:dyDescent="0.25">
      <c r="K2091" s="227"/>
      <c r="L2091" s="227"/>
    </row>
    <row r="2092" spans="11:12" x14ac:dyDescent="0.25">
      <c r="K2092" s="227"/>
      <c r="L2092" s="227"/>
    </row>
    <row r="2093" spans="11:12" x14ac:dyDescent="0.25">
      <c r="K2093" s="227"/>
      <c r="L2093" s="227"/>
    </row>
    <row r="2094" spans="11:12" x14ac:dyDescent="0.25">
      <c r="K2094" s="227"/>
      <c r="L2094" s="227"/>
    </row>
    <row r="2095" spans="11:12" x14ac:dyDescent="0.25">
      <c r="K2095" s="227"/>
      <c r="L2095" s="227"/>
    </row>
    <row r="2096" spans="11:12" x14ac:dyDescent="0.25">
      <c r="K2096" s="227"/>
      <c r="L2096" s="227"/>
    </row>
    <row r="2097" spans="11:12" x14ac:dyDescent="0.25">
      <c r="K2097" s="227"/>
      <c r="L2097" s="227"/>
    </row>
    <row r="2098" spans="11:12" x14ac:dyDescent="0.25">
      <c r="K2098" s="227"/>
      <c r="L2098" s="227"/>
    </row>
    <row r="2099" spans="11:12" x14ac:dyDescent="0.25">
      <c r="K2099" s="227"/>
      <c r="L2099" s="227"/>
    </row>
    <row r="2100" spans="11:12" x14ac:dyDescent="0.25">
      <c r="K2100" s="227"/>
      <c r="L2100" s="227"/>
    </row>
    <row r="2101" spans="11:12" x14ac:dyDescent="0.25">
      <c r="K2101" s="227"/>
      <c r="L2101" s="227"/>
    </row>
    <row r="2102" spans="11:12" x14ac:dyDescent="0.25">
      <c r="K2102" s="227"/>
      <c r="L2102" s="227"/>
    </row>
    <row r="2103" spans="11:12" x14ac:dyDescent="0.25">
      <c r="K2103" s="227"/>
      <c r="L2103" s="227"/>
    </row>
    <row r="2104" spans="11:12" x14ac:dyDescent="0.25">
      <c r="K2104" s="227"/>
      <c r="L2104" s="227"/>
    </row>
    <row r="2105" spans="11:12" x14ac:dyDescent="0.25">
      <c r="K2105" s="227"/>
      <c r="L2105" s="227"/>
    </row>
    <row r="2106" spans="11:12" x14ac:dyDescent="0.25">
      <c r="K2106" s="227"/>
      <c r="L2106" s="227"/>
    </row>
    <row r="2107" spans="11:12" x14ac:dyDescent="0.25">
      <c r="K2107" s="227"/>
      <c r="L2107" s="227"/>
    </row>
    <row r="2108" spans="11:12" x14ac:dyDescent="0.25">
      <c r="K2108" s="227"/>
      <c r="L2108" s="227"/>
    </row>
    <row r="2109" spans="11:12" x14ac:dyDescent="0.25">
      <c r="K2109" s="227"/>
      <c r="L2109" s="227"/>
    </row>
    <row r="2110" spans="11:12" x14ac:dyDescent="0.25">
      <c r="K2110" s="227"/>
      <c r="L2110" s="227"/>
    </row>
    <row r="2111" spans="11:12" x14ac:dyDescent="0.25">
      <c r="K2111" s="227"/>
      <c r="L2111" s="227"/>
    </row>
    <row r="2112" spans="11:12" x14ac:dyDescent="0.25">
      <c r="K2112" s="227"/>
      <c r="L2112" s="227"/>
    </row>
    <row r="2113" spans="11:12" x14ac:dyDescent="0.25">
      <c r="K2113" s="227"/>
      <c r="L2113" s="227"/>
    </row>
    <row r="2114" spans="11:12" x14ac:dyDescent="0.25">
      <c r="K2114" s="227"/>
      <c r="L2114" s="227"/>
    </row>
    <row r="2115" spans="11:12" x14ac:dyDescent="0.25">
      <c r="K2115" s="227"/>
      <c r="L2115" s="227"/>
    </row>
    <row r="2116" spans="11:12" x14ac:dyDescent="0.25">
      <c r="K2116" s="227"/>
      <c r="L2116" s="227"/>
    </row>
    <row r="2117" spans="11:12" x14ac:dyDescent="0.25">
      <c r="K2117" s="227"/>
      <c r="L2117" s="227"/>
    </row>
    <row r="2118" spans="11:12" x14ac:dyDescent="0.25">
      <c r="K2118" s="227"/>
      <c r="L2118" s="227"/>
    </row>
    <row r="2119" spans="11:12" x14ac:dyDescent="0.25">
      <c r="K2119" s="227"/>
      <c r="L2119" s="227"/>
    </row>
    <row r="2120" spans="11:12" x14ac:dyDescent="0.25">
      <c r="K2120" s="227"/>
      <c r="L2120" s="227"/>
    </row>
    <row r="2121" spans="11:12" x14ac:dyDescent="0.25">
      <c r="K2121" s="227"/>
      <c r="L2121" s="227"/>
    </row>
    <row r="2122" spans="11:12" x14ac:dyDescent="0.25">
      <c r="K2122" s="227"/>
      <c r="L2122" s="227"/>
    </row>
    <row r="2123" spans="11:12" x14ac:dyDescent="0.25">
      <c r="K2123" s="227"/>
      <c r="L2123" s="227"/>
    </row>
    <row r="2124" spans="11:12" x14ac:dyDescent="0.25">
      <c r="K2124" s="227"/>
      <c r="L2124" s="227"/>
    </row>
    <row r="2125" spans="11:12" x14ac:dyDescent="0.25">
      <c r="K2125" s="227"/>
      <c r="L2125" s="227"/>
    </row>
    <row r="2126" spans="11:12" x14ac:dyDescent="0.25">
      <c r="K2126" s="227"/>
      <c r="L2126" s="227"/>
    </row>
    <row r="2127" spans="11:12" x14ac:dyDescent="0.25">
      <c r="K2127" s="227"/>
      <c r="L2127" s="227"/>
    </row>
    <row r="2128" spans="11:12" x14ac:dyDescent="0.25">
      <c r="K2128" s="227"/>
      <c r="L2128" s="227"/>
    </row>
    <row r="2129" spans="11:12" x14ac:dyDescent="0.25">
      <c r="K2129" s="227"/>
      <c r="L2129" s="227"/>
    </row>
    <row r="2130" spans="11:12" x14ac:dyDescent="0.25">
      <c r="K2130" s="227"/>
      <c r="L2130" s="227"/>
    </row>
    <row r="2131" spans="11:12" x14ac:dyDescent="0.25">
      <c r="K2131" s="227"/>
      <c r="L2131" s="227"/>
    </row>
    <row r="2132" spans="11:12" x14ac:dyDescent="0.25">
      <c r="K2132" s="227"/>
      <c r="L2132" s="227"/>
    </row>
    <row r="2133" spans="11:12" x14ac:dyDescent="0.25">
      <c r="K2133" s="227"/>
      <c r="L2133" s="227"/>
    </row>
    <row r="2134" spans="11:12" x14ac:dyDescent="0.25">
      <c r="K2134" s="227"/>
      <c r="L2134" s="227"/>
    </row>
    <row r="2135" spans="11:12" x14ac:dyDescent="0.25">
      <c r="K2135" s="227"/>
      <c r="L2135" s="227"/>
    </row>
    <row r="2136" spans="11:12" x14ac:dyDescent="0.25">
      <c r="K2136" s="227"/>
      <c r="L2136" s="227"/>
    </row>
    <row r="2137" spans="11:12" x14ac:dyDescent="0.25">
      <c r="K2137" s="227"/>
      <c r="L2137" s="227"/>
    </row>
    <row r="2138" spans="11:12" x14ac:dyDescent="0.25">
      <c r="K2138" s="227"/>
      <c r="L2138" s="227"/>
    </row>
    <row r="2139" spans="11:12" x14ac:dyDescent="0.25">
      <c r="K2139" s="227"/>
      <c r="L2139" s="227"/>
    </row>
    <row r="2140" spans="11:12" x14ac:dyDescent="0.25">
      <c r="K2140" s="227"/>
      <c r="L2140" s="227"/>
    </row>
    <row r="2141" spans="11:12" x14ac:dyDescent="0.25">
      <c r="K2141" s="227"/>
      <c r="L2141" s="227"/>
    </row>
    <row r="2142" spans="11:12" x14ac:dyDescent="0.25">
      <c r="K2142" s="227"/>
      <c r="L2142" s="227"/>
    </row>
    <row r="2143" spans="11:12" x14ac:dyDescent="0.25">
      <c r="K2143" s="227"/>
      <c r="L2143" s="227"/>
    </row>
    <row r="2144" spans="11:12" x14ac:dyDescent="0.25">
      <c r="K2144" s="227"/>
      <c r="L2144" s="227"/>
    </row>
    <row r="2145" spans="11:12" x14ac:dyDescent="0.25">
      <c r="K2145" s="227"/>
      <c r="L2145" s="227"/>
    </row>
    <row r="2146" spans="11:12" x14ac:dyDescent="0.25">
      <c r="K2146" s="227"/>
      <c r="L2146" s="227"/>
    </row>
    <row r="2147" spans="11:12" x14ac:dyDescent="0.25">
      <c r="K2147" s="227"/>
      <c r="L2147" s="227"/>
    </row>
    <row r="2148" spans="11:12" x14ac:dyDescent="0.25">
      <c r="K2148" s="227"/>
      <c r="L2148" s="227"/>
    </row>
    <row r="2149" spans="11:12" x14ac:dyDescent="0.25">
      <c r="K2149" s="227"/>
      <c r="L2149" s="227"/>
    </row>
    <row r="2150" spans="11:12" x14ac:dyDescent="0.25">
      <c r="K2150" s="227"/>
      <c r="L2150" s="227"/>
    </row>
    <row r="2151" spans="11:12" x14ac:dyDescent="0.25">
      <c r="K2151" s="227"/>
      <c r="L2151" s="227"/>
    </row>
    <row r="2152" spans="11:12" x14ac:dyDescent="0.25">
      <c r="K2152" s="227"/>
      <c r="L2152" s="227"/>
    </row>
    <row r="2153" spans="11:12" x14ac:dyDescent="0.25">
      <c r="K2153" s="227"/>
      <c r="L2153" s="227"/>
    </row>
    <row r="2154" spans="11:12" x14ac:dyDescent="0.25">
      <c r="K2154" s="227"/>
      <c r="L2154" s="227"/>
    </row>
    <row r="2155" spans="11:12" x14ac:dyDescent="0.25">
      <c r="K2155" s="227"/>
      <c r="L2155" s="227"/>
    </row>
    <row r="2156" spans="11:12" x14ac:dyDescent="0.25">
      <c r="K2156" s="227"/>
      <c r="L2156" s="227"/>
    </row>
    <row r="2157" spans="11:12" x14ac:dyDescent="0.25">
      <c r="K2157" s="227"/>
      <c r="L2157" s="227"/>
    </row>
    <row r="2158" spans="11:12" x14ac:dyDescent="0.25">
      <c r="K2158" s="227"/>
      <c r="L2158" s="227"/>
    </row>
    <row r="2159" spans="11:12" x14ac:dyDescent="0.25">
      <c r="K2159" s="227"/>
      <c r="L2159" s="227"/>
    </row>
    <row r="2160" spans="11:12" x14ac:dyDescent="0.25">
      <c r="K2160" s="227"/>
      <c r="L2160" s="227"/>
    </row>
    <row r="2161" spans="11:12" x14ac:dyDescent="0.25">
      <c r="K2161" s="227"/>
      <c r="L2161" s="227"/>
    </row>
    <row r="2162" spans="11:12" x14ac:dyDescent="0.25">
      <c r="K2162" s="227"/>
      <c r="L2162" s="227"/>
    </row>
    <row r="2163" spans="11:12" x14ac:dyDescent="0.25">
      <c r="K2163" s="227"/>
      <c r="L2163" s="227"/>
    </row>
    <row r="2164" spans="11:12" x14ac:dyDescent="0.25">
      <c r="K2164" s="227"/>
      <c r="L2164" s="227"/>
    </row>
    <row r="2165" spans="11:12" x14ac:dyDescent="0.25">
      <c r="K2165" s="227"/>
      <c r="L2165" s="227"/>
    </row>
    <row r="2166" spans="11:12" x14ac:dyDescent="0.25">
      <c r="K2166" s="227"/>
      <c r="L2166" s="227"/>
    </row>
    <row r="2167" spans="11:12" x14ac:dyDescent="0.25">
      <c r="K2167" s="227"/>
      <c r="L2167" s="227"/>
    </row>
    <row r="2168" spans="11:12" x14ac:dyDescent="0.25">
      <c r="K2168" s="227"/>
      <c r="L2168" s="227"/>
    </row>
    <row r="2169" spans="11:12" x14ac:dyDescent="0.25">
      <c r="K2169" s="227"/>
      <c r="L2169" s="227"/>
    </row>
    <row r="2170" spans="11:12" x14ac:dyDescent="0.25">
      <c r="K2170" s="227"/>
      <c r="L2170" s="227"/>
    </row>
    <row r="2171" spans="11:12" x14ac:dyDescent="0.25">
      <c r="K2171" s="227"/>
      <c r="L2171" s="227"/>
    </row>
    <row r="2172" spans="11:12" x14ac:dyDescent="0.25">
      <c r="K2172" s="227"/>
      <c r="L2172" s="227"/>
    </row>
    <row r="2173" spans="11:12" x14ac:dyDescent="0.25">
      <c r="K2173" s="227"/>
      <c r="L2173" s="227"/>
    </row>
    <row r="2174" spans="11:12" x14ac:dyDescent="0.25">
      <c r="K2174" s="227"/>
      <c r="L2174" s="227"/>
    </row>
    <row r="2175" spans="11:12" x14ac:dyDescent="0.25">
      <c r="K2175" s="227"/>
      <c r="L2175" s="227"/>
    </row>
    <row r="2176" spans="11:12" x14ac:dyDescent="0.25">
      <c r="K2176" s="227"/>
      <c r="L2176" s="227"/>
    </row>
    <row r="2177" spans="11:12" x14ac:dyDescent="0.25">
      <c r="K2177" s="227"/>
      <c r="L2177" s="227"/>
    </row>
    <row r="2178" spans="11:12" x14ac:dyDescent="0.25">
      <c r="K2178" s="227"/>
      <c r="L2178" s="227"/>
    </row>
    <row r="2179" spans="11:12" x14ac:dyDescent="0.25">
      <c r="K2179" s="227"/>
      <c r="L2179" s="227"/>
    </row>
    <row r="2180" spans="11:12" x14ac:dyDescent="0.25">
      <c r="K2180" s="227"/>
      <c r="L2180" s="227"/>
    </row>
    <row r="2181" spans="11:12" x14ac:dyDescent="0.25">
      <c r="K2181" s="227"/>
      <c r="L2181" s="227"/>
    </row>
    <row r="2182" spans="11:12" x14ac:dyDescent="0.25">
      <c r="K2182" s="227"/>
      <c r="L2182" s="227"/>
    </row>
    <row r="2183" spans="11:12" x14ac:dyDescent="0.25">
      <c r="K2183" s="227"/>
      <c r="L2183" s="227"/>
    </row>
    <row r="2184" spans="11:12" x14ac:dyDescent="0.25">
      <c r="K2184" s="227"/>
      <c r="L2184" s="227"/>
    </row>
    <row r="2185" spans="11:12" x14ac:dyDescent="0.25">
      <c r="K2185" s="227"/>
      <c r="L2185" s="227"/>
    </row>
    <row r="2186" spans="11:12" x14ac:dyDescent="0.25">
      <c r="K2186" s="227"/>
      <c r="L2186" s="227"/>
    </row>
    <row r="2187" spans="11:12" x14ac:dyDescent="0.25">
      <c r="K2187" s="227"/>
      <c r="L2187" s="227"/>
    </row>
    <row r="2188" spans="11:12" x14ac:dyDescent="0.25">
      <c r="K2188" s="227"/>
      <c r="L2188" s="227"/>
    </row>
    <row r="2189" spans="11:12" x14ac:dyDescent="0.25">
      <c r="K2189" s="227"/>
      <c r="L2189" s="227"/>
    </row>
    <row r="2190" spans="11:12" x14ac:dyDescent="0.25">
      <c r="K2190" s="227"/>
      <c r="L2190" s="227"/>
    </row>
    <row r="2191" spans="11:12" x14ac:dyDescent="0.25">
      <c r="K2191" s="227"/>
      <c r="L2191" s="227"/>
    </row>
    <row r="2192" spans="11:12" x14ac:dyDescent="0.25">
      <c r="K2192" s="227"/>
      <c r="L2192" s="227"/>
    </row>
    <row r="2193" spans="11:12" x14ac:dyDescent="0.25">
      <c r="K2193" s="227"/>
      <c r="L2193" s="227"/>
    </row>
    <row r="2194" spans="11:12" x14ac:dyDescent="0.25">
      <c r="K2194" s="227"/>
      <c r="L2194" s="227"/>
    </row>
    <row r="2195" spans="11:12" x14ac:dyDescent="0.25">
      <c r="K2195" s="227"/>
      <c r="L2195" s="227"/>
    </row>
    <row r="2196" spans="11:12" x14ac:dyDescent="0.25">
      <c r="K2196" s="227"/>
      <c r="L2196" s="227"/>
    </row>
    <row r="2197" spans="11:12" x14ac:dyDescent="0.25">
      <c r="K2197" s="227"/>
      <c r="L2197" s="227"/>
    </row>
    <row r="2198" spans="11:12" x14ac:dyDescent="0.25">
      <c r="K2198" s="227"/>
      <c r="L2198" s="227"/>
    </row>
    <row r="2199" spans="11:12" x14ac:dyDescent="0.25">
      <c r="K2199" s="227"/>
      <c r="L2199" s="227"/>
    </row>
    <row r="2200" spans="11:12" x14ac:dyDescent="0.25">
      <c r="K2200" s="227"/>
      <c r="L2200" s="227"/>
    </row>
    <row r="2201" spans="11:12" x14ac:dyDescent="0.25">
      <c r="K2201" s="227"/>
      <c r="L2201" s="227"/>
    </row>
    <row r="2202" spans="11:12" x14ac:dyDescent="0.25">
      <c r="K2202" s="227"/>
      <c r="L2202" s="227"/>
    </row>
    <row r="2203" spans="11:12" x14ac:dyDescent="0.25">
      <c r="K2203" s="227"/>
      <c r="L2203" s="227"/>
    </row>
    <row r="2204" spans="11:12" x14ac:dyDescent="0.25">
      <c r="K2204" s="227"/>
      <c r="L2204" s="227"/>
    </row>
    <row r="2205" spans="11:12" x14ac:dyDescent="0.25">
      <c r="K2205" s="227"/>
      <c r="L2205" s="227"/>
    </row>
    <row r="2206" spans="11:12" x14ac:dyDescent="0.25">
      <c r="K2206" s="227"/>
      <c r="L2206" s="227"/>
    </row>
    <row r="2207" spans="11:12" x14ac:dyDescent="0.25">
      <c r="K2207" s="227"/>
      <c r="L2207" s="227"/>
    </row>
    <row r="2208" spans="11:12" x14ac:dyDescent="0.25">
      <c r="K2208" s="227"/>
      <c r="L2208" s="227"/>
    </row>
    <row r="2209" spans="11:12" x14ac:dyDescent="0.25">
      <c r="K2209" s="227"/>
      <c r="L2209" s="227"/>
    </row>
    <row r="2210" spans="11:12" x14ac:dyDescent="0.25">
      <c r="K2210" s="227"/>
      <c r="L2210" s="227"/>
    </row>
    <row r="2211" spans="11:12" x14ac:dyDescent="0.25">
      <c r="K2211" s="227"/>
      <c r="L2211" s="227"/>
    </row>
    <row r="2212" spans="11:12" x14ac:dyDescent="0.25">
      <c r="K2212" s="227"/>
      <c r="L2212" s="227"/>
    </row>
    <row r="2213" spans="11:12" x14ac:dyDescent="0.25">
      <c r="K2213" s="227"/>
      <c r="L2213" s="227"/>
    </row>
    <row r="2214" spans="11:12" x14ac:dyDescent="0.25">
      <c r="K2214" s="227"/>
      <c r="L2214" s="227"/>
    </row>
    <row r="2215" spans="11:12" x14ac:dyDescent="0.25">
      <c r="K2215" s="227"/>
      <c r="L2215" s="227"/>
    </row>
    <row r="2216" spans="11:12" x14ac:dyDescent="0.25">
      <c r="K2216" s="227"/>
      <c r="L2216" s="227"/>
    </row>
    <row r="2217" spans="11:12" x14ac:dyDescent="0.25">
      <c r="K2217" s="227"/>
      <c r="L2217" s="227"/>
    </row>
    <row r="2218" spans="11:12" x14ac:dyDescent="0.25">
      <c r="K2218" s="227"/>
      <c r="L2218" s="227"/>
    </row>
    <row r="2219" spans="11:12" x14ac:dyDescent="0.25">
      <c r="K2219" s="227"/>
      <c r="L2219" s="227"/>
    </row>
    <row r="2220" spans="11:12" x14ac:dyDescent="0.25">
      <c r="K2220" s="227"/>
      <c r="L2220" s="227"/>
    </row>
    <row r="2221" spans="11:12" x14ac:dyDescent="0.25">
      <c r="K2221" s="227"/>
      <c r="L2221" s="227"/>
    </row>
    <row r="2222" spans="11:12" x14ac:dyDescent="0.25">
      <c r="K2222" s="227"/>
      <c r="L2222" s="227"/>
    </row>
    <row r="2223" spans="11:12" x14ac:dyDescent="0.25">
      <c r="K2223" s="227"/>
      <c r="L2223" s="227"/>
    </row>
    <row r="2224" spans="11:12" x14ac:dyDescent="0.25">
      <c r="K2224" s="227"/>
      <c r="L2224" s="227"/>
    </row>
    <row r="2225" spans="11:12" x14ac:dyDescent="0.25">
      <c r="K2225" s="227"/>
      <c r="L2225" s="227"/>
    </row>
    <row r="2226" spans="11:12" x14ac:dyDescent="0.25">
      <c r="K2226" s="227"/>
      <c r="L2226" s="227"/>
    </row>
    <row r="2227" spans="11:12" x14ac:dyDescent="0.25">
      <c r="K2227" s="227"/>
      <c r="L2227" s="227"/>
    </row>
    <row r="2228" spans="11:12" x14ac:dyDescent="0.25">
      <c r="K2228" s="227"/>
      <c r="L2228" s="227"/>
    </row>
    <row r="2229" spans="11:12" x14ac:dyDescent="0.25">
      <c r="K2229" s="227"/>
      <c r="L2229" s="227"/>
    </row>
    <row r="2230" spans="11:12" x14ac:dyDescent="0.25">
      <c r="K2230" s="227"/>
      <c r="L2230" s="227"/>
    </row>
    <row r="2231" spans="11:12" x14ac:dyDescent="0.25">
      <c r="K2231" s="227"/>
      <c r="L2231" s="227"/>
    </row>
    <row r="2232" spans="11:12" x14ac:dyDescent="0.25">
      <c r="K2232" s="227"/>
      <c r="L2232" s="227"/>
    </row>
    <row r="2233" spans="11:12" x14ac:dyDescent="0.25">
      <c r="K2233" s="227"/>
      <c r="L2233" s="227"/>
    </row>
    <row r="2234" spans="11:12" x14ac:dyDescent="0.25">
      <c r="K2234" s="227"/>
      <c r="L2234" s="227"/>
    </row>
    <row r="2235" spans="11:12" x14ac:dyDescent="0.25">
      <c r="K2235" s="227"/>
      <c r="L2235" s="227"/>
    </row>
    <row r="2236" spans="11:12" x14ac:dyDescent="0.25">
      <c r="K2236" s="227"/>
      <c r="L2236" s="227"/>
    </row>
    <row r="2237" spans="11:12" x14ac:dyDescent="0.25">
      <c r="K2237" s="227"/>
      <c r="L2237" s="227"/>
    </row>
    <row r="2238" spans="11:12" x14ac:dyDescent="0.25">
      <c r="K2238" s="227"/>
      <c r="L2238" s="227"/>
    </row>
    <row r="2239" spans="11:12" x14ac:dyDescent="0.25">
      <c r="K2239" s="227"/>
      <c r="L2239" s="227"/>
    </row>
    <row r="2240" spans="11:12" x14ac:dyDescent="0.25">
      <c r="K2240" s="227"/>
      <c r="L2240" s="227"/>
    </row>
    <row r="2241" spans="11:12" x14ac:dyDescent="0.25">
      <c r="K2241" s="227"/>
      <c r="L2241" s="227"/>
    </row>
    <row r="2242" spans="11:12" x14ac:dyDescent="0.25">
      <c r="K2242" s="227"/>
      <c r="L2242" s="227"/>
    </row>
    <row r="2243" spans="11:12" x14ac:dyDescent="0.25">
      <c r="K2243" s="227"/>
      <c r="L2243" s="227"/>
    </row>
    <row r="2244" spans="11:12" x14ac:dyDescent="0.25">
      <c r="K2244" s="227"/>
      <c r="L2244" s="227"/>
    </row>
    <row r="2245" spans="11:12" x14ac:dyDescent="0.25">
      <c r="K2245" s="227"/>
      <c r="L2245" s="227"/>
    </row>
    <row r="2246" spans="11:12" x14ac:dyDescent="0.25">
      <c r="K2246" s="227"/>
      <c r="L2246" s="227"/>
    </row>
    <row r="2247" spans="11:12" x14ac:dyDescent="0.25">
      <c r="K2247" s="227"/>
      <c r="L2247" s="227"/>
    </row>
    <row r="2248" spans="11:12" x14ac:dyDescent="0.25">
      <c r="K2248" s="227"/>
      <c r="L2248" s="227"/>
    </row>
    <row r="2249" spans="11:12" x14ac:dyDescent="0.25">
      <c r="K2249" s="227"/>
      <c r="L2249" s="227"/>
    </row>
    <row r="2250" spans="11:12" x14ac:dyDescent="0.25">
      <c r="K2250" s="227"/>
      <c r="L2250" s="227"/>
    </row>
    <row r="2251" spans="11:12" x14ac:dyDescent="0.25">
      <c r="K2251" s="227"/>
      <c r="L2251" s="227"/>
    </row>
    <row r="2252" spans="11:12" x14ac:dyDescent="0.25">
      <c r="K2252" s="227"/>
      <c r="L2252" s="227"/>
    </row>
    <row r="2253" spans="11:12" x14ac:dyDescent="0.25">
      <c r="K2253" s="227"/>
      <c r="L2253" s="227"/>
    </row>
    <row r="2254" spans="11:12" x14ac:dyDescent="0.25">
      <c r="K2254" s="227"/>
      <c r="L2254" s="227"/>
    </row>
    <row r="2255" spans="11:12" x14ac:dyDescent="0.25">
      <c r="K2255" s="227"/>
      <c r="L2255" s="227"/>
    </row>
    <row r="2256" spans="11:12" x14ac:dyDescent="0.25">
      <c r="K2256" s="227"/>
      <c r="L2256" s="227"/>
    </row>
    <row r="2257" spans="11:12" x14ac:dyDescent="0.25">
      <c r="K2257" s="227"/>
      <c r="L2257" s="227"/>
    </row>
    <row r="2258" spans="11:12" x14ac:dyDescent="0.25">
      <c r="K2258" s="227"/>
      <c r="L2258" s="227"/>
    </row>
    <row r="2259" spans="11:12" x14ac:dyDescent="0.25">
      <c r="K2259" s="227"/>
      <c r="L2259" s="227"/>
    </row>
    <row r="2260" spans="11:12" x14ac:dyDescent="0.25">
      <c r="K2260" s="227"/>
      <c r="L2260" s="227"/>
    </row>
    <row r="2261" spans="11:12" x14ac:dyDescent="0.25">
      <c r="K2261" s="227"/>
      <c r="L2261" s="227"/>
    </row>
    <row r="2262" spans="11:12" x14ac:dyDescent="0.25">
      <c r="K2262" s="227"/>
      <c r="L2262" s="227"/>
    </row>
    <row r="2263" spans="11:12" x14ac:dyDescent="0.25">
      <c r="K2263" s="227"/>
      <c r="L2263" s="227"/>
    </row>
    <row r="2264" spans="11:12" x14ac:dyDescent="0.25">
      <c r="K2264" s="227"/>
      <c r="L2264" s="227"/>
    </row>
    <row r="2265" spans="11:12" x14ac:dyDescent="0.25">
      <c r="K2265" s="227"/>
      <c r="L2265" s="227"/>
    </row>
    <row r="2266" spans="11:12" x14ac:dyDescent="0.25">
      <c r="K2266" s="227"/>
      <c r="L2266" s="227"/>
    </row>
    <row r="2267" spans="11:12" x14ac:dyDescent="0.25">
      <c r="K2267" s="227"/>
      <c r="L2267" s="227"/>
    </row>
    <row r="2268" spans="11:12" x14ac:dyDescent="0.25">
      <c r="K2268" s="227"/>
      <c r="L2268" s="227"/>
    </row>
    <row r="2269" spans="11:12" x14ac:dyDescent="0.25">
      <c r="K2269" s="227"/>
      <c r="L2269" s="227"/>
    </row>
    <row r="2270" spans="11:12" x14ac:dyDescent="0.25">
      <c r="K2270" s="227"/>
      <c r="L2270" s="227"/>
    </row>
    <row r="2271" spans="11:12" x14ac:dyDescent="0.25">
      <c r="K2271" s="227"/>
      <c r="L2271" s="227"/>
    </row>
    <row r="2272" spans="11:12" x14ac:dyDescent="0.25">
      <c r="K2272" s="227"/>
      <c r="L2272" s="227"/>
    </row>
    <row r="2273" spans="11:12" x14ac:dyDescent="0.25">
      <c r="K2273" s="227"/>
      <c r="L2273" s="227"/>
    </row>
    <row r="2274" spans="11:12" x14ac:dyDescent="0.25">
      <c r="K2274" s="227"/>
      <c r="L2274" s="227"/>
    </row>
    <row r="2275" spans="11:12" x14ac:dyDescent="0.25">
      <c r="K2275" s="227"/>
      <c r="L2275" s="227"/>
    </row>
    <row r="2276" spans="11:12" x14ac:dyDescent="0.25">
      <c r="K2276" s="227"/>
      <c r="L2276" s="227"/>
    </row>
    <row r="2277" spans="11:12" x14ac:dyDescent="0.25">
      <c r="K2277" s="227"/>
      <c r="L2277" s="227"/>
    </row>
    <row r="2278" spans="11:12" x14ac:dyDescent="0.25">
      <c r="K2278" s="227"/>
      <c r="L2278" s="227"/>
    </row>
    <row r="2279" spans="11:12" x14ac:dyDescent="0.25">
      <c r="K2279" s="227"/>
      <c r="L2279" s="227"/>
    </row>
    <row r="2280" spans="11:12" x14ac:dyDescent="0.25">
      <c r="K2280" s="227"/>
      <c r="L2280" s="227"/>
    </row>
    <row r="2281" spans="11:12" x14ac:dyDescent="0.25">
      <c r="K2281" s="227"/>
      <c r="L2281" s="227"/>
    </row>
    <row r="2282" spans="11:12" x14ac:dyDescent="0.25">
      <c r="K2282" s="227"/>
      <c r="L2282" s="227"/>
    </row>
    <row r="2283" spans="11:12" x14ac:dyDescent="0.25">
      <c r="K2283" s="227"/>
      <c r="L2283" s="227"/>
    </row>
    <row r="2284" spans="11:12" x14ac:dyDescent="0.25">
      <c r="K2284" s="227"/>
      <c r="L2284" s="227"/>
    </row>
    <row r="2285" spans="11:12" x14ac:dyDescent="0.25">
      <c r="K2285" s="227"/>
      <c r="L2285" s="227"/>
    </row>
    <row r="2286" spans="11:12" x14ac:dyDescent="0.25">
      <c r="K2286" s="227"/>
      <c r="L2286" s="227"/>
    </row>
    <row r="2287" spans="11:12" x14ac:dyDescent="0.25">
      <c r="K2287" s="227"/>
      <c r="L2287" s="227"/>
    </row>
    <row r="2288" spans="11:12" x14ac:dyDescent="0.25">
      <c r="K2288" s="227"/>
      <c r="L2288" s="227"/>
    </row>
    <row r="2289" spans="11:12" x14ac:dyDescent="0.25">
      <c r="K2289" s="227"/>
      <c r="L2289" s="227"/>
    </row>
    <row r="2290" spans="11:12" x14ac:dyDescent="0.25">
      <c r="K2290" s="227"/>
      <c r="L2290" s="227"/>
    </row>
    <row r="2291" spans="11:12" x14ac:dyDescent="0.25">
      <c r="K2291" s="227"/>
      <c r="L2291" s="227"/>
    </row>
    <row r="2292" spans="11:12" x14ac:dyDescent="0.25">
      <c r="K2292" s="227"/>
      <c r="L2292" s="227"/>
    </row>
    <row r="2293" spans="11:12" x14ac:dyDescent="0.25">
      <c r="K2293" s="227"/>
      <c r="L2293" s="227"/>
    </row>
    <row r="2294" spans="11:12" x14ac:dyDescent="0.25">
      <c r="K2294" s="227"/>
      <c r="L2294" s="227"/>
    </row>
    <row r="2295" spans="11:12" x14ac:dyDescent="0.25">
      <c r="K2295" s="227"/>
      <c r="L2295" s="227"/>
    </row>
    <row r="2296" spans="11:12" x14ac:dyDescent="0.25">
      <c r="K2296" s="227"/>
      <c r="L2296" s="227"/>
    </row>
    <row r="2297" spans="11:12" x14ac:dyDescent="0.25">
      <c r="K2297" s="227"/>
      <c r="L2297" s="227"/>
    </row>
    <row r="2298" spans="11:12" x14ac:dyDescent="0.25">
      <c r="K2298" s="227"/>
      <c r="L2298" s="227"/>
    </row>
    <row r="2299" spans="11:12" x14ac:dyDescent="0.25">
      <c r="K2299" s="227"/>
      <c r="L2299" s="227"/>
    </row>
    <row r="2300" spans="11:12" x14ac:dyDescent="0.25">
      <c r="K2300" s="227"/>
      <c r="L2300" s="227"/>
    </row>
    <row r="2301" spans="11:12" x14ac:dyDescent="0.25">
      <c r="K2301" s="227"/>
      <c r="L2301" s="227"/>
    </row>
    <row r="2302" spans="11:12" x14ac:dyDescent="0.25">
      <c r="K2302" s="227"/>
      <c r="L2302" s="227"/>
    </row>
    <row r="2303" spans="11:12" x14ac:dyDescent="0.25">
      <c r="K2303" s="227"/>
      <c r="L2303" s="227"/>
    </row>
    <row r="2304" spans="11:12" x14ac:dyDescent="0.25">
      <c r="K2304" s="227"/>
      <c r="L2304" s="227"/>
    </row>
    <row r="2305" spans="11:12" x14ac:dyDescent="0.25">
      <c r="K2305" s="227"/>
      <c r="L2305" s="227"/>
    </row>
    <row r="2306" spans="11:12" x14ac:dyDescent="0.25">
      <c r="K2306" s="227"/>
      <c r="L2306" s="227"/>
    </row>
    <row r="2307" spans="11:12" x14ac:dyDescent="0.25">
      <c r="K2307" s="227"/>
      <c r="L2307" s="227"/>
    </row>
    <row r="2308" spans="11:12" x14ac:dyDescent="0.25">
      <c r="K2308" s="227"/>
      <c r="L2308" s="227"/>
    </row>
    <row r="2309" spans="11:12" x14ac:dyDescent="0.25">
      <c r="K2309" s="227"/>
      <c r="L2309" s="227"/>
    </row>
    <row r="2310" spans="11:12" x14ac:dyDescent="0.25">
      <c r="K2310" s="227"/>
      <c r="L2310" s="227"/>
    </row>
    <row r="2311" spans="11:12" x14ac:dyDescent="0.25">
      <c r="K2311" s="227"/>
      <c r="L2311" s="227"/>
    </row>
    <row r="2312" spans="11:12" x14ac:dyDescent="0.25">
      <c r="K2312" s="227"/>
      <c r="L2312" s="227"/>
    </row>
    <row r="2313" spans="11:12" x14ac:dyDescent="0.25">
      <c r="K2313" s="227"/>
      <c r="L2313" s="227"/>
    </row>
    <row r="2314" spans="11:12" x14ac:dyDescent="0.25">
      <c r="K2314" s="227"/>
      <c r="L2314" s="227"/>
    </row>
    <row r="2315" spans="11:12" x14ac:dyDescent="0.25">
      <c r="K2315" s="227"/>
      <c r="L2315" s="227"/>
    </row>
    <row r="2316" spans="11:12" x14ac:dyDescent="0.25">
      <c r="K2316" s="227"/>
      <c r="L2316" s="227"/>
    </row>
    <row r="2317" spans="11:12" x14ac:dyDescent="0.25">
      <c r="K2317" s="227"/>
      <c r="L2317" s="227"/>
    </row>
    <row r="2318" spans="11:12" x14ac:dyDescent="0.25">
      <c r="K2318" s="227"/>
      <c r="L2318" s="227"/>
    </row>
    <row r="2319" spans="11:12" x14ac:dyDescent="0.25">
      <c r="K2319" s="227"/>
      <c r="L2319" s="227"/>
    </row>
    <row r="2320" spans="11:12" x14ac:dyDescent="0.25">
      <c r="K2320" s="227"/>
      <c r="L2320" s="227"/>
    </row>
    <row r="2321" spans="11:12" x14ac:dyDescent="0.25">
      <c r="K2321" s="227"/>
      <c r="L2321" s="227"/>
    </row>
    <row r="2322" spans="11:12" x14ac:dyDescent="0.25">
      <c r="K2322" s="227"/>
      <c r="L2322" s="227"/>
    </row>
    <row r="2323" spans="11:12" x14ac:dyDescent="0.25">
      <c r="K2323" s="227"/>
      <c r="L2323" s="227"/>
    </row>
    <row r="2324" spans="11:12" x14ac:dyDescent="0.25">
      <c r="K2324" s="227"/>
      <c r="L2324" s="227"/>
    </row>
    <row r="2325" spans="11:12" x14ac:dyDescent="0.25">
      <c r="K2325" s="227"/>
      <c r="L2325" s="227"/>
    </row>
    <row r="2326" spans="11:12" x14ac:dyDescent="0.25">
      <c r="K2326" s="227"/>
      <c r="L2326" s="227"/>
    </row>
    <row r="2327" spans="11:12" x14ac:dyDescent="0.25">
      <c r="K2327" s="227"/>
      <c r="L2327" s="227"/>
    </row>
    <row r="2328" spans="11:12" x14ac:dyDescent="0.25">
      <c r="K2328" s="227"/>
      <c r="L2328" s="227"/>
    </row>
    <row r="2329" spans="11:12" x14ac:dyDescent="0.25">
      <c r="K2329" s="227"/>
      <c r="L2329" s="227"/>
    </row>
    <row r="2330" spans="11:12" x14ac:dyDescent="0.25">
      <c r="K2330" s="227"/>
      <c r="L2330" s="227"/>
    </row>
    <row r="2331" spans="11:12" x14ac:dyDescent="0.25">
      <c r="K2331" s="227"/>
      <c r="L2331" s="227"/>
    </row>
    <row r="2332" spans="11:12" x14ac:dyDescent="0.25">
      <c r="K2332" s="227"/>
      <c r="L2332" s="227"/>
    </row>
    <row r="2333" spans="11:12" x14ac:dyDescent="0.25">
      <c r="K2333" s="227"/>
      <c r="L2333" s="227"/>
    </row>
    <row r="2334" spans="11:12" x14ac:dyDescent="0.25">
      <c r="K2334" s="227"/>
      <c r="L2334" s="227"/>
    </row>
    <row r="2335" spans="11:12" x14ac:dyDescent="0.25">
      <c r="K2335" s="227"/>
      <c r="L2335" s="227"/>
    </row>
    <row r="2336" spans="11:12" x14ac:dyDescent="0.25">
      <c r="K2336" s="227"/>
      <c r="L2336" s="227"/>
    </row>
    <row r="2337" spans="11:12" x14ac:dyDescent="0.25">
      <c r="K2337" s="227"/>
      <c r="L2337" s="227"/>
    </row>
    <row r="2338" spans="11:12" x14ac:dyDescent="0.25">
      <c r="K2338" s="227"/>
      <c r="L2338" s="227"/>
    </row>
    <row r="2339" spans="11:12" x14ac:dyDescent="0.25">
      <c r="K2339" s="227"/>
      <c r="L2339" s="227"/>
    </row>
    <row r="2340" spans="11:12" x14ac:dyDescent="0.25">
      <c r="K2340" s="227"/>
      <c r="L2340" s="227"/>
    </row>
    <row r="2341" spans="11:12" x14ac:dyDescent="0.25">
      <c r="K2341" s="227"/>
      <c r="L2341" s="227"/>
    </row>
    <row r="2342" spans="11:12" x14ac:dyDescent="0.25">
      <c r="K2342" s="227"/>
      <c r="L2342" s="227"/>
    </row>
    <row r="2343" spans="11:12" x14ac:dyDescent="0.25">
      <c r="K2343" s="227"/>
      <c r="L2343" s="227"/>
    </row>
    <row r="2344" spans="11:12" x14ac:dyDescent="0.25">
      <c r="K2344" s="227"/>
      <c r="L2344" s="227"/>
    </row>
    <row r="2345" spans="11:12" x14ac:dyDescent="0.25">
      <c r="K2345" s="227"/>
      <c r="L2345" s="227"/>
    </row>
    <row r="2346" spans="11:12" x14ac:dyDescent="0.25">
      <c r="K2346" s="227"/>
      <c r="L2346" s="227"/>
    </row>
    <row r="2347" spans="11:12" x14ac:dyDescent="0.25">
      <c r="K2347" s="227"/>
      <c r="L2347" s="227"/>
    </row>
    <row r="2348" spans="11:12" x14ac:dyDescent="0.25">
      <c r="K2348" s="227"/>
      <c r="L2348" s="227"/>
    </row>
    <row r="2349" spans="11:12" x14ac:dyDescent="0.25">
      <c r="K2349" s="227"/>
      <c r="L2349" s="227"/>
    </row>
    <row r="2350" spans="11:12" x14ac:dyDescent="0.25">
      <c r="K2350" s="227"/>
      <c r="L2350" s="227"/>
    </row>
    <row r="2351" spans="11:12" x14ac:dyDescent="0.25">
      <c r="K2351" s="227"/>
      <c r="L2351" s="227"/>
    </row>
    <row r="2352" spans="11:12" x14ac:dyDescent="0.25">
      <c r="K2352" s="227"/>
      <c r="L2352" s="227"/>
    </row>
    <row r="2353" spans="11:12" x14ac:dyDescent="0.25">
      <c r="K2353" s="227"/>
      <c r="L2353" s="227"/>
    </row>
    <row r="2354" spans="11:12" x14ac:dyDescent="0.25">
      <c r="K2354" s="227"/>
      <c r="L2354" s="227"/>
    </row>
    <row r="2355" spans="11:12" x14ac:dyDescent="0.25">
      <c r="K2355" s="227"/>
      <c r="L2355" s="227"/>
    </row>
    <row r="2356" spans="11:12" x14ac:dyDescent="0.25">
      <c r="K2356" s="227"/>
      <c r="L2356" s="227"/>
    </row>
    <row r="2357" spans="11:12" x14ac:dyDescent="0.25">
      <c r="K2357" s="227"/>
      <c r="L2357" s="227"/>
    </row>
    <row r="2358" spans="11:12" x14ac:dyDescent="0.25">
      <c r="K2358" s="227"/>
      <c r="L2358" s="227"/>
    </row>
    <row r="2359" spans="11:12" x14ac:dyDescent="0.25">
      <c r="K2359" s="227"/>
      <c r="L2359" s="227"/>
    </row>
    <row r="2360" spans="11:12" x14ac:dyDescent="0.25">
      <c r="K2360" s="227"/>
      <c r="L2360" s="227"/>
    </row>
    <row r="2361" spans="11:12" x14ac:dyDescent="0.25">
      <c r="K2361" s="227"/>
      <c r="L2361" s="227"/>
    </row>
    <row r="2362" spans="11:12" x14ac:dyDescent="0.25">
      <c r="K2362" s="227"/>
      <c r="L2362" s="227"/>
    </row>
    <row r="2363" spans="11:12" x14ac:dyDescent="0.25">
      <c r="K2363" s="227"/>
      <c r="L2363" s="227"/>
    </row>
    <row r="2364" spans="11:12" x14ac:dyDescent="0.25">
      <c r="K2364" s="227"/>
      <c r="L2364" s="227"/>
    </row>
    <row r="2365" spans="11:12" x14ac:dyDescent="0.25">
      <c r="K2365" s="227"/>
      <c r="L2365" s="227"/>
    </row>
    <row r="2366" spans="11:12" x14ac:dyDescent="0.25">
      <c r="K2366" s="227"/>
      <c r="L2366" s="227"/>
    </row>
    <row r="2367" spans="11:12" x14ac:dyDescent="0.25">
      <c r="K2367" s="227"/>
      <c r="L2367" s="227"/>
    </row>
    <row r="2368" spans="11:12" x14ac:dyDescent="0.25">
      <c r="K2368" s="227"/>
      <c r="L2368" s="227"/>
    </row>
    <row r="2369" spans="11:12" x14ac:dyDescent="0.25">
      <c r="K2369" s="227"/>
      <c r="L2369" s="227"/>
    </row>
    <row r="2370" spans="11:12" x14ac:dyDescent="0.25">
      <c r="K2370" s="227"/>
      <c r="L2370" s="227"/>
    </row>
    <row r="2371" spans="11:12" x14ac:dyDescent="0.25">
      <c r="K2371" s="227"/>
      <c r="L2371" s="227"/>
    </row>
    <row r="2372" spans="11:12" x14ac:dyDescent="0.25">
      <c r="K2372" s="227"/>
      <c r="L2372" s="227"/>
    </row>
    <row r="2373" spans="11:12" x14ac:dyDescent="0.25">
      <c r="K2373" s="227"/>
      <c r="L2373" s="227"/>
    </row>
    <row r="2374" spans="11:12" x14ac:dyDescent="0.25">
      <c r="K2374" s="227"/>
      <c r="L2374" s="227"/>
    </row>
    <row r="2375" spans="11:12" x14ac:dyDescent="0.25">
      <c r="K2375" s="227"/>
      <c r="L2375" s="227"/>
    </row>
    <row r="2376" spans="11:12" x14ac:dyDescent="0.25">
      <c r="K2376" s="227"/>
      <c r="L2376" s="227"/>
    </row>
    <row r="2377" spans="11:12" x14ac:dyDescent="0.25">
      <c r="K2377" s="227"/>
      <c r="L2377" s="227"/>
    </row>
    <row r="2378" spans="11:12" x14ac:dyDescent="0.25">
      <c r="K2378" s="227"/>
      <c r="L2378" s="227"/>
    </row>
    <row r="2379" spans="11:12" x14ac:dyDescent="0.25">
      <c r="K2379" s="227"/>
      <c r="L2379" s="227"/>
    </row>
    <row r="2380" spans="11:12" x14ac:dyDescent="0.25">
      <c r="K2380" s="227"/>
      <c r="L2380" s="227"/>
    </row>
    <row r="2381" spans="11:12" x14ac:dyDescent="0.25">
      <c r="K2381" s="227"/>
      <c r="L2381" s="227"/>
    </row>
    <row r="2382" spans="11:12" x14ac:dyDescent="0.25">
      <c r="K2382" s="227"/>
      <c r="L2382" s="227"/>
    </row>
    <row r="2383" spans="11:12" x14ac:dyDescent="0.25">
      <c r="K2383" s="227"/>
      <c r="L2383" s="227"/>
    </row>
    <row r="2384" spans="11:12" x14ac:dyDescent="0.25">
      <c r="K2384" s="227"/>
      <c r="L2384" s="227"/>
    </row>
    <row r="2385" spans="11:12" x14ac:dyDescent="0.25">
      <c r="K2385" s="227"/>
      <c r="L2385" s="227"/>
    </row>
    <row r="2386" spans="11:12" x14ac:dyDescent="0.25">
      <c r="K2386" s="227"/>
      <c r="L2386" s="227"/>
    </row>
    <row r="2387" spans="11:12" x14ac:dyDescent="0.25">
      <c r="K2387" s="227"/>
      <c r="L2387" s="227"/>
    </row>
    <row r="2388" spans="11:12" x14ac:dyDescent="0.25">
      <c r="K2388" s="227"/>
      <c r="L2388" s="227"/>
    </row>
    <row r="2389" spans="11:12" x14ac:dyDescent="0.25">
      <c r="K2389" s="227"/>
      <c r="L2389" s="227"/>
    </row>
    <row r="2390" spans="11:12" x14ac:dyDescent="0.25">
      <c r="K2390" s="227"/>
      <c r="L2390" s="227"/>
    </row>
    <row r="2391" spans="11:12" x14ac:dyDescent="0.25">
      <c r="K2391" s="227"/>
      <c r="L2391" s="227"/>
    </row>
    <row r="2392" spans="11:12" x14ac:dyDescent="0.25">
      <c r="K2392" s="227"/>
      <c r="L2392" s="227"/>
    </row>
    <row r="2393" spans="11:12" x14ac:dyDescent="0.25">
      <c r="K2393" s="227"/>
      <c r="L2393" s="227"/>
    </row>
    <row r="2394" spans="11:12" x14ac:dyDescent="0.25">
      <c r="K2394" s="227"/>
      <c r="L2394" s="227"/>
    </row>
    <row r="2395" spans="11:12" x14ac:dyDescent="0.25">
      <c r="K2395" s="227"/>
      <c r="L2395" s="227"/>
    </row>
    <row r="2396" spans="11:12" x14ac:dyDescent="0.25">
      <c r="K2396" s="227"/>
      <c r="L2396" s="227"/>
    </row>
    <row r="2397" spans="11:12" x14ac:dyDescent="0.25">
      <c r="K2397" s="227"/>
      <c r="L2397" s="227"/>
    </row>
    <row r="2398" spans="11:12" x14ac:dyDescent="0.25">
      <c r="K2398" s="227"/>
      <c r="L2398" s="227"/>
    </row>
    <row r="2399" spans="11:12" x14ac:dyDescent="0.25">
      <c r="K2399" s="227"/>
      <c r="L2399" s="227"/>
    </row>
    <row r="2400" spans="11:12" x14ac:dyDescent="0.25">
      <c r="K2400" s="227"/>
      <c r="L2400" s="227"/>
    </row>
    <row r="2401" spans="11:12" x14ac:dyDescent="0.25">
      <c r="K2401" s="227"/>
      <c r="L2401" s="227"/>
    </row>
    <row r="2402" spans="11:12" x14ac:dyDescent="0.25">
      <c r="K2402" s="227"/>
      <c r="L2402" s="227"/>
    </row>
    <row r="2403" spans="11:12" x14ac:dyDescent="0.25">
      <c r="K2403" s="227"/>
      <c r="L2403" s="227"/>
    </row>
    <row r="2404" spans="11:12" x14ac:dyDescent="0.25">
      <c r="K2404" s="227"/>
      <c r="L2404" s="227"/>
    </row>
    <row r="2405" spans="11:12" x14ac:dyDescent="0.25">
      <c r="K2405" s="227"/>
      <c r="L2405" s="227"/>
    </row>
    <row r="2406" spans="11:12" x14ac:dyDescent="0.25">
      <c r="K2406" s="227"/>
      <c r="L2406" s="227"/>
    </row>
    <row r="2407" spans="11:12" x14ac:dyDescent="0.25">
      <c r="K2407" s="227"/>
      <c r="L2407" s="227"/>
    </row>
    <row r="2408" spans="11:12" x14ac:dyDescent="0.25">
      <c r="K2408" s="227"/>
      <c r="L2408" s="227"/>
    </row>
    <row r="2409" spans="11:12" x14ac:dyDescent="0.25">
      <c r="K2409" s="227"/>
      <c r="L2409" s="227"/>
    </row>
    <row r="2410" spans="11:12" x14ac:dyDescent="0.25">
      <c r="K2410" s="227"/>
      <c r="L2410" s="227"/>
    </row>
    <row r="2411" spans="11:12" x14ac:dyDescent="0.25">
      <c r="K2411" s="227"/>
      <c r="L2411" s="227"/>
    </row>
    <row r="2412" spans="11:12" x14ac:dyDescent="0.25">
      <c r="K2412" s="227"/>
      <c r="L2412" s="227"/>
    </row>
    <row r="2413" spans="11:12" x14ac:dyDescent="0.25">
      <c r="K2413" s="227"/>
      <c r="L2413" s="227"/>
    </row>
    <row r="2414" spans="11:12" x14ac:dyDescent="0.25">
      <c r="K2414" s="227"/>
      <c r="L2414" s="227"/>
    </row>
    <row r="2415" spans="11:12" x14ac:dyDescent="0.25">
      <c r="K2415" s="227"/>
      <c r="L2415" s="227"/>
    </row>
    <row r="2416" spans="11:12" x14ac:dyDescent="0.25">
      <c r="K2416" s="227"/>
      <c r="L2416" s="227"/>
    </row>
    <row r="2417" spans="11:12" x14ac:dyDescent="0.25">
      <c r="K2417" s="227"/>
      <c r="L2417" s="227"/>
    </row>
    <row r="2418" spans="11:12" x14ac:dyDescent="0.25">
      <c r="K2418" s="227"/>
      <c r="L2418" s="227"/>
    </row>
    <row r="2419" spans="11:12" x14ac:dyDescent="0.25">
      <c r="K2419" s="227"/>
      <c r="L2419" s="227"/>
    </row>
    <row r="2420" spans="11:12" x14ac:dyDescent="0.25">
      <c r="K2420" s="227"/>
      <c r="L2420" s="227"/>
    </row>
    <row r="2421" spans="11:12" x14ac:dyDescent="0.25">
      <c r="K2421" s="227"/>
      <c r="L2421" s="227"/>
    </row>
    <row r="2422" spans="11:12" x14ac:dyDescent="0.25">
      <c r="K2422" s="227"/>
      <c r="L2422" s="227"/>
    </row>
    <row r="2423" spans="11:12" x14ac:dyDescent="0.25">
      <c r="K2423" s="227"/>
      <c r="L2423" s="227"/>
    </row>
    <row r="2424" spans="11:12" x14ac:dyDescent="0.25">
      <c r="K2424" s="227"/>
      <c r="L2424" s="227"/>
    </row>
    <row r="2425" spans="11:12" x14ac:dyDescent="0.25">
      <c r="K2425" s="227"/>
      <c r="L2425" s="227"/>
    </row>
    <row r="2426" spans="11:12" x14ac:dyDescent="0.25">
      <c r="K2426" s="227"/>
      <c r="L2426" s="227"/>
    </row>
    <row r="2427" spans="11:12" x14ac:dyDescent="0.25">
      <c r="K2427" s="227"/>
      <c r="L2427" s="227"/>
    </row>
    <row r="2428" spans="11:12" x14ac:dyDescent="0.25">
      <c r="K2428" s="227"/>
      <c r="L2428" s="227"/>
    </row>
    <row r="2429" spans="11:12" x14ac:dyDescent="0.25">
      <c r="K2429" s="227"/>
      <c r="L2429" s="227"/>
    </row>
    <row r="2430" spans="11:12" x14ac:dyDescent="0.25">
      <c r="K2430" s="227"/>
      <c r="L2430" s="227"/>
    </row>
    <row r="2431" spans="11:12" x14ac:dyDescent="0.25">
      <c r="K2431" s="227"/>
      <c r="L2431" s="227"/>
    </row>
    <row r="2432" spans="11:12" x14ac:dyDescent="0.25">
      <c r="K2432" s="227"/>
      <c r="L2432" s="227"/>
    </row>
    <row r="2433" spans="11:12" x14ac:dyDescent="0.25">
      <c r="K2433" s="227"/>
      <c r="L2433" s="227"/>
    </row>
    <row r="2434" spans="11:12" x14ac:dyDescent="0.25">
      <c r="K2434" s="227"/>
      <c r="L2434" s="227"/>
    </row>
    <row r="2435" spans="11:12" x14ac:dyDescent="0.25">
      <c r="K2435" s="227"/>
      <c r="L2435" s="227"/>
    </row>
    <row r="2436" spans="11:12" x14ac:dyDescent="0.25">
      <c r="K2436" s="227"/>
      <c r="L2436" s="227"/>
    </row>
    <row r="2437" spans="11:12" x14ac:dyDescent="0.25">
      <c r="K2437" s="227"/>
      <c r="L2437" s="227"/>
    </row>
    <row r="2438" spans="11:12" x14ac:dyDescent="0.25">
      <c r="K2438" s="227"/>
      <c r="L2438" s="227"/>
    </row>
    <row r="2439" spans="11:12" x14ac:dyDescent="0.25">
      <c r="K2439" s="227"/>
      <c r="L2439" s="227"/>
    </row>
    <row r="2440" spans="11:12" x14ac:dyDescent="0.25">
      <c r="K2440" s="227"/>
      <c r="L2440" s="227"/>
    </row>
    <row r="2441" spans="11:12" x14ac:dyDescent="0.25">
      <c r="K2441" s="227"/>
      <c r="L2441" s="227"/>
    </row>
    <row r="2442" spans="11:12" x14ac:dyDescent="0.25">
      <c r="K2442" s="227"/>
      <c r="L2442" s="227"/>
    </row>
    <row r="2443" spans="11:12" x14ac:dyDescent="0.25">
      <c r="K2443" s="227"/>
      <c r="L2443" s="227"/>
    </row>
    <row r="2444" spans="11:12" x14ac:dyDescent="0.25">
      <c r="K2444" s="227"/>
      <c r="L2444" s="227"/>
    </row>
    <row r="2445" spans="11:12" x14ac:dyDescent="0.25">
      <c r="K2445" s="227"/>
      <c r="L2445" s="227"/>
    </row>
    <row r="2446" spans="11:12" x14ac:dyDescent="0.25">
      <c r="K2446" s="227"/>
      <c r="L2446" s="227"/>
    </row>
    <row r="2447" spans="11:12" x14ac:dyDescent="0.25">
      <c r="K2447" s="227"/>
      <c r="L2447" s="227"/>
    </row>
    <row r="2448" spans="11:12" x14ac:dyDescent="0.25">
      <c r="K2448" s="227"/>
      <c r="L2448" s="227"/>
    </row>
    <row r="2449" spans="11:12" x14ac:dyDescent="0.25">
      <c r="K2449" s="227"/>
      <c r="L2449" s="227"/>
    </row>
    <row r="2450" spans="11:12" x14ac:dyDescent="0.25">
      <c r="K2450" s="227"/>
      <c r="L2450" s="227"/>
    </row>
    <row r="2451" spans="11:12" x14ac:dyDescent="0.25">
      <c r="K2451" s="227"/>
      <c r="L2451" s="227"/>
    </row>
    <row r="2452" spans="11:12" x14ac:dyDescent="0.25">
      <c r="K2452" s="227"/>
      <c r="L2452" s="227"/>
    </row>
    <row r="2453" spans="11:12" x14ac:dyDescent="0.25">
      <c r="K2453" s="227"/>
      <c r="L2453" s="227"/>
    </row>
    <row r="2454" spans="11:12" x14ac:dyDescent="0.25">
      <c r="K2454" s="227"/>
      <c r="L2454" s="227"/>
    </row>
    <row r="2455" spans="11:12" x14ac:dyDescent="0.25">
      <c r="K2455" s="227"/>
      <c r="L2455" s="227"/>
    </row>
    <row r="2456" spans="11:12" x14ac:dyDescent="0.25">
      <c r="K2456" s="227"/>
      <c r="L2456" s="227"/>
    </row>
    <row r="2457" spans="11:12" x14ac:dyDescent="0.25">
      <c r="K2457" s="227"/>
      <c r="L2457" s="227"/>
    </row>
    <row r="2458" spans="11:12" x14ac:dyDescent="0.25">
      <c r="K2458" s="227"/>
      <c r="L2458" s="227"/>
    </row>
    <row r="2459" spans="11:12" x14ac:dyDescent="0.25">
      <c r="K2459" s="227"/>
      <c r="L2459" s="227"/>
    </row>
    <row r="2460" spans="11:12" x14ac:dyDescent="0.25">
      <c r="K2460" s="227"/>
      <c r="L2460" s="227"/>
    </row>
    <row r="2461" spans="11:12" x14ac:dyDescent="0.25">
      <c r="K2461" s="227"/>
      <c r="L2461" s="227"/>
    </row>
    <row r="2462" spans="11:12" x14ac:dyDescent="0.25">
      <c r="K2462" s="227"/>
      <c r="L2462" s="227"/>
    </row>
    <row r="2463" spans="11:12" x14ac:dyDescent="0.25">
      <c r="K2463" s="227"/>
      <c r="L2463" s="227"/>
    </row>
    <row r="2464" spans="11:12" x14ac:dyDescent="0.25">
      <c r="K2464" s="227"/>
      <c r="L2464" s="227"/>
    </row>
    <row r="2465" spans="11:12" x14ac:dyDescent="0.25">
      <c r="K2465" s="227"/>
      <c r="L2465" s="227"/>
    </row>
    <row r="2466" spans="11:12" x14ac:dyDescent="0.25">
      <c r="K2466" s="227"/>
      <c r="L2466" s="227"/>
    </row>
    <row r="2467" spans="11:12" x14ac:dyDescent="0.25">
      <c r="K2467" s="227"/>
      <c r="L2467" s="227"/>
    </row>
    <row r="2468" spans="11:12" x14ac:dyDescent="0.25">
      <c r="K2468" s="227"/>
      <c r="L2468" s="227"/>
    </row>
    <row r="2469" spans="11:12" x14ac:dyDescent="0.25">
      <c r="K2469" s="227"/>
      <c r="L2469" s="227"/>
    </row>
    <row r="2470" spans="11:12" x14ac:dyDescent="0.25">
      <c r="K2470" s="227"/>
      <c r="L2470" s="227"/>
    </row>
    <row r="2471" spans="11:12" x14ac:dyDescent="0.25">
      <c r="K2471" s="227"/>
      <c r="L2471" s="227"/>
    </row>
    <row r="2472" spans="11:12" x14ac:dyDescent="0.25">
      <c r="K2472" s="227"/>
      <c r="L2472" s="227"/>
    </row>
    <row r="2473" spans="11:12" x14ac:dyDescent="0.25">
      <c r="K2473" s="227"/>
      <c r="L2473" s="227"/>
    </row>
    <row r="2474" spans="11:12" x14ac:dyDescent="0.25">
      <c r="K2474" s="227"/>
      <c r="L2474" s="227"/>
    </row>
    <row r="2475" spans="11:12" x14ac:dyDescent="0.25">
      <c r="K2475" s="227"/>
      <c r="L2475" s="227"/>
    </row>
    <row r="2476" spans="11:12" x14ac:dyDescent="0.25">
      <c r="K2476" s="227"/>
      <c r="L2476" s="227"/>
    </row>
    <row r="2477" spans="11:12" x14ac:dyDescent="0.25">
      <c r="K2477" s="227"/>
      <c r="L2477" s="227"/>
    </row>
    <row r="2478" spans="11:12" x14ac:dyDescent="0.25">
      <c r="K2478" s="227"/>
      <c r="L2478" s="227"/>
    </row>
    <row r="2479" spans="11:12" x14ac:dyDescent="0.25">
      <c r="K2479" s="227"/>
      <c r="L2479" s="227"/>
    </row>
    <row r="2480" spans="11:12" x14ac:dyDescent="0.25">
      <c r="K2480" s="227"/>
      <c r="L2480" s="227"/>
    </row>
    <row r="2481" spans="11:12" x14ac:dyDescent="0.25">
      <c r="K2481" s="227"/>
      <c r="L2481" s="227"/>
    </row>
    <row r="2482" spans="11:12" x14ac:dyDescent="0.25">
      <c r="K2482" s="227"/>
      <c r="L2482" s="227"/>
    </row>
    <row r="2483" spans="11:12" x14ac:dyDescent="0.25">
      <c r="K2483" s="227"/>
      <c r="L2483" s="227"/>
    </row>
    <row r="2484" spans="11:12" x14ac:dyDescent="0.25">
      <c r="K2484" s="227"/>
      <c r="L2484" s="227"/>
    </row>
    <row r="2485" spans="11:12" x14ac:dyDescent="0.25">
      <c r="K2485" s="227"/>
      <c r="L2485" s="227"/>
    </row>
    <row r="2486" spans="11:12" x14ac:dyDescent="0.25">
      <c r="K2486" s="227"/>
      <c r="L2486" s="227"/>
    </row>
    <row r="2487" spans="11:12" x14ac:dyDescent="0.25">
      <c r="K2487" s="227"/>
      <c r="L2487" s="227"/>
    </row>
    <row r="2488" spans="11:12" x14ac:dyDescent="0.25">
      <c r="K2488" s="227"/>
      <c r="L2488" s="227"/>
    </row>
    <row r="2489" spans="11:12" x14ac:dyDescent="0.25">
      <c r="K2489" s="227"/>
      <c r="L2489" s="227"/>
    </row>
    <row r="2490" spans="11:12" x14ac:dyDescent="0.25">
      <c r="K2490" s="227"/>
      <c r="L2490" s="227"/>
    </row>
    <row r="2491" spans="11:12" x14ac:dyDescent="0.25">
      <c r="K2491" s="227"/>
      <c r="L2491" s="227"/>
    </row>
    <row r="2492" spans="11:12" x14ac:dyDescent="0.25">
      <c r="K2492" s="227"/>
      <c r="L2492" s="227"/>
    </row>
    <row r="2493" spans="11:12" x14ac:dyDescent="0.25">
      <c r="K2493" s="227"/>
      <c r="L2493" s="227"/>
    </row>
    <row r="2494" spans="11:12" x14ac:dyDescent="0.25">
      <c r="K2494" s="227"/>
      <c r="L2494" s="227"/>
    </row>
    <row r="2495" spans="11:12" x14ac:dyDescent="0.25">
      <c r="K2495" s="227"/>
      <c r="L2495" s="227"/>
    </row>
    <row r="2496" spans="11:12" x14ac:dyDescent="0.25">
      <c r="K2496" s="227"/>
      <c r="L2496" s="227"/>
    </row>
    <row r="2497" spans="11:12" x14ac:dyDescent="0.25">
      <c r="K2497" s="227"/>
      <c r="L2497" s="227"/>
    </row>
    <row r="2498" spans="11:12" x14ac:dyDescent="0.25">
      <c r="K2498" s="227"/>
      <c r="L2498" s="227"/>
    </row>
    <row r="2499" spans="11:12" x14ac:dyDescent="0.25">
      <c r="K2499" s="227"/>
      <c r="L2499" s="227"/>
    </row>
    <row r="2500" spans="11:12" x14ac:dyDescent="0.25">
      <c r="K2500" s="227"/>
      <c r="L2500" s="227"/>
    </row>
    <row r="2501" spans="11:12" x14ac:dyDescent="0.25">
      <c r="K2501" s="227"/>
      <c r="L2501" s="227"/>
    </row>
    <row r="2502" spans="11:12" x14ac:dyDescent="0.25">
      <c r="K2502" s="227"/>
      <c r="L2502" s="227"/>
    </row>
    <row r="2503" spans="11:12" x14ac:dyDescent="0.25">
      <c r="K2503" s="227"/>
      <c r="L2503" s="227"/>
    </row>
    <row r="2504" spans="11:12" x14ac:dyDescent="0.25">
      <c r="K2504" s="227"/>
      <c r="L2504" s="227"/>
    </row>
    <row r="2505" spans="11:12" x14ac:dyDescent="0.25">
      <c r="K2505" s="227"/>
      <c r="L2505" s="227"/>
    </row>
    <row r="2506" spans="11:12" x14ac:dyDescent="0.25">
      <c r="K2506" s="227"/>
      <c r="L2506" s="227"/>
    </row>
    <row r="2507" spans="11:12" x14ac:dyDescent="0.25">
      <c r="K2507" s="227"/>
      <c r="L2507" s="227"/>
    </row>
    <row r="2508" spans="11:12" x14ac:dyDescent="0.25">
      <c r="K2508" s="227"/>
      <c r="L2508" s="227"/>
    </row>
    <row r="2509" spans="11:12" x14ac:dyDescent="0.25">
      <c r="K2509" s="227"/>
      <c r="L2509" s="227"/>
    </row>
    <row r="2510" spans="11:12" x14ac:dyDescent="0.25">
      <c r="K2510" s="227"/>
      <c r="L2510" s="227"/>
    </row>
    <row r="2511" spans="11:12" x14ac:dyDescent="0.25">
      <c r="K2511" s="227"/>
      <c r="L2511" s="227"/>
    </row>
    <row r="2512" spans="11:12" x14ac:dyDescent="0.25">
      <c r="K2512" s="227"/>
      <c r="L2512" s="227"/>
    </row>
    <row r="2513" spans="11:12" x14ac:dyDescent="0.25">
      <c r="K2513" s="227"/>
      <c r="L2513" s="227"/>
    </row>
    <row r="2514" spans="11:12" x14ac:dyDescent="0.25">
      <c r="K2514" s="227"/>
      <c r="L2514" s="227"/>
    </row>
    <row r="2515" spans="11:12" x14ac:dyDescent="0.25">
      <c r="K2515" s="227"/>
      <c r="L2515" s="227"/>
    </row>
    <row r="2516" spans="11:12" x14ac:dyDescent="0.25">
      <c r="K2516" s="227"/>
      <c r="L2516" s="227"/>
    </row>
    <row r="2517" spans="11:12" x14ac:dyDescent="0.25">
      <c r="K2517" s="227"/>
      <c r="L2517" s="227"/>
    </row>
    <row r="2518" spans="11:12" x14ac:dyDescent="0.25">
      <c r="K2518" s="227"/>
      <c r="L2518" s="227"/>
    </row>
    <row r="2519" spans="11:12" x14ac:dyDescent="0.25">
      <c r="K2519" s="227"/>
      <c r="L2519" s="227"/>
    </row>
    <row r="2520" spans="11:12" x14ac:dyDescent="0.25">
      <c r="K2520" s="227"/>
      <c r="L2520" s="227"/>
    </row>
    <row r="2521" spans="11:12" x14ac:dyDescent="0.25">
      <c r="K2521" s="227"/>
      <c r="L2521" s="227"/>
    </row>
    <row r="2522" spans="11:12" x14ac:dyDescent="0.25">
      <c r="K2522" s="227"/>
      <c r="L2522" s="227"/>
    </row>
    <row r="2523" spans="11:12" x14ac:dyDescent="0.25">
      <c r="K2523" s="227"/>
      <c r="L2523" s="227"/>
    </row>
    <row r="2524" spans="11:12" x14ac:dyDescent="0.25">
      <c r="K2524" s="227"/>
      <c r="L2524" s="227"/>
    </row>
    <row r="2525" spans="11:12" x14ac:dyDescent="0.25">
      <c r="K2525" s="227"/>
      <c r="L2525" s="227"/>
    </row>
    <row r="2526" spans="11:12" x14ac:dyDescent="0.25">
      <c r="K2526" s="227"/>
      <c r="L2526" s="227"/>
    </row>
    <row r="2527" spans="11:12" x14ac:dyDescent="0.25">
      <c r="K2527" s="227"/>
      <c r="L2527" s="227"/>
    </row>
    <row r="2528" spans="11:12" x14ac:dyDescent="0.25">
      <c r="K2528" s="227"/>
      <c r="L2528" s="227"/>
    </row>
    <row r="2529" spans="11:12" x14ac:dyDescent="0.25">
      <c r="K2529" s="227"/>
      <c r="L2529" s="227"/>
    </row>
    <row r="2530" spans="11:12" x14ac:dyDescent="0.25">
      <c r="K2530" s="227"/>
      <c r="L2530" s="227"/>
    </row>
    <row r="2531" spans="11:12" x14ac:dyDescent="0.25">
      <c r="K2531" s="227"/>
      <c r="L2531" s="227"/>
    </row>
    <row r="2532" spans="11:12" x14ac:dyDescent="0.25">
      <c r="K2532" s="227"/>
      <c r="L2532" s="227"/>
    </row>
    <row r="2533" spans="11:12" x14ac:dyDescent="0.25">
      <c r="K2533" s="227"/>
      <c r="L2533" s="227"/>
    </row>
    <row r="2534" spans="11:12" x14ac:dyDescent="0.25">
      <c r="K2534" s="227"/>
      <c r="L2534" s="227"/>
    </row>
    <row r="2535" spans="11:12" x14ac:dyDescent="0.25">
      <c r="K2535" s="227"/>
      <c r="L2535" s="227"/>
    </row>
    <row r="2536" spans="11:12" x14ac:dyDescent="0.25">
      <c r="K2536" s="227"/>
      <c r="L2536" s="227"/>
    </row>
    <row r="2537" spans="11:12" x14ac:dyDescent="0.25">
      <c r="K2537" s="227"/>
      <c r="L2537" s="227"/>
    </row>
    <row r="2538" spans="11:12" x14ac:dyDescent="0.25">
      <c r="K2538" s="227"/>
      <c r="L2538" s="227"/>
    </row>
    <row r="2539" spans="11:12" x14ac:dyDescent="0.25">
      <c r="K2539" s="227"/>
      <c r="L2539" s="227"/>
    </row>
    <row r="2540" spans="11:12" x14ac:dyDescent="0.25">
      <c r="K2540" s="227"/>
      <c r="L2540" s="227"/>
    </row>
    <row r="2541" spans="11:12" x14ac:dyDescent="0.25">
      <c r="K2541" s="227"/>
      <c r="L2541" s="227"/>
    </row>
    <row r="2542" spans="11:12" x14ac:dyDescent="0.25">
      <c r="K2542" s="227"/>
      <c r="L2542" s="227"/>
    </row>
    <row r="2543" spans="11:12" x14ac:dyDescent="0.25">
      <c r="K2543" s="227"/>
      <c r="L2543" s="227"/>
    </row>
    <row r="2544" spans="11:12" x14ac:dyDescent="0.25">
      <c r="K2544" s="227"/>
      <c r="L2544" s="227"/>
    </row>
    <row r="2545" spans="11:12" x14ac:dyDescent="0.25">
      <c r="K2545" s="227"/>
      <c r="L2545" s="227"/>
    </row>
    <row r="2546" spans="11:12" x14ac:dyDescent="0.25">
      <c r="K2546" s="227"/>
      <c r="L2546" s="227"/>
    </row>
    <row r="2547" spans="11:12" x14ac:dyDescent="0.25">
      <c r="K2547" s="227"/>
      <c r="L2547" s="227"/>
    </row>
    <row r="2548" spans="11:12" x14ac:dyDescent="0.25">
      <c r="K2548" s="227"/>
      <c r="L2548" s="227"/>
    </row>
    <row r="2549" spans="11:12" x14ac:dyDescent="0.25">
      <c r="K2549" s="227"/>
      <c r="L2549" s="227"/>
    </row>
    <row r="2550" spans="11:12" x14ac:dyDescent="0.25">
      <c r="K2550" s="227"/>
      <c r="L2550" s="227"/>
    </row>
    <row r="2551" spans="11:12" x14ac:dyDescent="0.25">
      <c r="K2551" s="227"/>
      <c r="L2551" s="227"/>
    </row>
    <row r="2552" spans="11:12" x14ac:dyDescent="0.25">
      <c r="K2552" s="227"/>
      <c r="L2552" s="227"/>
    </row>
    <row r="2553" spans="11:12" x14ac:dyDescent="0.25">
      <c r="K2553" s="227"/>
      <c r="L2553" s="227"/>
    </row>
    <row r="2554" spans="11:12" x14ac:dyDescent="0.25">
      <c r="K2554" s="227"/>
      <c r="L2554" s="227"/>
    </row>
    <row r="2555" spans="11:12" x14ac:dyDescent="0.25">
      <c r="K2555" s="227"/>
      <c r="L2555" s="227"/>
    </row>
    <row r="2556" spans="11:12" x14ac:dyDescent="0.25">
      <c r="K2556" s="227"/>
      <c r="L2556" s="227"/>
    </row>
    <row r="2557" spans="11:12" x14ac:dyDescent="0.25">
      <c r="K2557" s="227"/>
      <c r="L2557" s="227"/>
    </row>
    <row r="2558" spans="11:12" x14ac:dyDescent="0.25">
      <c r="K2558" s="227"/>
      <c r="L2558" s="227"/>
    </row>
    <row r="2559" spans="11:12" x14ac:dyDescent="0.25">
      <c r="K2559" s="227"/>
      <c r="L2559" s="227"/>
    </row>
    <row r="2560" spans="11:12" x14ac:dyDescent="0.25">
      <c r="K2560" s="227"/>
      <c r="L2560" s="227"/>
    </row>
    <row r="2561" spans="11:12" x14ac:dyDescent="0.25">
      <c r="K2561" s="227"/>
      <c r="L2561" s="227"/>
    </row>
    <row r="2562" spans="11:12" x14ac:dyDescent="0.25">
      <c r="K2562" s="227"/>
      <c r="L2562" s="227"/>
    </row>
    <row r="2563" spans="11:12" x14ac:dyDescent="0.25">
      <c r="K2563" s="227"/>
      <c r="L2563" s="227"/>
    </row>
    <row r="2564" spans="11:12" x14ac:dyDescent="0.25">
      <c r="K2564" s="227"/>
      <c r="L2564" s="227"/>
    </row>
    <row r="2565" spans="11:12" x14ac:dyDescent="0.25">
      <c r="K2565" s="227"/>
      <c r="L2565" s="227"/>
    </row>
    <row r="2566" spans="11:12" x14ac:dyDescent="0.25">
      <c r="K2566" s="227"/>
      <c r="L2566" s="227"/>
    </row>
    <row r="2567" spans="11:12" x14ac:dyDescent="0.25">
      <c r="K2567" s="227"/>
      <c r="L2567" s="227"/>
    </row>
    <row r="2568" spans="11:12" x14ac:dyDescent="0.25">
      <c r="K2568" s="227"/>
      <c r="L2568" s="227"/>
    </row>
    <row r="2569" spans="11:12" x14ac:dyDescent="0.25">
      <c r="K2569" s="227"/>
      <c r="L2569" s="227"/>
    </row>
    <row r="2570" spans="11:12" x14ac:dyDescent="0.25">
      <c r="K2570" s="227"/>
      <c r="L2570" s="227"/>
    </row>
    <row r="2571" spans="11:12" x14ac:dyDescent="0.25">
      <c r="K2571" s="227"/>
      <c r="L2571" s="227"/>
    </row>
    <row r="2572" spans="11:12" x14ac:dyDescent="0.25">
      <c r="K2572" s="227"/>
      <c r="L2572" s="227"/>
    </row>
    <row r="2573" spans="11:12" x14ac:dyDescent="0.25">
      <c r="K2573" s="227"/>
      <c r="L2573" s="227"/>
    </row>
    <row r="2574" spans="11:12" x14ac:dyDescent="0.25">
      <c r="K2574" s="227"/>
      <c r="L2574" s="227"/>
    </row>
    <row r="2575" spans="11:12" x14ac:dyDescent="0.25">
      <c r="K2575" s="227"/>
      <c r="L2575" s="227"/>
    </row>
    <row r="2576" spans="11:12" x14ac:dyDescent="0.25">
      <c r="K2576" s="227"/>
      <c r="L2576" s="227"/>
    </row>
    <row r="2577" spans="11:12" x14ac:dyDescent="0.25">
      <c r="K2577" s="227"/>
      <c r="L2577" s="227"/>
    </row>
    <row r="2578" spans="11:12" x14ac:dyDescent="0.25">
      <c r="K2578" s="227"/>
      <c r="L2578" s="227"/>
    </row>
    <row r="2579" spans="11:12" x14ac:dyDescent="0.25">
      <c r="K2579" s="227"/>
      <c r="L2579" s="227"/>
    </row>
    <row r="2580" spans="11:12" x14ac:dyDescent="0.25">
      <c r="K2580" s="227"/>
      <c r="L2580" s="227"/>
    </row>
    <row r="2581" spans="11:12" x14ac:dyDescent="0.25">
      <c r="K2581" s="227"/>
      <c r="L2581" s="227"/>
    </row>
    <row r="2582" spans="11:12" x14ac:dyDescent="0.25">
      <c r="K2582" s="227"/>
      <c r="L2582" s="227"/>
    </row>
    <row r="2583" spans="11:12" x14ac:dyDescent="0.25">
      <c r="K2583" s="227"/>
      <c r="L2583" s="227"/>
    </row>
    <row r="2584" spans="11:12" x14ac:dyDescent="0.25">
      <c r="K2584" s="227"/>
      <c r="L2584" s="227"/>
    </row>
    <row r="2585" spans="11:12" x14ac:dyDescent="0.25">
      <c r="K2585" s="227"/>
      <c r="L2585" s="227"/>
    </row>
    <row r="2586" spans="11:12" x14ac:dyDescent="0.25">
      <c r="K2586" s="227"/>
      <c r="L2586" s="227"/>
    </row>
    <row r="2587" spans="11:12" x14ac:dyDescent="0.25">
      <c r="K2587" s="227"/>
      <c r="L2587" s="227"/>
    </row>
    <row r="2588" spans="11:12" x14ac:dyDescent="0.25">
      <c r="K2588" s="227"/>
      <c r="L2588" s="227"/>
    </row>
    <row r="2589" spans="11:12" x14ac:dyDescent="0.25">
      <c r="K2589" s="227"/>
      <c r="L2589" s="227"/>
    </row>
    <row r="2590" spans="11:12" x14ac:dyDescent="0.25">
      <c r="K2590" s="227"/>
      <c r="L2590" s="227"/>
    </row>
    <row r="2591" spans="11:12" x14ac:dyDescent="0.25">
      <c r="K2591" s="227"/>
      <c r="L2591" s="227"/>
    </row>
    <row r="2592" spans="11:12" x14ac:dyDescent="0.25">
      <c r="K2592" s="227"/>
      <c r="L2592" s="227"/>
    </row>
    <row r="2593" spans="11:12" x14ac:dyDescent="0.25">
      <c r="K2593" s="227"/>
      <c r="L2593" s="227"/>
    </row>
    <row r="2594" spans="11:12" x14ac:dyDescent="0.25">
      <c r="K2594" s="227"/>
      <c r="L2594" s="227"/>
    </row>
    <row r="2595" spans="11:12" x14ac:dyDescent="0.25">
      <c r="K2595" s="227"/>
      <c r="L2595" s="227"/>
    </row>
    <row r="2596" spans="11:12" x14ac:dyDescent="0.25">
      <c r="K2596" s="227"/>
      <c r="L2596" s="227"/>
    </row>
    <row r="2597" spans="11:12" x14ac:dyDescent="0.25">
      <c r="K2597" s="227"/>
      <c r="L2597" s="227"/>
    </row>
    <row r="2598" spans="11:12" x14ac:dyDescent="0.25">
      <c r="K2598" s="227"/>
      <c r="L2598" s="227"/>
    </row>
    <row r="2599" spans="11:12" x14ac:dyDescent="0.25">
      <c r="K2599" s="227"/>
      <c r="L2599" s="227"/>
    </row>
    <row r="2600" spans="11:12" x14ac:dyDescent="0.25">
      <c r="K2600" s="227"/>
      <c r="L2600" s="227"/>
    </row>
    <row r="2601" spans="11:12" x14ac:dyDescent="0.25">
      <c r="K2601" s="227"/>
      <c r="L2601" s="227"/>
    </row>
    <row r="2602" spans="11:12" x14ac:dyDescent="0.25">
      <c r="K2602" s="227"/>
      <c r="L2602" s="227"/>
    </row>
    <row r="2603" spans="11:12" x14ac:dyDescent="0.25">
      <c r="K2603" s="227"/>
      <c r="L2603" s="227"/>
    </row>
    <row r="2604" spans="11:12" x14ac:dyDescent="0.25">
      <c r="K2604" s="227"/>
      <c r="L2604" s="227"/>
    </row>
    <row r="2605" spans="11:12" x14ac:dyDescent="0.25">
      <c r="K2605" s="227"/>
      <c r="L2605" s="227"/>
    </row>
    <row r="2606" spans="11:12" x14ac:dyDescent="0.25">
      <c r="K2606" s="227"/>
      <c r="L2606" s="227"/>
    </row>
    <row r="2607" spans="11:12" x14ac:dyDescent="0.25">
      <c r="K2607" s="227"/>
      <c r="L2607" s="227"/>
    </row>
    <row r="2608" spans="11:12" x14ac:dyDescent="0.25">
      <c r="K2608" s="227"/>
      <c r="L2608" s="227"/>
    </row>
    <row r="2609" spans="11:12" x14ac:dyDescent="0.25">
      <c r="K2609" s="227"/>
      <c r="L2609" s="227"/>
    </row>
    <row r="2610" spans="11:12" x14ac:dyDescent="0.25">
      <c r="K2610" s="227"/>
      <c r="L2610" s="227"/>
    </row>
    <row r="2611" spans="11:12" x14ac:dyDescent="0.25">
      <c r="K2611" s="227"/>
      <c r="L2611" s="227"/>
    </row>
    <row r="2612" spans="11:12" x14ac:dyDescent="0.25">
      <c r="K2612" s="227"/>
      <c r="L2612" s="227"/>
    </row>
    <row r="2613" spans="11:12" x14ac:dyDescent="0.25">
      <c r="K2613" s="227"/>
      <c r="L2613" s="227"/>
    </row>
    <row r="2614" spans="11:12" x14ac:dyDescent="0.25">
      <c r="K2614" s="227"/>
      <c r="L2614" s="227"/>
    </row>
    <row r="2615" spans="11:12" x14ac:dyDescent="0.25">
      <c r="K2615" s="227"/>
      <c r="L2615" s="227"/>
    </row>
    <row r="2616" spans="11:12" x14ac:dyDescent="0.25">
      <c r="K2616" s="227"/>
      <c r="L2616" s="227"/>
    </row>
    <row r="2617" spans="11:12" x14ac:dyDescent="0.25">
      <c r="K2617" s="227"/>
      <c r="L2617" s="227"/>
    </row>
    <row r="2618" spans="11:12" x14ac:dyDescent="0.25">
      <c r="K2618" s="227"/>
      <c r="L2618" s="227"/>
    </row>
    <row r="2619" spans="11:12" x14ac:dyDescent="0.25">
      <c r="K2619" s="227"/>
      <c r="L2619" s="227"/>
    </row>
    <row r="2620" spans="11:12" x14ac:dyDescent="0.25">
      <c r="K2620" s="227"/>
      <c r="L2620" s="227"/>
    </row>
    <row r="2621" spans="11:12" x14ac:dyDescent="0.25">
      <c r="K2621" s="227"/>
      <c r="L2621" s="227"/>
    </row>
    <row r="2622" spans="11:12" x14ac:dyDescent="0.25">
      <c r="K2622" s="227"/>
      <c r="L2622" s="227"/>
    </row>
    <row r="2623" spans="11:12" x14ac:dyDescent="0.25">
      <c r="K2623" s="227"/>
      <c r="L2623" s="227"/>
    </row>
    <row r="2624" spans="11:12" x14ac:dyDescent="0.25">
      <c r="K2624" s="227"/>
      <c r="L2624" s="227"/>
    </row>
    <row r="2625" spans="11:12" x14ac:dyDescent="0.25">
      <c r="K2625" s="227"/>
      <c r="L2625" s="227"/>
    </row>
    <row r="2626" spans="11:12" x14ac:dyDescent="0.25">
      <c r="K2626" s="227"/>
      <c r="L2626" s="227"/>
    </row>
    <row r="2627" spans="11:12" x14ac:dyDescent="0.25">
      <c r="K2627" s="227"/>
      <c r="L2627" s="227"/>
    </row>
    <row r="2628" spans="11:12" x14ac:dyDescent="0.25">
      <c r="K2628" s="227"/>
      <c r="L2628" s="227"/>
    </row>
    <row r="2629" spans="11:12" x14ac:dyDescent="0.25">
      <c r="K2629" s="227"/>
      <c r="L2629" s="227"/>
    </row>
    <row r="2630" spans="11:12" x14ac:dyDescent="0.25">
      <c r="K2630" s="227"/>
      <c r="L2630" s="227"/>
    </row>
    <row r="2631" spans="11:12" x14ac:dyDescent="0.25">
      <c r="K2631" s="227"/>
      <c r="L2631" s="227"/>
    </row>
    <row r="2632" spans="11:12" x14ac:dyDescent="0.25">
      <c r="K2632" s="227"/>
      <c r="L2632" s="227"/>
    </row>
    <row r="2633" spans="11:12" x14ac:dyDescent="0.25">
      <c r="K2633" s="227"/>
      <c r="L2633" s="227"/>
    </row>
    <row r="2634" spans="11:12" x14ac:dyDescent="0.25">
      <c r="K2634" s="227"/>
      <c r="L2634" s="227"/>
    </row>
    <row r="2635" spans="11:12" x14ac:dyDescent="0.25">
      <c r="K2635" s="227"/>
      <c r="L2635" s="227"/>
    </row>
    <row r="2636" spans="11:12" x14ac:dyDescent="0.25">
      <c r="K2636" s="227"/>
      <c r="L2636" s="227"/>
    </row>
    <row r="2637" spans="11:12" x14ac:dyDescent="0.25">
      <c r="K2637" s="227"/>
      <c r="L2637" s="227"/>
    </row>
    <row r="2638" spans="11:12" x14ac:dyDescent="0.25">
      <c r="K2638" s="227"/>
      <c r="L2638" s="227"/>
    </row>
    <row r="2639" spans="11:12" x14ac:dyDescent="0.25">
      <c r="K2639" s="227"/>
      <c r="L2639" s="227"/>
    </row>
    <row r="2640" spans="11:12" x14ac:dyDescent="0.25">
      <c r="K2640" s="227"/>
      <c r="L2640" s="227"/>
    </row>
    <row r="2641" spans="11:12" x14ac:dyDescent="0.25">
      <c r="K2641" s="227"/>
      <c r="L2641" s="227"/>
    </row>
    <row r="2642" spans="11:12" x14ac:dyDescent="0.25">
      <c r="K2642" s="227"/>
      <c r="L2642" s="227"/>
    </row>
    <row r="2643" spans="11:12" x14ac:dyDescent="0.25">
      <c r="K2643" s="227"/>
      <c r="L2643" s="227"/>
    </row>
    <row r="2644" spans="11:12" x14ac:dyDescent="0.25">
      <c r="K2644" s="227"/>
      <c r="L2644" s="227"/>
    </row>
    <row r="2645" spans="11:12" x14ac:dyDescent="0.25">
      <c r="K2645" s="227"/>
      <c r="L2645" s="227"/>
    </row>
    <row r="2646" spans="11:12" x14ac:dyDescent="0.25">
      <c r="K2646" s="227"/>
      <c r="L2646" s="227"/>
    </row>
    <row r="2647" spans="11:12" x14ac:dyDescent="0.25">
      <c r="K2647" s="227"/>
      <c r="L2647" s="227"/>
    </row>
    <row r="2648" spans="11:12" x14ac:dyDescent="0.25">
      <c r="K2648" s="227"/>
      <c r="L2648" s="227"/>
    </row>
    <row r="2649" spans="11:12" x14ac:dyDescent="0.25">
      <c r="K2649" s="227"/>
      <c r="L2649" s="227"/>
    </row>
    <row r="2650" spans="11:12" x14ac:dyDescent="0.25">
      <c r="K2650" s="227"/>
      <c r="L2650" s="227"/>
    </row>
    <row r="2651" spans="11:12" x14ac:dyDescent="0.25">
      <c r="K2651" s="227"/>
      <c r="L2651" s="227"/>
    </row>
    <row r="2652" spans="11:12" x14ac:dyDescent="0.25">
      <c r="K2652" s="227"/>
      <c r="L2652" s="227"/>
    </row>
    <row r="2653" spans="11:12" x14ac:dyDescent="0.25">
      <c r="K2653" s="227"/>
      <c r="L2653" s="227"/>
    </row>
    <row r="2654" spans="11:12" x14ac:dyDescent="0.25">
      <c r="K2654" s="227"/>
      <c r="L2654" s="227"/>
    </row>
    <row r="2655" spans="11:12" x14ac:dyDescent="0.25">
      <c r="K2655" s="227"/>
      <c r="L2655" s="227"/>
    </row>
    <row r="2656" spans="11:12" x14ac:dyDescent="0.25">
      <c r="K2656" s="227"/>
      <c r="L2656" s="227"/>
    </row>
    <row r="2657" spans="11:12" x14ac:dyDescent="0.25">
      <c r="K2657" s="227"/>
      <c r="L2657" s="227"/>
    </row>
    <row r="2658" spans="11:12" x14ac:dyDescent="0.25">
      <c r="K2658" s="227"/>
      <c r="L2658" s="227"/>
    </row>
    <row r="2659" spans="11:12" x14ac:dyDescent="0.25">
      <c r="K2659" s="227"/>
      <c r="L2659" s="227"/>
    </row>
    <row r="2660" spans="11:12" x14ac:dyDescent="0.25">
      <c r="K2660" s="227"/>
      <c r="L2660" s="227"/>
    </row>
    <row r="2661" spans="11:12" x14ac:dyDescent="0.25">
      <c r="K2661" s="227"/>
      <c r="L2661" s="227"/>
    </row>
    <row r="2662" spans="11:12" x14ac:dyDescent="0.25">
      <c r="K2662" s="227"/>
      <c r="L2662" s="227"/>
    </row>
    <row r="2663" spans="11:12" x14ac:dyDescent="0.25">
      <c r="K2663" s="227"/>
      <c r="L2663" s="227"/>
    </row>
    <row r="2664" spans="11:12" x14ac:dyDescent="0.25">
      <c r="K2664" s="227"/>
      <c r="L2664" s="227"/>
    </row>
    <row r="2665" spans="11:12" x14ac:dyDescent="0.25">
      <c r="K2665" s="227"/>
      <c r="L2665" s="227"/>
    </row>
    <row r="2666" spans="11:12" x14ac:dyDescent="0.25">
      <c r="K2666" s="227"/>
      <c r="L2666" s="227"/>
    </row>
    <row r="2667" spans="11:12" x14ac:dyDescent="0.25">
      <c r="K2667" s="227"/>
      <c r="L2667" s="227"/>
    </row>
    <row r="2668" spans="11:12" x14ac:dyDescent="0.25">
      <c r="K2668" s="227"/>
      <c r="L2668" s="227"/>
    </row>
    <row r="2669" spans="11:12" x14ac:dyDescent="0.25">
      <c r="K2669" s="227"/>
      <c r="L2669" s="227"/>
    </row>
    <row r="2670" spans="11:12" x14ac:dyDescent="0.25">
      <c r="K2670" s="227"/>
      <c r="L2670" s="227"/>
    </row>
    <row r="2671" spans="11:12" x14ac:dyDescent="0.25">
      <c r="K2671" s="227"/>
      <c r="L2671" s="227"/>
    </row>
    <row r="2672" spans="11:12" x14ac:dyDescent="0.25">
      <c r="K2672" s="227"/>
      <c r="L2672" s="227"/>
    </row>
    <row r="2673" spans="11:12" x14ac:dyDescent="0.25">
      <c r="K2673" s="227"/>
      <c r="L2673" s="227"/>
    </row>
    <row r="2674" spans="11:12" x14ac:dyDescent="0.25">
      <c r="K2674" s="227"/>
      <c r="L2674" s="227"/>
    </row>
    <row r="2675" spans="11:12" x14ac:dyDescent="0.25">
      <c r="K2675" s="227"/>
      <c r="L2675" s="227"/>
    </row>
    <row r="2676" spans="11:12" x14ac:dyDescent="0.25">
      <c r="K2676" s="227"/>
      <c r="L2676" s="227"/>
    </row>
    <row r="2677" spans="11:12" x14ac:dyDescent="0.25">
      <c r="K2677" s="227"/>
      <c r="L2677" s="227"/>
    </row>
    <row r="2678" spans="11:12" x14ac:dyDescent="0.25">
      <c r="K2678" s="227"/>
      <c r="L2678" s="227"/>
    </row>
    <row r="2679" spans="11:12" x14ac:dyDescent="0.25">
      <c r="K2679" s="227"/>
      <c r="L2679" s="227"/>
    </row>
    <row r="2680" spans="11:12" x14ac:dyDescent="0.25">
      <c r="K2680" s="227"/>
      <c r="L2680" s="227"/>
    </row>
    <row r="2681" spans="11:12" x14ac:dyDescent="0.25">
      <c r="K2681" s="227"/>
      <c r="L2681" s="227"/>
    </row>
    <row r="2682" spans="11:12" x14ac:dyDescent="0.25">
      <c r="K2682" s="227"/>
      <c r="L2682" s="227"/>
    </row>
    <row r="2683" spans="11:12" x14ac:dyDescent="0.25">
      <c r="K2683" s="227"/>
      <c r="L2683" s="227"/>
    </row>
    <row r="2684" spans="11:12" x14ac:dyDescent="0.25">
      <c r="K2684" s="227"/>
      <c r="L2684" s="227"/>
    </row>
    <row r="2685" spans="11:12" x14ac:dyDescent="0.25">
      <c r="K2685" s="227"/>
      <c r="L2685" s="227"/>
    </row>
    <row r="2686" spans="11:12" x14ac:dyDescent="0.25">
      <c r="K2686" s="227"/>
      <c r="L2686" s="227"/>
    </row>
    <row r="2687" spans="11:12" x14ac:dyDescent="0.25">
      <c r="K2687" s="227"/>
      <c r="L2687" s="227"/>
    </row>
    <row r="2688" spans="11:12" x14ac:dyDescent="0.25">
      <c r="K2688" s="227"/>
      <c r="L2688" s="227"/>
    </row>
    <row r="2689" spans="11:12" x14ac:dyDescent="0.25">
      <c r="K2689" s="227"/>
      <c r="L2689" s="227"/>
    </row>
    <row r="2690" spans="11:12" x14ac:dyDescent="0.25">
      <c r="K2690" s="227"/>
      <c r="L2690" s="227"/>
    </row>
    <row r="2691" spans="11:12" x14ac:dyDescent="0.25">
      <c r="K2691" s="227"/>
      <c r="L2691" s="227"/>
    </row>
    <row r="2692" spans="11:12" x14ac:dyDescent="0.25">
      <c r="K2692" s="227"/>
      <c r="L2692" s="227"/>
    </row>
    <row r="2693" spans="11:12" x14ac:dyDescent="0.25">
      <c r="K2693" s="227"/>
      <c r="L2693" s="227"/>
    </row>
    <row r="2694" spans="11:12" x14ac:dyDescent="0.25">
      <c r="K2694" s="227"/>
      <c r="L2694" s="227"/>
    </row>
    <row r="2695" spans="11:12" x14ac:dyDescent="0.25">
      <c r="K2695" s="227"/>
      <c r="L2695" s="227"/>
    </row>
    <row r="2696" spans="11:12" x14ac:dyDescent="0.25">
      <c r="K2696" s="227"/>
      <c r="L2696" s="227"/>
    </row>
    <row r="2697" spans="11:12" x14ac:dyDescent="0.25">
      <c r="K2697" s="227"/>
      <c r="L2697" s="227"/>
    </row>
    <row r="2698" spans="11:12" x14ac:dyDescent="0.25">
      <c r="K2698" s="227"/>
      <c r="L2698" s="227"/>
    </row>
    <row r="2699" spans="11:12" x14ac:dyDescent="0.25">
      <c r="K2699" s="227"/>
      <c r="L2699" s="227"/>
    </row>
    <row r="2700" spans="11:12" x14ac:dyDescent="0.25">
      <c r="K2700" s="227"/>
      <c r="L2700" s="227"/>
    </row>
    <row r="2701" spans="11:12" x14ac:dyDescent="0.25">
      <c r="K2701" s="227"/>
      <c r="L2701" s="227"/>
    </row>
    <row r="2702" spans="11:12" x14ac:dyDescent="0.25">
      <c r="K2702" s="227"/>
      <c r="L2702" s="227"/>
    </row>
    <row r="2703" spans="11:12" x14ac:dyDescent="0.25">
      <c r="K2703" s="227"/>
      <c r="L2703" s="227"/>
    </row>
    <row r="2704" spans="11:12" x14ac:dyDescent="0.25">
      <c r="K2704" s="227"/>
      <c r="L2704" s="227"/>
    </row>
    <row r="2705" spans="11:12" x14ac:dyDescent="0.25">
      <c r="K2705" s="227"/>
      <c r="L2705" s="227"/>
    </row>
    <row r="2706" spans="11:12" x14ac:dyDescent="0.25">
      <c r="K2706" s="227"/>
      <c r="L2706" s="227"/>
    </row>
    <row r="2707" spans="11:12" x14ac:dyDescent="0.25">
      <c r="K2707" s="227"/>
      <c r="L2707" s="227"/>
    </row>
    <row r="2708" spans="11:12" x14ac:dyDescent="0.25">
      <c r="K2708" s="227"/>
      <c r="L2708" s="227"/>
    </row>
    <row r="2709" spans="11:12" x14ac:dyDescent="0.25">
      <c r="K2709" s="227"/>
      <c r="L2709" s="227"/>
    </row>
    <row r="2710" spans="11:12" x14ac:dyDescent="0.25">
      <c r="K2710" s="227"/>
      <c r="L2710" s="227"/>
    </row>
    <row r="2711" spans="11:12" x14ac:dyDescent="0.25">
      <c r="K2711" s="227"/>
      <c r="L2711" s="227"/>
    </row>
    <row r="2712" spans="11:12" x14ac:dyDescent="0.25">
      <c r="K2712" s="227"/>
      <c r="L2712" s="227"/>
    </row>
    <row r="2713" spans="11:12" x14ac:dyDescent="0.25">
      <c r="K2713" s="227"/>
      <c r="L2713" s="227"/>
    </row>
    <row r="2714" spans="11:12" x14ac:dyDescent="0.25">
      <c r="K2714" s="227"/>
      <c r="L2714" s="227"/>
    </row>
    <row r="2715" spans="11:12" x14ac:dyDescent="0.25">
      <c r="K2715" s="227"/>
      <c r="L2715" s="227"/>
    </row>
    <row r="2716" spans="11:12" x14ac:dyDescent="0.25">
      <c r="K2716" s="227"/>
      <c r="L2716" s="227"/>
    </row>
    <row r="2717" spans="11:12" x14ac:dyDescent="0.25">
      <c r="K2717" s="227"/>
      <c r="L2717" s="227"/>
    </row>
    <row r="2718" spans="11:12" x14ac:dyDescent="0.25">
      <c r="K2718" s="227"/>
      <c r="L2718" s="227"/>
    </row>
    <row r="2719" spans="11:12" x14ac:dyDescent="0.25">
      <c r="K2719" s="227"/>
      <c r="L2719" s="227"/>
    </row>
    <row r="2720" spans="11:12" x14ac:dyDescent="0.25">
      <c r="K2720" s="227"/>
      <c r="L2720" s="227"/>
    </row>
    <row r="2721" spans="11:12" x14ac:dyDescent="0.25">
      <c r="K2721" s="227"/>
      <c r="L2721" s="227"/>
    </row>
    <row r="2722" spans="11:12" x14ac:dyDescent="0.25">
      <c r="K2722" s="227"/>
      <c r="L2722" s="227"/>
    </row>
    <row r="2723" spans="11:12" x14ac:dyDescent="0.25">
      <c r="K2723" s="227"/>
      <c r="L2723" s="227"/>
    </row>
    <row r="2724" spans="11:12" x14ac:dyDescent="0.25">
      <c r="K2724" s="227"/>
      <c r="L2724" s="227"/>
    </row>
    <row r="2725" spans="11:12" x14ac:dyDescent="0.25">
      <c r="K2725" s="227"/>
      <c r="L2725" s="227"/>
    </row>
    <row r="2726" spans="11:12" x14ac:dyDescent="0.25">
      <c r="K2726" s="227"/>
      <c r="L2726" s="227"/>
    </row>
    <row r="2727" spans="11:12" x14ac:dyDescent="0.25">
      <c r="K2727" s="227"/>
      <c r="L2727" s="227"/>
    </row>
    <row r="2728" spans="11:12" x14ac:dyDescent="0.25">
      <c r="K2728" s="227"/>
      <c r="L2728" s="227"/>
    </row>
    <row r="2729" spans="11:12" x14ac:dyDescent="0.25">
      <c r="K2729" s="227"/>
      <c r="L2729" s="227"/>
    </row>
    <row r="2730" spans="11:12" x14ac:dyDescent="0.25">
      <c r="K2730" s="227"/>
      <c r="L2730" s="227"/>
    </row>
    <row r="2731" spans="11:12" x14ac:dyDescent="0.25">
      <c r="K2731" s="227"/>
      <c r="L2731" s="227"/>
    </row>
    <row r="2732" spans="11:12" x14ac:dyDescent="0.25">
      <c r="K2732" s="227"/>
      <c r="L2732" s="227"/>
    </row>
    <row r="2733" spans="11:12" x14ac:dyDescent="0.25">
      <c r="K2733" s="227"/>
      <c r="L2733" s="227"/>
    </row>
    <row r="2734" spans="11:12" x14ac:dyDescent="0.25">
      <c r="K2734" s="227"/>
      <c r="L2734" s="227"/>
    </row>
    <row r="2735" spans="11:12" x14ac:dyDescent="0.25">
      <c r="K2735" s="227"/>
      <c r="L2735" s="227"/>
    </row>
    <row r="2736" spans="11:12" x14ac:dyDescent="0.25">
      <c r="K2736" s="227"/>
      <c r="L2736" s="227"/>
    </row>
    <row r="2737" spans="11:12" x14ac:dyDescent="0.25">
      <c r="K2737" s="227"/>
      <c r="L2737" s="227"/>
    </row>
    <row r="2738" spans="11:12" x14ac:dyDescent="0.25">
      <c r="K2738" s="227"/>
      <c r="L2738" s="227"/>
    </row>
    <row r="2739" spans="11:12" x14ac:dyDescent="0.25">
      <c r="K2739" s="227"/>
      <c r="L2739" s="227"/>
    </row>
    <row r="2740" spans="11:12" x14ac:dyDescent="0.25">
      <c r="K2740" s="227"/>
      <c r="L2740" s="227"/>
    </row>
    <row r="2741" spans="11:12" x14ac:dyDescent="0.25">
      <c r="K2741" s="227"/>
      <c r="L2741" s="227"/>
    </row>
    <row r="2742" spans="11:12" x14ac:dyDescent="0.25">
      <c r="K2742" s="227"/>
      <c r="L2742" s="227"/>
    </row>
    <row r="2743" spans="11:12" x14ac:dyDescent="0.25">
      <c r="K2743" s="227"/>
      <c r="L2743" s="227"/>
    </row>
    <row r="2744" spans="11:12" x14ac:dyDescent="0.25">
      <c r="K2744" s="227"/>
      <c r="L2744" s="227"/>
    </row>
    <row r="2745" spans="11:12" x14ac:dyDescent="0.25">
      <c r="K2745" s="227"/>
      <c r="L2745" s="227"/>
    </row>
    <row r="2746" spans="11:12" x14ac:dyDescent="0.25">
      <c r="K2746" s="227"/>
      <c r="L2746" s="227"/>
    </row>
    <row r="2747" spans="11:12" x14ac:dyDescent="0.25">
      <c r="K2747" s="227"/>
      <c r="L2747" s="227"/>
    </row>
    <row r="2748" spans="11:12" x14ac:dyDescent="0.25">
      <c r="K2748" s="227"/>
      <c r="L2748" s="227"/>
    </row>
    <row r="2749" spans="11:12" x14ac:dyDescent="0.25">
      <c r="K2749" s="227"/>
      <c r="L2749" s="227"/>
    </row>
    <row r="2750" spans="11:12" x14ac:dyDescent="0.25">
      <c r="K2750" s="227"/>
      <c r="L2750" s="227"/>
    </row>
    <row r="2751" spans="11:12" x14ac:dyDescent="0.25">
      <c r="K2751" s="227"/>
      <c r="L2751" s="227"/>
    </row>
    <row r="2752" spans="11:12" x14ac:dyDescent="0.25">
      <c r="K2752" s="227"/>
      <c r="L2752" s="227"/>
    </row>
    <row r="2753" spans="11:12" x14ac:dyDescent="0.25">
      <c r="K2753" s="227"/>
      <c r="L2753" s="227"/>
    </row>
    <row r="2754" spans="11:12" x14ac:dyDescent="0.25">
      <c r="K2754" s="227"/>
      <c r="L2754" s="227"/>
    </row>
    <row r="2755" spans="11:12" x14ac:dyDescent="0.25">
      <c r="K2755" s="227"/>
      <c r="L2755" s="227"/>
    </row>
    <row r="2756" spans="11:12" x14ac:dyDescent="0.25">
      <c r="K2756" s="227"/>
      <c r="L2756" s="227"/>
    </row>
    <row r="2757" spans="11:12" x14ac:dyDescent="0.25">
      <c r="K2757" s="227"/>
      <c r="L2757" s="227"/>
    </row>
    <row r="2758" spans="11:12" x14ac:dyDescent="0.25">
      <c r="K2758" s="227"/>
      <c r="L2758" s="227"/>
    </row>
    <row r="2759" spans="11:12" x14ac:dyDescent="0.25">
      <c r="K2759" s="227"/>
      <c r="L2759" s="227"/>
    </row>
    <row r="2760" spans="11:12" x14ac:dyDescent="0.25">
      <c r="K2760" s="227"/>
      <c r="L2760" s="227"/>
    </row>
    <row r="2761" spans="11:12" x14ac:dyDescent="0.25">
      <c r="K2761" s="227"/>
      <c r="L2761" s="227"/>
    </row>
    <row r="2762" spans="11:12" x14ac:dyDescent="0.25">
      <c r="K2762" s="227"/>
      <c r="L2762" s="227"/>
    </row>
    <row r="2763" spans="11:12" x14ac:dyDescent="0.25">
      <c r="K2763" s="227"/>
      <c r="L2763" s="227"/>
    </row>
    <row r="2764" spans="11:12" x14ac:dyDescent="0.25">
      <c r="K2764" s="227"/>
      <c r="L2764" s="227"/>
    </row>
    <row r="2765" spans="11:12" x14ac:dyDescent="0.25">
      <c r="K2765" s="227"/>
      <c r="L2765" s="227"/>
    </row>
    <row r="2766" spans="11:12" x14ac:dyDescent="0.25">
      <c r="K2766" s="227"/>
      <c r="L2766" s="227"/>
    </row>
    <row r="2767" spans="11:12" x14ac:dyDescent="0.25">
      <c r="K2767" s="227"/>
      <c r="L2767" s="227"/>
    </row>
    <row r="2768" spans="11:12" x14ac:dyDescent="0.25">
      <c r="K2768" s="227"/>
      <c r="L2768" s="227"/>
    </row>
    <row r="2769" spans="11:12" x14ac:dyDescent="0.25">
      <c r="K2769" s="227"/>
      <c r="L2769" s="227"/>
    </row>
    <row r="2770" spans="11:12" x14ac:dyDescent="0.25">
      <c r="K2770" s="227"/>
      <c r="L2770" s="227"/>
    </row>
    <row r="2771" spans="11:12" x14ac:dyDescent="0.25">
      <c r="K2771" s="227"/>
      <c r="L2771" s="227"/>
    </row>
    <row r="2772" spans="11:12" x14ac:dyDescent="0.25">
      <c r="K2772" s="227"/>
      <c r="L2772" s="227"/>
    </row>
    <row r="2773" spans="11:12" x14ac:dyDescent="0.25">
      <c r="K2773" s="227"/>
      <c r="L2773" s="227"/>
    </row>
    <row r="2774" spans="11:12" x14ac:dyDescent="0.25">
      <c r="K2774" s="227"/>
      <c r="L2774" s="227"/>
    </row>
    <row r="2775" spans="11:12" x14ac:dyDescent="0.25">
      <c r="K2775" s="227"/>
      <c r="L2775" s="227"/>
    </row>
    <row r="2776" spans="11:12" x14ac:dyDescent="0.25">
      <c r="K2776" s="227"/>
      <c r="L2776" s="227"/>
    </row>
    <row r="2777" spans="11:12" x14ac:dyDescent="0.25">
      <c r="K2777" s="227"/>
      <c r="L2777" s="227"/>
    </row>
    <row r="2778" spans="11:12" x14ac:dyDescent="0.25">
      <c r="K2778" s="227"/>
      <c r="L2778" s="227"/>
    </row>
    <row r="2779" spans="11:12" x14ac:dyDescent="0.25">
      <c r="K2779" s="227"/>
      <c r="L2779" s="227"/>
    </row>
    <row r="2780" spans="11:12" x14ac:dyDescent="0.25">
      <c r="K2780" s="227"/>
      <c r="L2780" s="227"/>
    </row>
    <row r="2781" spans="11:12" x14ac:dyDescent="0.25">
      <c r="K2781" s="227"/>
      <c r="L2781" s="227"/>
    </row>
    <row r="2782" spans="11:12" x14ac:dyDescent="0.25">
      <c r="K2782" s="227"/>
      <c r="L2782" s="227"/>
    </row>
    <row r="2783" spans="11:12" x14ac:dyDescent="0.25">
      <c r="K2783" s="227"/>
      <c r="L2783" s="227"/>
    </row>
    <row r="2784" spans="11:12" x14ac:dyDescent="0.25">
      <c r="K2784" s="227"/>
      <c r="L2784" s="227"/>
    </row>
    <row r="2785" spans="11:12" x14ac:dyDescent="0.25">
      <c r="K2785" s="227"/>
      <c r="L2785" s="227"/>
    </row>
    <row r="2786" spans="11:12" x14ac:dyDescent="0.25">
      <c r="K2786" s="227"/>
      <c r="L2786" s="227"/>
    </row>
    <row r="2787" spans="11:12" x14ac:dyDescent="0.25">
      <c r="K2787" s="227"/>
      <c r="L2787" s="227"/>
    </row>
    <row r="2788" spans="11:12" x14ac:dyDescent="0.25">
      <c r="K2788" s="227"/>
      <c r="L2788" s="227"/>
    </row>
    <row r="2789" spans="11:12" x14ac:dyDescent="0.25">
      <c r="K2789" s="227"/>
      <c r="L2789" s="227"/>
    </row>
    <row r="2790" spans="11:12" x14ac:dyDescent="0.25">
      <c r="K2790" s="227"/>
      <c r="L2790" s="227"/>
    </row>
    <row r="2791" spans="11:12" x14ac:dyDescent="0.25">
      <c r="K2791" s="227"/>
      <c r="L2791" s="227"/>
    </row>
    <row r="2792" spans="11:12" x14ac:dyDescent="0.25">
      <c r="K2792" s="227"/>
      <c r="L2792" s="227"/>
    </row>
    <row r="2793" spans="11:12" x14ac:dyDescent="0.25">
      <c r="K2793" s="227"/>
      <c r="L2793" s="227"/>
    </row>
    <row r="2794" spans="11:12" x14ac:dyDescent="0.25">
      <c r="K2794" s="227"/>
      <c r="L2794" s="227"/>
    </row>
    <row r="2795" spans="11:12" x14ac:dyDescent="0.25">
      <c r="K2795" s="227"/>
      <c r="L2795" s="227"/>
    </row>
    <row r="2796" spans="11:12" x14ac:dyDescent="0.25">
      <c r="K2796" s="227"/>
      <c r="L2796" s="227"/>
    </row>
    <row r="2797" spans="11:12" x14ac:dyDescent="0.25">
      <c r="K2797" s="227"/>
      <c r="L2797" s="227"/>
    </row>
    <row r="2798" spans="11:12" x14ac:dyDescent="0.25">
      <c r="K2798" s="227"/>
      <c r="L2798" s="227"/>
    </row>
    <row r="2799" spans="11:12" x14ac:dyDescent="0.25">
      <c r="K2799" s="227"/>
      <c r="L2799" s="227"/>
    </row>
    <row r="2800" spans="11:12" x14ac:dyDescent="0.25">
      <c r="K2800" s="227"/>
      <c r="L2800" s="227"/>
    </row>
    <row r="2801" spans="11:12" x14ac:dyDescent="0.25">
      <c r="K2801" s="227"/>
      <c r="L2801" s="227"/>
    </row>
    <row r="2802" spans="11:12" x14ac:dyDescent="0.25">
      <c r="K2802" s="227"/>
      <c r="L2802" s="227"/>
    </row>
    <row r="2803" spans="11:12" x14ac:dyDescent="0.25">
      <c r="K2803" s="227"/>
      <c r="L2803" s="227"/>
    </row>
    <row r="2804" spans="11:12" x14ac:dyDescent="0.25">
      <c r="K2804" s="227"/>
      <c r="L2804" s="227"/>
    </row>
    <row r="2805" spans="11:12" x14ac:dyDescent="0.25">
      <c r="K2805" s="227"/>
      <c r="L2805" s="227"/>
    </row>
    <row r="2806" spans="11:12" x14ac:dyDescent="0.25">
      <c r="K2806" s="227"/>
      <c r="L2806" s="227"/>
    </row>
    <row r="2807" spans="11:12" x14ac:dyDescent="0.25">
      <c r="K2807" s="227"/>
      <c r="L2807" s="227"/>
    </row>
    <row r="2808" spans="11:12" x14ac:dyDescent="0.25">
      <c r="K2808" s="227"/>
      <c r="L2808" s="227"/>
    </row>
    <row r="2809" spans="11:12" x14ac:dyDescent="0.25">
      <c r="K2809" s="227"/>
      <c r="L2809" s="227"/>
    </row>
    <row r="2810" spans="11:12" x14ac:dyDescent="0.25">
      <c r="K2810" s="227"/>
      <c r="L2810" s="227"/>
    </row>
    <row r="2811" spans="11:12" x14ac:dyDescent="0.25">
      <c r="K2811" s="227"/>
      <c r="L2811" s="227"/>
    </row>
    <row r="2812" spans="11:12" x14ac:dyDescent="0.25">
      <c r="K2812" s="227"/>
      <c r="L2812" s="227"/>
    </row>
    <row r="2813" spans="11:12" x14ac:dyDescent="0.25">
      <c r="K2813" s="227"/>
      <c r="L2813" s="227"/>
    </row>
    <row r="2814" spans="11:12" x14ac:dyDescent="0.25">
      <c r="K2814" s="227"/>
      <c r="L2814" s="227"/>
    </row>
    <row r="2815" spans="11:12" x14ac:dyDescent="0.25">
      <c r="K2815" s="227"/>
      <c r="L2815" s="227"/>
    </row>
    <row r="2816" spans="11:12" x14ac:dyDescent="0.25">
      <c r="K2816" s="227"/>
      <c r="L2816" s="227"/>
    </row>
    <row r="2817" spans="11:12" x14ac:dyDescent="0.25">
      <c r="K2817" s="227"/>
      <c r="L2817" s="227"/>
    </row>
    <row r="2818" spans="11:12" x14ac:dyDescent="0.25">
      <c r="K2818" s="227"/>
      <c r="L2818" s="227"/>
    </row>
    <row r="2819" spans="11:12" x14ac:dyDescent="0.25">
      <c r="K2819" s="227"/>
      <c r="L2819" s="227"/>
    </row>
    <row r="2820" spans="11:12" x14ac:dyDescent="0.25">
      <c r="K2820" s="227"/>
      <c r="L2820" s="227"/>
    </row>
    <row r="2821" spans="11:12" x14ac:dyDescent="0.25">
      <c r="K2821" s="227"/>
      <c r="L2821" s="227"/>
    </row>
    <row r="2822" spans="11:12" x14ac:dyDescent="0.25">
      <c r="K2822" s="227"/>
      <c r="L2822" s="227"/>
    </row>
    <row r="2823" spans="11:12" x14ac:dyDescent="0.25">
      <c r="K2823" s="227"/>
      <c r="L2823" s="227"/>
    </row>
    <row r="2824" spans="11:12" x14ac:dyDescent="0.25">
      <c r="K2824" s="227"/>
      <c r="L2824" s="227"/>
    </row>
    <row r="2825" spans="11:12" x14ac:dyDescent="0.25">
      <c r="K2825" s="227"/>
      <c r="L2825" s="227"/>
    </row>
    <row r="2826" spans="11:12" x14ac:dyDescent="0.25">
      <c r="K2826" s="227"/>
      <c r="L2826" s="227"/>
    </row>
    <row r="2827" spans="11:12" x14ac:dyDescent="0.25">
      <c r="K2827" s="227"/>
      <c r="L2827" s="227"/>
    </row>
    <row r="2828" spans="11:12" x14ac:dyDescent="0.25">
      <c r="K2828" s="227"/>
      <c r="L2828" s="227"/>
    </row>
    <row r="2829" spans="11:12" x14ac:dyDescent="0.25">
      <c r="K2829" s="227"/>
      <c r="L2829" s="227"/>
    </row>
    <row r="2830" spans="11:12" x14ac:dyDescent="0.25">
      <c r="K2830" s="227"/>
      <c r="L2830" s="227"/>
    </row>
    <row r="2831" spans="11:12" x14ac:dyDescent="0.25">
      <c r="K2831" s="227"/>
      <c r="L2831" s="227"/>
    </row>
    <row r="2832" spans="11:12" x14ac:dyDescent="0.25">
      <c r="K2832" s="227"/>
      <c r="L2832" s="227"/>
    </row>
    <row r="2833" spans="11:12" x14ac:dyDescent="0.25">
      <c r="K2833" s="227"/>
      <c r="L2833" s="227"/>
    </row>
    <row r="2834" spans="11:12" x14ac:dyDescent="0.25">
      <c r="K2834" s="227"/>
      <c r="L2834" s="227"/>
    </row>
    <row r="2835" spans="11:12" x14ac:dyDescent="0.25">
      <c r="K2835" s="227"/>
      <c r="L2835" s="227"/>
    </row>
    <row r="2836" spans="11:12" x14ac:dyDescent="0.25">
      <c r="K2836" s="227"/>
      <c r="L2836" s="227"/>
    </row>
    <row r="2837" spans="11:12" x14ac:dyDescent="0.25">
      <c r="K2837" s="227"/>
      <c r="L2837" s="227"/>
    </row>
    <row r="2838" spans="11:12" x14ac:dyDescent="0.25">
      <c r="K2838" s="227"/>
      <c r="L2838" s="227"/>
    </row>
    <row r="2839" spans="11:12" x14ac:dyDescent="0.25">
      <c r="K2839" s="227"/>
      <c r="L2839" s="227"/>
    </row>
    <row r="2840" spans="11:12" x14ac:dyDescent="0.25">
      <c r="K2840" s="227"/>
      <c r="L2840" s="227"/>
    </row>
    <row r="2841" spans="11:12" x14ac:dyDescent="0.25">
      <c r="K2841" s="227"/>
      <c r="L2841" s="227"/>
    </row>
    <row r="2842" spans="11:12" x14ac:dyDescent="0.25">
      <c r="K2842" s="227"/>
      <c r="L2842" s="227"/>
    </row>
    <row r="2843" spans="11:12" x14ac:dyDescent="0.25">
      <c r="K2843" s="227"/>
      <c r="L2843" s="227"/>
    </row>
    <row r="2844" spans="11:12" x14ac:dyDescent="0.25">
      <c r="K2844" s="227"/>
      <c r="L2844" s="227"/>
    </row>
    <row r="2845" spans="11:12" x14ac:dyDescent="0.25">
      <c r="K2845" s="227"/>
      <c r="L2845" s="227"/>
    </row>
    <row r="2846" spans="11:12" x14ac:dyDescent="0.25">
      <c r="K2846" s="227"/>
      <c r="L2846" s="227"/>
    </row>
    <row r="2847" spans="11:12" x14ac:dyDescent="0.25">
      <c r="K2847" s="227"/>
      <c r="L2847" s="227"/>
    </row>
    <row r="2848" spans="11:12" x14ac:dyDescent="0.25">
      <c r="K2848" s="227"/>
      <c r="L2848" s="227"/>
    </row>
    <row r="2849" spans="11:12" x14ac:dyDescent="0.25">
      <c r="K2849" s="227"/>
      <c r="L2849" s="227"/>
    </row>
    <row r="2850" spans="11:12" x14ac:dyDescent="0.25">
      <c r="K2850" s="227"/>
      <c r="L2850" s="227"/>
    </row>
    <row r="2851" spans="11:12" x14ac:dyDescent="0.25">
      <c r="K2851" s="227"/>
      <c r="L2851" s="227"/>
    </row>
    <row r="2852" spans="11:12" x14ac:dyDescent="0.25">
      <c r="K2852" s="227"/>
      <c r="L2852" s="227"/>
    </row>
    <row r="2853" spans="11:12" x14ac:dyDescent="0.25">
      <c r="K2853" s="227"/>
      <c r="L2853" s="227"/>
    </row>
    <row r="2854" spans="11:12" x14ac:dyDescent="0.25">
      <c r="K2854" s="227"/>
      <c r="L2854" s="227"/>
    </row>
    <row r="2855" spans="11:12" x14ac:dyDescent="0.25">
      <c r="K2855" s="227"/>
      <c r="L2855" s="227"/>
    </row>
    <row r="2856" spans="11:12" x14ac:dyDescent="0.25">
      <c r="K2856" s="227"/>
      <c r="L2856" s="227"/>
    </row>
    <row r="2857" spans="11:12" x14ac:dyDescent="0.25">
      <c r="K2857" s="227"/>
      <c r="L2857" s="227"/>
    </row>
    <row r="2858" spans="11:12" x14ac:dyDescent="0.25">
      <c r="K2858" s="227"/>
      <c r="L2858" s="227"/>
    </row>
    <row r="2859" spans="11:12" x14ac:dyDescent="0.25">
      <c r="K2859" s="227"/>
      <c r="L2859" s="227"/>
    </row>
    <row r="2860" spans="11:12" x14ac:dyDescent="0.25">
      <c r="K2860" s="227"/>
      <c r="L2860" s="227"/>
    </row>
    <row r="2861" spans="11:12" x14ac:dyDescent="0.25">
      <c r="K2861" s="227"/>
      <c r="L2861" s="227"/>
    </row>
    <row r="2862" spans="11:12" x14ac:dyDescent="0.25">
      <c r="K2862" s="227"/>
      <c r="L2862" s="227"/>
    </row>
    <row r="2863" spans="11:12" x14ac:dyDescent="0.25">
      <c r="K2863" s="227"/>
      <c r="L2863" s="227"/>
    </row>
    <row r="2864" spans="11:12" x14ac:dyDescent="0.25">
      <c r="K2864" s="227"/>
      <c r="L2864" s="227"/>
    </row>
    <row r="2865" spans="11:12" x14ac:dyDescent="0.25">
      <c r="K2865" s="227"/>
      <c r="L2865" s="227"/>
    </row>
    <row r="2866" spans="11:12" x14ac:dyDescent="0.25">
      <c r="K2866" s="227"/>
      <c r="L2866" s="227"/>
    </row>
    <row r="2867" spans="11:12" x14ac:dyDescent="0.25">
      <c r="K2867" s="227"/>
      <c r="L2867" s="227"/>
    </row>
    <row r="2868" spans="11:12" x14ac:dyDescent="0.25">
      <c r="K2868" s="227"/>
      <c r="L2868" s="227"/>
    </row>
    <row r="2869" spans="11:12" x14ac:dyDescent="0.25">
      <c r="K2869" s="227"/>
      <c r="L2869" s="227"/>
    </row>
    <row r="2870" spans="11:12" x14ac:dyDescent="0.25">
      <c r="K2870" s="227"/>
      <c r="L2870" s="227"/>
    </row>
    <row r="2871" spans="11:12" x14ac:dyDescent="0.25">
      <c r="K2871" s="227"/>
      <c r="L2871" s="227"/>
    </row>
    <row r="2872" spans="11:12" x14ac:dyDescent="0.25">
      <c r="K2872" s="227"/>
      <c r="L2872" s="227"/>
    </row>
    <row r="2873" spans="11:12" x14ac:dyDescent="0.25">
      <c r="K2873" s="227"/>
      <c r="L2873" s="227"/>
    </row>
    <row r="2874" spans="11:12" x14ac:dyDescent="0.25">
      <c r="K2874" s="227"/>
      <c r="L2874" s="227"/>
    </row>
    <row r="2875" spans="11:12" x14ac:dyDescent="0.25">
      <c r="K2875" s="227"/>
      <c r="L2875" s="227"/>
    </row>
    <row r="2876" spans="11:12" x14ac:dyDescent="0.25">
      <c r="K2876" s="227"/>
      <c r="L2876" s="227"/>
    </row>
    <row r="2877" spans="11:12" x14ac:dyDescent="0.25">
      <c r="K2877" s="227"/>
      <c r="L2877" s="227"/>
    </row>
    <row r="2878" spans="11:12" x14ac:dyDescent="0.25">
      <c r="K2878" s="227"/>
      <c r="L2878" s="227"/>
    </row>
    <row r="2879" spans="11:12" x14ac:dyDescent="0.25">
      <c r="K2879" s="227"/>
      <c r="L2879" s="227"/>
    </row>
    <row r="2880" spans="11:12" x14ac:dyDescent="0.25">
      <c r="K2880" s="227"/>
      <c r="L2880" s="227"/>
    </row>
    <row r="2881" spans="11:12" x14ac:dyDescent="0.25">
      <c r="K2881" s="227"/>
      <c r="L2881" s="227"/>
    </row>
    <row r="2882" spans="11:12" x14ac:dyDescent="0.25">
      <c r="K2882" s="227"/>
      <c r="L2882" s="227"/>
    </row>
    <row r="2883" spans="11:12" x14ac:dyDescent="0.25">
      <c r="K2883" s="227"/>
      <c r="L2883" s="227"/>
    </row>
    <row r="2884" spans="11:12" x14ac:dyDescent="0.25">
      <c r="K2884" s="227"/>
      <c r="L2884" s="227"/>
    </row>
    <row r="2885" spans="11:12" x14ac:dyDescent="0.25">
      <c r="K2885" s="227"/>
      <c r="L2885" s="227"/>
    </row>
    <row r="2886" spans="11:12" x14ac:dyDescent="0.25">
      <c r="K2886" s="227"/>
      <c r="L2886" s="227"/>
    </row>
    <row r="2887" spans="11:12" x14ac:dyDescent="0.25">
      <c r="K2887" s="227"/>
      <c r="L2887" s="227"/>
    </row>
    <row r="2888" spans="11:12" x14ac:dyDescent="0.25">
      <c r="K2888" s="227"/>
      <c r="L2888" s="227"/>
    </row>
    <row r="2889" spans="11:12" x14ac:dyDescent="0.25">
      <c r="K2889" s="227"/>
      <c r="L2889" s="227"/>
    </row>
    <row r="2890" spans="11:12" x14ac:dyDescent="0.25">
      <c r="K2890" s="227"/>
      <c r="L2890" s="227"/>
    </row>
    <row r="2891" spans="11:12" x14ac:dyDescent="0.25">
      <c r="K2891" s="227"/>
      <c r="L2891" s="227"/>
    </row>
    <row r="2892" spans="11:12" x14ac:dyDescent="0.25">
      <c r="K2892" s="227"/>
      <c r="L2892" s="227"/>
    </row>
    <row r="2893" spans="11:12" x14ac:dyDescent="0.25">
      <c r="K2893" s="227"/>
      <c r="L2893" s="227"/>
    </row>
    <row r="2894" spans="11:12" x14ac:dyDescent="0.25">
      <c r="K2894" s="227"/>
      <c r="L2894" s="227"/>
    </row>
    <row r="2895" spans="11:12" x14ac:dyDescent="0.25">
      <c r="K2895" s="227"/>
      <c r="L2895" s="227"/>
    </row>
    <row r="2896" spans="11:12" x14ac:dyDescent="0.25">
      <c r="K2896" s="227"/>
      <c r="L2896" s="227"/>
    </row>
    <row r="2897" spans="11:12" x14ac:dyDescent="0.25">
      <c r="K2897" s="227"/>
      <c r="L2897" s="227"/>
    </row>
    <row r="2898" spans="11:12" x14ac:dyDescent="0.25">
      <c r="K2898" s="227"/>
      <c r="L2898" s="227"/>
    </row>
    <row r="2899" spans="11:12" x14ac:dyDescent="0.25">
      <c r="K2899" s="227"/>
      <c r="L2899" s="227"/>
    </row>
    <row r="2900" spans="11:12" x14ac:dyDescent="0.25">
      <c r="K2900" s="227"/>
      <c r="L2900" s="227"/>
    </row>
    <row r="2901" spans="11:12" x14ac:dyDescent="0.25">
      <c r="K2901" s="227"/>
      <c r="L2901" s="227"/>
    </row>
    <row r="2902" spans="11:12" x14ac:dyDescent="0.25">
      <c r="K2902" s="227"/>
      <c r="L2902" s="227"/>
    </row>
    <row r="2903" spans="11:12" x14ac:dyDescent="0.25">
      <c r="K2903" s="227"/>
      <c r="L2903" s="227"/>
    </row>
    <row r="2904" spans="11:12" x14ac:dyDescent="0.25">
      <c r="K2904" s="227"/>
      <c r="L2904" s="227"/>
    </row>
    <row r="2905" spans="11:12" x14ac:dyDescent="0.25">
      <c r="K2905" s="227"/>
      <c r="L2905" s="227"/>
    </row>
    <row r="2906" spans="11:12" x14ac:dyDescent="0.25">
      <c r="K2906" s="227"/>
      <c r="L2906" s="227"/>
    </row>
    <row r="2907" spans="11:12" x14ac:dyDescent="0.25">
      <c r="K2907" s="227"/>
      <c r="L2907" s="227"/>
    </row>
    <row r="2908" spans="11:12" x14ac:dyDescent="0.25">
      <c r="K2908" s="227"/>
      <c r="L2908" s="227"/>
    </row>
    <row r="2909" spans="11:12" x14ac:dyDescent="0.25">
      <c r="K2909" s="227"/>
      <c r="L2909" s="227"/>
    </row>
    <row r="2910" spans="11:12" x14ac:dyDescent="0.25">
      <c r="K2910" s="227"/>
      <c r="L2910" s="227"/>
    </row>
    <row r="2911" spans="11:12" x14ac:dyDescent="0.25">
      <c r="K2911" s="227"/>
      <c r="L2911" s="227"/>
    </row>
    <row r="2912" spans="11:12" x14ac:dyDescent="0.25">
      <c r="K2912" s="227"/>
      <c r="L2912" s="227"/>
    </row>
    <row r="2913" spans="11:12" x14ac:dyDescent="0.25">
      <c r="K2913" s="227"/>
      <c r="L2913" s="227"/>
    </row>
    <row r="2914" spans="11:12" x14ac:dyDescent="0.25">
      <c r="K2914" s="227"/>
      <c r="L2914" s="227"/>
    </row>
    <row r="2915" spans="11:12" x14ac:dyDescent="0.25">
      <c r="K2915" s="227"/>
      <c r="L2915" s="227"/>
    </row>
    <row r="2916" spans="11:12" x14ac:dyDescent="0.25">
      <c r="K2916" s="227"/>
      <c r="L2916" s="227"/>
    </row>
    <row r="2917" spans="11:12" x14ac:dyDescent="0.25">
      <c r="K2917" s="227"/>
      <c r="L2917" s="227"/>
    </row>
    <row r="2918" spans="11:12" x14ac:dyDescent="0.25">
      <c r="K2918" s="227"/>
      <c r="L2918" s="227"/>
    </row>
    <row r="2919" spans="11:12" x14ac:dyDescent="0.25">
      <c r="K2919" s="227"/>
      <c r="L2919" s="227"/>
    </row>
    <row r="2920" spans="11:12" x14ac:dyDescent="0.25">
      <c r="K2920" s="227"/>
      <c r="L2920" s="227"/>
    </row>
    <row r="2921" spans="11:12" x14ac:dyDescent="0.25">
      <c r="K2921" s="227"/>
      <c r="L2921" s="227"/>
    </row>
    <row r="2922" spans="11:12" x14ac:dyDescent="0.25">
      <c r="K2922" s="227"/>
      <c r="L2922" s="227"/>
    </row>
    <row r="2923" spans="11:12" x14ac:dyDescent="0.25">
      <c r="K2923" s="227"/>
      <c r="L2923" s="227"/>
    </row>
    <row r="2924" spans="11:12" x14ac:dyDescent="0.25">
      <c r="K2924" s="227"/>
      <c r="L2924" s="227"/>
    </row>
    <row r="2925" spans="11:12" x14ac:dyDescent="0.25">
      <c r="K2925" s="227"/>
      <c r="L2925" s="227"/>
    </row>
    <row r="2926" spans="11:12" x14ac:dyDescent="0.25">
      <c r="K2926" s="227"/>
      <c r="L2926" s="227"/>
    </row>
    <row r="2927" spans="11:12" x14ac:dyDescent="0.25">
      <c r="K2927" s="227"/>
      <c r="L2927" s="227"/>
    </row>
    <row r="2928" spans="11:12" x14ac:dyDescent="0.25">
      <c r="K2928" s="227"/>
      <c r="L2928" s="227"/>
    </row>
    <row r="2929" spans="11:12" x14ac:dyDescent="0.25">
      <c r="K2929" s="227"/>
      <c r="L2929" s="227"/>
    </row>
    <row r="2930" spans="11:12" x14ac:dyDescent="0.25">
      <c r="K2930" s="227"/>
      <c r="L2930" s="227"/>
    </row>
    <row r="2931" spans="11:12" x14ac:dyDescent="0.25">
      <c r="K2931" s="227"/>
      <c r="L2931" s="227"/>
    </row>
    <row r="2932" spans="11:12" x14ac:dyDescent="0.25">
      <c r="K2932" s="227"/>
      <c r="L2932" s="227"/>
    </row>
    <row r="2933" spans="11:12" x14ac:dyDescent="0.25">
      <c r="K2933" s="227"/>
      <c r="L2933" s="227"/>
    </row>
    <row r="2934" spans="11:12" x14ac:dyDescent="0.25">
      <c r="K2934" s="227"/>
      <c r="L2934" s="227"/>
    </row>
    <row r="2935" spans="11:12" x14ac:dyDescent="0.25">
      <c r="K2935" s="227"/>
      <c r="L2935" s="227"/>
    </row>
    <row r="2936" spans="11:12" x14ac:dyDescent="0.25">
      <c r="K2936" s="227"/>
      <c r="L2936" s="227"/>
    </row>
    <row r="2937" spans="11:12" x14ac:dyDescent="0.25">
      <c r="K2937" s="227"/>
      <c r="L2937" s="227"/>
    </row>
    <row r="2938" spans="11:12" x14ac:dyDescent="0.25">
      <c r="K2938" s="227"/>
      <c r="L2938" s="227"/>
    </row>
    <row r="2939" spans="11:12" x14ac:dyDescent="0.25">
      <c r="K2939" s="227"/>
      <c r="L2939" s="227"/>
    </row>
    <row r="2940" spans="11:12" x14ac:dyDescent="0.25">
      <c r="K2940" s="227"/>
      <c r="L2940" s="227"/>
    </row>
    <row r="2941" spans="11:12" x14ac:dyDescent="0.25">
      <c r="K2941" s="227"/>
      <c r="L2941" s="227"/>
    </row>
    <row r="2942" spans="11:12" x14ac:dyDescent="0.25">
      <c r="K2942" s="227"/>
      <c r="L2942" s="227"/>
    </row>
    <row r="2943" spans="11:12" x14ac:dyDescent="0.25">
      <c r="K2943" s="227"/>
      <c r="L2943" s="227"/>
    </row>
    <row r="2944" spans="11:12" x14ac:dyDescent="0.25">
      <c r="K2944" s="227"/>
      <c r="L2944" s="227"/>
    </row>
    <row r="2945" spans="11:12" x14ac:dyDescent="0.25">
      <c r="K2945" s="227"/>
      <c r="L2945" s="227"/>
    </row>
    <row r="2946" spans="11:12" x14ac:dyDescent="0.25">
      <c r="K2946" s="227"/>
      <c r="L2946" s="227"/>
    </row>
    <row r="2947" spans="11:12" x14ac:dyDescent="0.25">
      <c r="K2947" s="227"/>
      <c r="L2947" s="227"/>
    </row>
    <row r="2948" spans="11:12" x14ac:dyDescent="0.25">
      <c r="K2948" s="227"/>
      <c r="L2948" s="227"/>
    </row>
    <row r="2949" spans="11:12" x14ac:dyDescent="0.25">
      <c r="K2949" s="227"/>
      <c r="L2949" s="227"/>
    </row>
    <row r="2950" spans="11:12" x14ac:dyDescent="0.25">
      <c r="K2950" s="227"/>
      <c r="L2950" s="227"/>
    </row>
    <row r="2951" spans="11:12" x14ac:dyDescent="0.25">
      <c r="K2951" s="227"/>
      <c r="L2951" s="227"/>
    </row>
    <row r="2952" spans="11:12" x14ac:dyDescent="0.25">
      <c r="K2952" s="227"/>
      <c r="L2952" s="227"/>
    </row>
    <row r="2953" spans="11:12" x14ac:dyDescent="0.25">
      <c r="K2953" s="227"/>
      <c r="L2953" s="227"/>
    </row>
    <row r="2954" spans="11:12" x14ac:dyDescent="0.25">
      <c r="K2954" s="227"/>
      <c r="L2954" s="227"/>
    </row>
    <row r="2955" spans="11:12" x14ac:dyDescent="0.25">
      <c r="K2955" s="227"/>
      <c r="L2955" s="227"/>
    </row>
    <row r="2956" spans="11:12" x14ac:dyDescent="0.25">
      <c r="K2956" s="227"/>
      <c r="L2956" s="227"/>
    </row>
    <row r="2957" spans="11:12" x14ac:dyDescent="0.25">
      <c r="K2957" s="227"/>
      <c r="L2957" s="227"/>
    </row>
    <row r="2958" spans="11:12" x14ac:dyDescent="0.25">
      <c r="K2958" s="227"/>
      <c r="L2958" s="227"/>
    </row>
    <row r="2959" spans="11:12" x14ac:dyDescent="0.25">
      <c r="K2959" s="227"/>
      <c r="L2959" s="227"/>
    </row>
    <row r="2960" spans="11:12" x14ac:dyDescent="0.25">
      <c r="K2960" s="227"/>
      <c r="L2960" s="227"/>
    </row>
    <row r="2961" spans="11:12" x14ac:dyDescent="0.25">
      <c r="K2961" s="227"/>
      <c r="L2961" s="227"/>
    </row>
    <row r="2962" spans="11:12" x14ac:dyDescent="0.25">
      <c r="K2962" s="227"/>
      <c r="L2962" s="227"/>
    </row>
    <row r="2963" spans="11:12" x14ac:dyDescent="0.25">
      <c r="K2963" s="227"/>
      <c r="L2963" s="227"/>
    </row>
    <row r="2964" spans="11:12" x14ac:dyDescent="0.25">
      <c r="K2964" s="227"/>
      <c r="L2964" s="227"/>
    </row>
    <row r="2965" spans="11:12" x14ac:dyDescent="0.25">
      <c r="K2965" s="227"/>
      <c r="L2965" s="227"/>
    </row>
    <row r="2966" spans="11:12" x14ac:dyDescent="0.25">
      <c r="K2966" s="227"/>
      <c r="L2966" s="227"/>
    </row>
    <row r="2967" spans="11:12" x14ac:dyDescent="0.25">
      <c r="K2967" s="227"/>
      <c r="L2967" s="227"/>
    </row>
    <row r="2968" spans="11:12" x14ac:dyDescent="0.25">
      <c r="K2968" s="227"/>
      <c r="L2968" s="227"/>
    </row>
    <row r="2969" spans="11:12" x14ac:dyDescent="0.25">
      <c r="K2969" s="227"/>
      <c r="L2969" s="227"/>
    </row>
    <row r="2970" spans="11:12" x14ac:dyDescent="0.25">
      <c r="K2970" s="227"/>
      <c r="L2970" s="227"/>
    </row>
    <row r="2971" spans="11:12" x14ac:dyDescent="0.25">
      <c r="K2971" s="227"/>
      <c r="L2971" s="227"/>
    </row>
    <row r="2972" spans="11:12" x14ac:dyDescent="0.25">
      <c r="K2972" s="227"/>
      <c r="L2972" s="227"/>
    </row>
    <row r="2973" spans="11:12" x14ac:dyDescent="0.25">
      <c r="K2973" s="227"/>
      <c r="L2973" s="227"/>
    </row>
    <row r="2974" spans="11:12" x14ac:dyDescent="0.25">
      <c r="K2974" s="227"/>
      <c r="L2974" s="227"/>
    </row>
    <row r="2975" spans="11:12" x14ac:dyDescent="0.25">
      <c r="K2975" s="227"/>
      <c r="L2975" s="227"/>
    </row>
    <row r="2976" spans="11:12" x14ac:dyDescent="0.25">
      <c r="K2976" s="227"/>
      <c r="L2976" s="227"/>
    </row>
    <row r="2977" spans="11:12" x14ac:dyDescent="0.25">
      <c r="K2977" s="227"/>
      <c r="L2977" s="227"/>
    </row>
    <row r="2978" spans="11:12" x14ac:dyDescent="0.25">
      <c r="K2978" s="227"/>
      <c r="L2978" s="227"/>
    </row>
    <row r="2979" spans="11:12" x14ac:dyDescent="0.25">
      <c r="K2979" s="227"/>
      <c r="L2979" s="227"/>
    </row>
    <row r="2980" spans="11:12" x14ac:dyDescent="0.25">
      <c r="K2980" s="227"/>
      <c r="L2980" s="227"/>
    </row>
    <row r="2981" spans="11:12" x14ac:dyDescent="0.25">
      <c r="K2981" s="227"/>
      <c r="L2981" s="227"/>
    </row>
    <row r="2982" spans="11:12" x14ac:dyDescent="0.25">
      <c r="K2982" s="227"/>
      <c r="L2982" s="227"/>
    </row>
    <row r="2983" spans="11:12" x14ac:dyDescent="0.25">
      <c r="K2983" s="227"/>
      <c r="L2983" s="227"/>
    </row>
    <row r="2984" spans="11:12" x14ac:dyDescent="0.25">
      <c r="K2984" s="227"/>
      <c r="L2984" s="227"/>
    </row>
    <row r="2985" spans="11:12" x14ac:dyDescent="0.25">
      <c r="K2985" s="227"/>
      <c r="L2985" s="227"/>
    </row>
    <row r="2986" spans="11:12" x14ac:dyDescent="0.25">
      <c r="K2986" s="227"/>
      <c r="L2986" s="227"/>
    </row>
    <row r="2987" spans="11:12" x14ac:dyDescent="0.25">
      <c r="K2987" s="227"/>
      <c r="L2987" s="227"/>
    </row>
    <row r="2988" spans="11:12" x14ac:dyDescent="0.25">
      <c r="K2988" s="227"/>
      <c r="L2988" s="227"/>
    </row>
    <row r="2989" spans="11:12" x14ac:dyDescent="0.25">
      <c r="K2989" s="227"/>
      <c r="L2989" s="227"/>
    </row>
    <row r="2990" spans="11:12" x14ac:dyDescent="0.25">
      <c r="K2990" s="227"/>
      <c r="L2990" s="227"/>
    </row>
    <row r="2991" spans="11:12" x14ac:dyDescent="0.25">
      <c r="K2991" s="227"/>
      <c r="L2991" s="227"/>
    </row>
    <row r="2992" spans="11:12" x14ac:dyDescent="0.25">
      <c r="K2992" s="227"/>
      <c r="L2992" s="227"/>
    </row>
    <row r="2993" spans="11:12" x14ac:dyDescent="0.25">
      <c r="K2993" s="227"/>
      <c r="L2993" s="227"/>
    </row>
    <row r="2994" spans="11:12" x14ac:dyDescent="0.25">
      <c r="K2994" s="227"/>
      <c r="L2994" s="227"/>
    </row>
    <row r="2995" spans="11:12" x14ac:dyDescent="0.25">
      <c r="K2995" s="227"/>
      <c r="L2995" s="227"/>
    </row>
    <row r="2996" spans="11:12" x14ac:dyDescent="0.25">
      <c r="K2996" s="227"/>
      <c r="L2996" s="227"/>
    </row>
    <row r="2997" spans="11:12" x14ac:dyDescent="0.25">
      <c r="K2997" s="227"/>
      <c r="L2997" s="227"/>
    </row>
    <row r="2998" spans="11:12" x14ac:dyDescent="0.25">
      <c r="K2998" s="227"/>
      <c r="L2998" s="227"/>
    </row>
    <row r="2999" spans="11:12" x14ac:dyDescent="0.25">
      <c r="K2999" s="227"/>
      <c r="L2999" s="227"/>
    </row>
    <row r="3000" spans="11:12" x14ac:dyDescent="0.25">
      <c r="K3000" s="227"/>
      <c r="L3000" s="227"/>
    </row>
    <row r="3001" spans="11:12" x14ac:dyDescent="0.25">
      <c r="K3001" s="227"/>
      <c r="L3001" s="227"/>
    </row>
    <row r="3002" spans="11:12" x14ac:dyDescent="0.25">
      <c r="K3002" s="227"/>
      <c r="L3002" s="227"/>
    </row>
    <row r="3003" spans="11:12" x14ac:dyDescent="0.25">
      <c r="K3003" s="227"/>
      <c r="L3003" s="227"/>
    </row>
    <row r="3004" spans="11:12" x14ac:dyDescent="0.25">
      <c r="K3004" s="227"/>
      <c r="L3004" s="227"/>
    </row>
    <row r="3005" spans="11:12" x14ac:dyDescent="0.25">
      <c r="K3005" s="227"/>
      <c r="L3005" s="227"/>
    </row>
    <row r="3006" spans="11:12" x14ac:dyDescent="0.25">
      <c r="K3006" s="227"/>
      <c r="L3006" s="227"/>
    </row>
    <row r="3007" spans="11:12" x14ac:dyDescent="0.25">
      <c r="K3007" s="227"/>
      <c r="L3007" s="227"/>
    </row>
    <row r="3008" spans="11:12" x14ac:dyDescent="0.25">
      <c r="K3008" s="227"/>
      <c r="L3008" s="227"/>
    </row>
    <row r="3009" spans="11:12" x14ac:dyDescent="0.25">
      <c r="K3009" s="227"/>
      <c r="L3009" s="227"/>
    </row>
    <row r="3010" spans="11:12" x14ac:dyDescent="0.25">
      <c r="K3010" s="227"/>
      <c r="L3010" s="227"/>
    </row>
    <row r="3011" spans="11:12" x14ac:dyDescent="0.25">
      <c r="K3011" s="227"/>
      <c r="L3011" s="227"/>
    </row>
    <row r="3012" spans="11:12" x14ac:dyDescent="0.25">
      <c r="K3012" s="227"/>
      <c r="L3012" s="227"/>
    </row>
    <row r="3013" spans="11:12" x14ac:dyDescent="0.25">
      <c r="K3013" s="227"/>
      <c r="L3013" s="227"/>
    </row>
    <row r="3014" spans="11:12" x14ac:dyDescent="0.25">
      <c r="K3014" s="227"/>
      <c r="L3014" s="227"/>
    </row>
    <row r="3015" spans="11:12" x14ac:dyDescent="0.25">
      <c r="K3015" s="227"/>
      <c r="L3015" s="227"/>
    </row>
    <row r="3016" spans="11:12" x14ac:dyDescent="0.25">
      <c r="K3016" s="227"/>
      <c r="L3016" s="227"/>
    </row>
    <row r="3017" spans="11:12" x14ac:dyDescent="0.25">
      <c r="K3017" s="227"/>
      <c r="L3017" s="227"/>
    </row>
    <row r="3018" spans="11:12" x14ac:dyDescent="0.25">
      <c r="K3018" s="227"/>
      <c r="L3018" s="227"/>
    </row>
    <row r="3019" spans="11:12" x14ac:dyDescent="0.25">
      <c r="K3019" s="227"/>
      <c r="L3019" s="227"/>
    </row>
    <row r="3020" spans="11:12" x14ac:dyDescent="0.25">
      <c r="K3020" s="227"/>
      <c r="L3020" s="227"/>
    </row>
    <row r="3021" spans="11:12" x14ac:dyDescent="0.25">
      <c r="K3021" s="227"/>
      <c r="L3021" s="227"/>
    </row>
    <row r="3022" spans="11:12" x14ac:dyDescent="0.25">
      <c r="K3022" s="227"/>
      <c r="L3022" s="227"/>
    </row>
    <row r="3023" spans="11:12" x14ac:dyDescent="0.25">
      <c r="K3023" s="227"/>
      <c r="L3023" s="227"/>
    </row>
    <row r="3024" spans="11:12" x14ac:dyDescent="0.25">
      <c r="K3024" s="227"/>
      <c r="L3024" s="227"/>
    </row>
    <row r="3025" spans="11:12" x14ac:dyDescent="0.25">
      <c r="K3025" s="227"/>
      <c r="L3025" s="227"/>
    </row>
    <row r="3026" spans="11:12" x14ac:dyDescent="0.25">
      <c r="K3026" s="227"/>
      <c r="L3026" s="227"/>
    </row>
    <row r="3027" spans="11:12" x14ac:dyDescent="0.25">
      <c r="K3027" s="227"/>
      <c r="L3027" s="227"/>
    </row>
    <row r="3028" spans="11:12" x14ac:dyDescent="0.25">
      <c r="K3028" s="227"/>
      <c r="L3028" s="227"/>
    </row>
    <row r="3029" spans="11:12" x14ac:dyDescent="0.25">
      <c r="K3029" s="227"/>
      <c r="L3029" s="227"/>
    </row>
    <row r="3030" spans="11:12" x14ac:dyDescent="0.25">
      <c r="K3030" s="227"/>
      <c r="L3030" s="227"/>
    </row>
    <row r="3031" spans="11:12" x14ac:dyDescent="0.25">
      <c r="K3031" s="227"/>
      <c r="L3031" s="227"/>
    </row>
    <row r="3032" spans="11:12" x14ac:dyDescent="0.25">
      <c r="K3032" s="227"/>
      <c r="L3032" s="227"/>
    </row>
    <row r="3033" spans="11:12" x14ac:dyDescent="0.25">
      <c r="K3033" s="227"/>
      <c r="L3033" s="227"/>
    </row>
    <row r="3034" spans="11:12" x14ac:dyDescent="0.25">
      <c r="K3034" s="227"/>
      <c r="L3034" s="227"/>
    </row>
    <row r="3035" spans="11:12" x14ac:dyDescent="0.25">
      <c r="K3035" s="227"/>
      <c r="L3035" s="227"/>
    </row>
    <row r="3036" spans="11:12" x14ac:dyDescent="0.25">
      <c r="K3036" s="227"/>
      <c r="L3036" s="227"/>
    </row>
    <row r="3037" spans="11:12" x14ac:dyDescent="0.25">
      <c r="K3037" s="227"/>
      <c r="L3037" s="227"/>
    </row>
    <row r="3038" spans="11:12" x14ac:dyDescent="0.25">
      <c r="K3038" s="227"/>
      <c r="L3038" s="227"/>
    </row>
    <row r="3039" spans="11:12" x14ac:dyDescent="0.25">
      <c r="K3039" s="227"/>
      <c r="L3039" s="227"/>
    </row>
    <row r="3040" spans="11:12" x14ac:dyDescent="0.25">
      <c r="K3040" s="227"/>
      <c r="L3040" s="227"/>
    </row>
    <row r="3041" spans="11:12" x14ac:dyDescent="0.25">
      <c r="K3041" s="227"/>
      <c r="L3041" s="227"/>
    </row>
    <row r="3042" spans="11:12" x14ac:dyDescent="0.25">
      <c r="K3042" s="227"/>
      <c r="L3042" s="227"/>
    </row>
    <row r="3043" spans="11:12" x14ac:dyDescent="0.25">
      <c r="K3043" s="227"/>
      <c r="L3043" s="227"/>
    </row>
    <row r="3044" spans="11:12" x14ac:dyDescent="0.25">
      <c r="K3044" s="227"/>
      <c r="L3044" s="227"/>
    </row>
    <row r="3045" spans="11:12" x14ac:dyDescent="0.25">
      <c r="K3045" s="227"/>
      <c r="L3045" s="227"/>
    </row>
    <row r="3046" spans="11:12" x14ac:dyDescent="0.25">
      <c r="K3046" s="227"/>
      <c r="L3046" s="227"/>
    </row>
    <row r="3047" spans="11:12" x14ac:dyDescent="0.25">
      <c r="K3047" s="227"/>
      <c r="L3047" s="227"/>
    </row>
    <row r="3048" spans="11:12" x14ac:dyDescent="0.25">
      <c r="K3048" s="227"/>
      <c r="L3048" s="227"/>
    </row>
    <row r="3049" spans="11:12" x14ac:dyDescent="0.25">
      <c r="K3049" s="227"/>
      <c r="L3049" s="227"/>
    </row>
    <row r="3050" spans="11:12" x14ac:dyDescent="0.25">
      <c r="K3050" s="227"/>
      <c r="L3050" s="227"/>
    </row>
    <row r="3051" spans="11:12" x14ac:dyDescent="0.25">
      <c r="K3051" s="227"/>
      <c r="L3051" s="227"/>
    </row>
    <row r="3052" spans="11:12" x14ac:dyDescent="0.25">
      <c r="K3052" s="227"/>
      <c r="L3052" s="227"/>
    </row>
    <row r="3053" spans="11:12" x14ac:dyDescent="0.25">
      <c r="K3053" s="227"/>
      <c r="L3053" s="227"/>
    </row>
    <row r="3054" spans="11:12" x14ac:dyDescent="0.25">
      <c r="K3054" s="227"/>
      <c r="L3054" s="227"/>
    </row>
    <row r="3055" spans="11:12" x14ac:dyDescent="0.25">
      <c r="K3055" s="227"/>
      <c r="L3055" s="227"/>
    </row>
    <row r="3056" spans="11:12" x14ac:dyDescent="0.25">
      <c r="K3056" s="227"/>
      <c r="L3056" s="227"/>
    </row>
    <row r="3057" spans="11:12" x14ac:dyDescent="0.25">
      <c r="K3057" s="227"/>
      <c r="L3057" s="227"/>
    </row>
    <row r="3058" spans="11:12" x14ac:dyDescent="0.25">
      <c r="K3058" s="227"/>
      <c r="L3058" s="227"/>
    </row>
    <row r="3059" spans="11:12" x14ac:dyDescent="0.25">
      <c r="K3059" s="227"/>
      <c r="L3059" s="227"/>
    </row>
    <row r="3060" spans="11:12" x14ac:dyDescent="0.25">
      <c r="K3060" s="227"/>
      <c r="L3060" s="227"/>
    </row>
    <row r="3061" spans="11:12" x14ac:dyDescent="0.25">
      <c r="K3061" s="227"/>
      <c r="L3061" s="227"/>
    </row>
    <row r="3062" spans="11:12" x14ac:dyDescent="0.25">
      <c r="K3062" s="227"/>
      <c r="L3062" s="227"/>
    </row>
    <row r="3063" spans="11:12" x14ac:dyDescent="0.25">
      <c r="K3063" s="227"/>
      <c r="L3063" s="227"/>
    </row>
    <row r="3064" spans="11:12" x14ac:dyDescent="0.25">
      <c r="K3064" s="227"/>
      <c r="L3064" s="227"/>
    </row>
    <row r="3065" spans="11:12" x14ac:dyDescent="0.25">
      <c r="K3065" s="227"/>
      <c r="L3065" s="227"/>
    </row>
    <row r="3066" spans="11:12" x14ac:dyDescent="0.25">
      <c r="K3066" s="227"/>
      <c r="L3066" s="227"/>
    </row>
    <row r="3067" spans="11:12" x14ac:dyDescent="0.25">
      <c r="K3067" s="227"/>
      <c r="L3067" s="227"/>
    </row>
    <row r="3068" spans="11:12" x14ac:dyDescent="0.25">
      <c r="K3068" s="227"/>
      <c r="L3068" s="227"/>
    </row>
    <row r="3069" spans="11:12" x14ac:dyDescent="0.25">
      <c r="K3069" s="227"/>
      <c r="L3069" s="227"/>
    </row>
    <row r="3070" spans="11:12" x14ac:dyDescent="0.25">
      <c r="K3070" s="227"/>
      <c r="L3070" s="227"/>
    </row>
    <row r="3071" spans="11:12" x14ac:dyDescent="0.25">
      <c r="K3071" s="227"/>
      <c r="L3071" s="227"/>
    </row>
    <row r="3072" spans="11:12" x14ac:dyDescent="0.25">
      <c r="K3072" s="227"/>
      <c r="L3072" s="227"/>
    </row>
    <row r="3073" spans="11:12" x14ac:dyDescent="0.25">
      <c r="K3073" s="227"/>
      <c r="L3073" s="227"/>
    </row>
    <row r="3074" spans="11:12" x14ac:dyDescent="0.25">
      <c r="K3074" s="227"/>
      <c r="L3074" s="227"/>
    </row>
    <row r="3075" spans="11:12" x14ac:dyDescent="0.25">
      <c r="K3075" s="227"/>
      <c r="L3075" s="227"/>
    </row>
    <row r="3076" spans="11:12" x14ac:dyDescent="0.25">
      <c r="K3076" s="227"/>
      <c r="L3076" s="227"/>
    </row>
    <row r="3077" spans="11:12" x14ac:dyDescent="0.25">
      <c r="K3077" s="227"/>
      <c r="L3077" s="227"/>
    </row>
    <row r="3078" spans="11:12" x14ac:dyDescent="0.25">
      <c r="K3078" s="227"/>
      <c r="L3078" s="227"/>
    </row>
    <row r="3079" spans="11:12" x14ac:dyDescent="0.25">
      <c r="K3079" s="227"/>
      <c r="L3079" s="227"/>
    </row>
    <row r="3080" spans="11:12" x14ac:dyDescent="0.25">
      <c r="K3080" s="227"/>
      <c r="L3080" s="227"/>
    </row>
    <row r="3081" spans="11:12" x14ac:dyDescent="0.25">
      <c r="K3081" s="227"/>
      <c r="L3081" s="227"/>
    </row>
    <row r="3082" spans="11:12" x14ac:dyDescent="0.25">
      <c r="K3082" s="227"/>
      <c r="L3082" s="227"/>
    </row>
    <row r="3083" spans="11:12" x14ac:dyDescent="0.25">
      <c r="K3083" s="227"/>
      <c r="L3083" s="227"/>
    </row>
    <row r="3084" spans="11:12" x14ac:dyDescent="0.25">
      <c r="K3084" s="227"/>
      <c r="L3084" s="227"/>
    </row>
    <row r="3085" spans="11:12" x14ac:dyDescent="0.25">
      <c r="K3085" s="227"/>
      <c r="L3085" s="227"/>
    </row>
    <row r="3086" spans="11:12" x14ac:dyDescent="0.25">
      <c r="K3086" s="227"/>
      <c r="L3086" s="227"/>
    </row>
    <row r="3087" spans="11:12" x14ac:dyDescent="0.25">
      <c r="K3087" s="227"/>
      <c r="L3087" s="227"/>
    </row>
    <row r="3088" spans="11:12" x14ac:dyDescent="0.25">
      <c r="K3088" s="227"/>
      <c r="L3088" s="227"/>
    </row>
    <row r="3089" spans="11:12" x14ac:dyDescent="0.25">
      <c r="K3089" s="227"/>
      <c r="L3089" s="227"/>
    </row>
    <row r="3090" spans="11:12" x14ac:dyDescent="0.25">
      <c r="K3090" s="227"/>
      <c r="L3090" s="227"/>
    </row>
    <row r="3091" spans="11:12" x14ac:dyDescent="0.25">
      <c r="K3091" s="227"/>
      <c r="L3091" s="227"/>
    </row>
    <row r="3092" spans="11:12" x14ac:dyDescent="0.25">
      <c r="K3092" s="227"/>
      <c r="L3092" s="227"/>
    </row>
    <row r="3093" spans="11:12" x14ac:dyDescent="0.25">
      <c r="K3093" s="227"/>
      <c r="L3093" s="227"/>
    </row>
    <row r="3094" spans="11:12" x14ac:dyDescent="0.25">
      <c r="K3094" s="227"/>
      <c r="L3094" s="227"/>
    </row>
    <row r="3095" spans="11:12" x14ac:dyDescent="0.25">
      <c r="K3095" s="227"/>
      <c r="L3095" s="227"/>
    </row>
    <row r="3096" spans="11:12" x14ac:dyDescent="0.25">
      <c r="K3096" s="227"/>
      <c r="L3096" s="227"/>
    </row>
    <row r="3097" spans="11:12" x14ac:dyDescent="0.25">
      <c r="K3097" s="227"/>
      <c r="L3097" s="227"/>
    </row>
    <row r="3098" spans="11:12" x14ac:dyDescent="0.25">
      <c r="K3098" s="227"/>
      <c r="L3098" s="227"/>
    </row>
    <row r="3099" spans="11:12" x14ac:dyDescent="0.25">
      <c r="K3099" s="227"/>
      <c r="L3099" s="227"/>
    </row>
    <row r="3100" spans="11:12" x14ac:dyDescent="0.25">
      <c r="K3100" s="227"/>
      <c r="L3100" s="227"/>
    </row>
    <row r="3101" spans="11:12" x14ac:dyDescent="0.25">
      <c r="K3101" s="227"/>
      <c r="L3101" s="227"/>
    </row>
    <row r="3102" spans="11:12" x14ac:dyDescent="0.25">
      <c r="K3102" s="227"/>
      <c r="L3102" s="227"/>
    </row>
    <row r="3103" spans="11:12" x14ac:dyDescent="0.25">
      <c r="K3103" s="227"/>
      <c r="L3103" s="227"/>
    </row>
    <row r="3104" spans="11:12" x14ac:dyDescent="0.25">
      <c r="K3104" s="227"/>
      <c r="L3104" s="227"/>
    </row>
    <row r="3105" spans="11:12" x14ac:dyDescent="0.25">
      <c r="K3105" s="227"/>
      <c r="L3105" s="227"/>
    </row>
    <row r="3106" spans="11:12" x14ac:dyDescent="0.25">
      <c r="K3106" s="227"/>
      <c r="L3106" s="227"/>
    </row>
    <row r="3107" spans="11:12" x14ac:dyDescent="0.25">
      <c r="K3107" s="227"/>
      <c r="L3107" s="227"/>
    </row>
    <row r="3108" spans="11:12" x14ac:dyDescent="0.25">
      <c r="K3108" s="227"/>
      <c r="L3108" s="227"/>
    </row>
    <row r="3109" spans="11:12" x14ac:dyDescent="0.25">
      <c r="K3109" s="227"/>
      <c r="L3109" s="227"/>
    </row>
    <row r="3110" spans="11:12" x14ac:dyDescent="0.25">
      <c r="K3110" s="227"/>
      <c r="L3110" s="227"/>
    </row>
    <row r="3111" spans="11:12" x14ac:dyDescent="0.25">
      <c r="K3111" s="227"/>
      <c r="L3111" s="227"/>
    </row>
    <row r="3112" spans="11:12" x14ac:dyDescent="0.25">
      <c r="K3112" s="227"/>
      <c r="L3112" s="227"/>
    </row>
    <row r="3113" spans="11:12" x14ac:dyDescent="0.25">
      <c r="K3113" s="227"/>
      <c r="L3113" s="227"/>
    </row>
    <row r="3114" spans="11:12" x14ac:dyDescent="0.25">
      <c r="K3114" s="227"/>
      <c r="L3114" s="227"/>
    </row>
    <row r="3115" spans="11:12" x14ac:dyDescent="0.25">
      <c r="K3115" s="227"/>
      <c r="L3115" s="227"/>
    </row>
    <row r="3116" spans="11:12" x14ac:dyDescent="0.25">
      <c r="K3116" s="227"/>
      <c r="L3116" s="227"/>
    </row>
    <row r="3117" spans="11:12" x14ac:dyDescent="0.25">
      <c r="K3117" s="227"/>
      <c r="L3117" s="227"/>
    </row>
    <row r="3118" spans="11:12" x14ac:dyDescent="0.25">
      <c r="K3118" s="227"/>
      <c r="L3118" s="227"/>
    </row>
    <row r="3119" spans="11:12" x14ac:dyDescent="0.25">
      <c r="K3119" s="227"/>
      <c r="L3119" s="227"/>
    </row>
    <row r="3120" spans="11:12" x14ac:dyDescent="0.25">
      <c r="K3120" s="227"/>
      <c r="L3120" s="227"/>
    </row>
    <row r="3121" spans="11:12" x14ac:dyDescent="0.25">
      <c r="K3121" s="227"/>
      <c r="L3121" s="227"/>
    </row>
    <row r="3122" spans="11:12" x14ac:dyDescent="0.25">
      <c r="K3122" s="227"/>
      <c r="L3122" s="227"/>
    </row>
    <row r="3123" spans="11:12" x14ac:dyDescent="0.25">
      <c r="K3123" s="227"/>
      <c r="L3123" s="227"/>
    </row>
    <row r="3124" spans="11:12" x14ac:dyDescent="0.25">
      <c r="K3124" s="227"/>
      <c r="L3124" s="227"/>
    </row>
    <row r="3125" spans="11:12" x14ac:dyDescent="0.25">
      <c r="K3125" s="227"/>
      <c r="L3125" s="227"/>
    </row>
    <row r="3126" spans="11:12" x14ac:dyDescent="0.25">
      <c r="K3126" s="227"/>
      <c r="L3126" s="227"/>
    </row>
    <row r="3127" spans="11:12" x14ac:dyDescent="0.25">
      <c r="K3127" s="227"/>
      <c r="L3127" s="227"/>
    </row>
    <row r="3128" spans="11:12" x14ac:dyDescent="0.25">
      <c r="K3128" s="227"/>
      <c r="L3128" s="227"/>
    </row>
    <row r="3129" spans="11:12" x14ac:dyDescent="0.25">
      <c r="K3129" s="227"/>
      <c r="L3129" s="227"/>
    </row>
    <row r="3130" spans="11:12" x14ac:dyDescent="0.25">
      <c r="K3130" s="227"/>
      <c r="L3130" s="227"/>
    </row>
    <row r="3131" spans="11:12" x14ac:dyDescent="0.25">
      <c r="K3131" s="227"/>
      <c r="L3131" s="227"/>
    </row>
    <row r="3132" spans="11:12" x14ac:dyDescent="0.25">
      <c r="K3132" s="227"/>
      <c r="L3132" s="227"/>
    </row>
    <row r="3133" spans="11:12" x14ac:dyDescent="0.25">
      <c r="K3133" s="227"/>
      <c r="L3133" s="227"/>
    </row>
    <row r="3134" spans="11:12" x14ac:dyDescent="0.25">
      <c r="K3134" s="227"/>
      <c r="L3134" s="227"/>
    </row>
    <row r="3135" spans="11:12" x14ac:dyDescent="0.25">
      <c r="K3135" s="227"/>
      <c r="L3135" s="227"/>
    </row>
    <row r="3136" spans="11:12" x14ac:dyDescent="0.25">
      <c r="K3136" s="227"/>
      <c r="L3136" s="227"/>
    </row>
    <row r="3137" spans="11:12" x14ac:dyDescent="0.25">
      <c r="K3137" s="227"/>
      <c r="L3137" s="227"/>
    </row>
    <row r="3138" spans="11:12" x14ac:dyDescent="0.25">
      <c r="K3138" s="227"/>
      <c r="L3138" s="227"/>
    </row>
    <row r="3139" spans="11:12" x14ac:dyDescent="0.25">
      <c r="K3139" s="227"/>
      <c r="L3139" s="227"/>
    </row>
    <row r="3140" spans="11:12" x14ac:dyDescent="0.25">
      <c r="K3140" s="227"/>
      <c r="L3140" s="227"/>
    </row>
    <row r="3141" spans="11:12" x14ac:dyDescent="0.25">
      <c r="K3141" s="227"/>
      <c r="L3141" s="227"/>
    </row>
    <row r="3142" spans="11:12" x14ac:dyDescent="0.25">
      <c r="K3142" s="227"/>
      <c r="L3142" s="227"/>
    </row>
    <row r="3143" spans="11:12" x14ac:dyDescent="0.25">
      <c r="K3143" s="227"/>
      <c r="L3143" s="227"/>
    </row>
    <row r="3144" spans="11:12" x14ac:dyDescent="0.25">
      <c r="K3144" s="227"/>
      <c r="L3144" s="227"/>
    </row>
    <row r="3145" spans="11:12" x14ac:dyDescent="0.25">
      <c r="K3145" s="227"/>
      <c r="L3145" s="227"/>
    </row>
    <row r="3146" spans="11:12" x14ac:dyDescent="0.25">
      <c r="K3146" s="227"/>
      <c r="L3146" s="227"/>
    </row>
    <row r="3147" spans="11:12" x14ac:dyDescent="0.25">
      <c r="K3147" s="227"/>
      <c r="L3147" s="227"/>
    </row>
    <row r="3148" spans="11:12" x14ac:dyDescent="0.25">
      <c r="K3148" s="227"/>
      <c r="L3148" s="227"/>
    </row>
    <row r="3149" spans="11:12" x14ac:dyDescent="0.25">
      <c r="K3149" s="227"/>
      <c r="L3149" s="227"/>
    </row>
    <row r="3150" spans="11:12" x14ac:dyDescent="0.25">
      <c r="K3150" s="227"/>
      <c r="L3150" s="227"/>
    </row>
    <row r="3151" spans="11:12" x14ac:dyDescent="0.25">
      <c r="K3151" s="227"/>
      <c r="L3151" s="227"/>
    </row>
    <row r="3152" spans="11:12" x14ac:dyDescent="0.25">
      <c r="K3152" s="227"/>
      <c r="L3152" s="227"/>
    </row>
    <row r="3153" spans="11:12" x14ac:dyDescent="0.25">
      <c r="K3153" s="227"/>
      <c r="L3153" s="227"/>
    </row>
    <row r="3154" spans="11:12" x14ac:dyDescent="0.25">
      <c r="K3154" s="227"/>
      <c r="L3154" s="227"/>
    </row>
    <row r="3155" spans="11:12" x14ac:dyDescent="0.25">
      <c r="K3155" s="227"/>
      <c r="L3155" s="227"/>
    </row>
    <row r="3156" spans="11:12" x14ac:dyDescent="0.25">
      <c r="K3156" s="227"/>
      <c r="L3156" s="227"/>
    </row>
    <row r="3157" spans="11:12" x14ac:dyDescent="0.25">
      <c r="K3157" s="227"/>
      <c r="L3157" s="227"/>
    </row>
    <row r="3158" spans="11:12" x14ac:dyDescent="0.25">
      <c r="K3158" s="227"/>
      <c r="L3158" s="227"/>
    </row>
    <row r="3159" spans="11:12" x14ac:dyDescent="0.25">
      <c r="K3159" s="227"/>
      <c r="L3159" s="227"/>
    </row>
    <row r="3160" spans="11:12" x14ac:dyDescent="0.25">
      <c r="K3160" s="227"/>
      <c r="L3160" s="227"/>
    </row>
    <row r="3161" spans="11:12" x14ac:dyDescent="0.25">
      <c r="K3161" s="227"/>
      <c r="L3161" s="227"/>
    </row>
    <row r="3162" spans="11:12" x14ac:dyDescent="0.25">
      <c r="K3162" s="227"/>
      <c r="L3162" s="227"/>
    </row>
    <row r="3163" spans="11:12" x14ac:dyDescent="0.25">
      <c r="K3163" s="227"/>
      <c r="L3163" s="227"/>
    </row>
    <row r="3164" spans="11:12" x14ac:dyDescent="0.25">
      <c r="K3164" s="227"/>
      <c r="L3164" s="227"/>
    </row>
    <row r="3165" spans="11:12" x14ac:dyDescent="0.25">
      <c r="K3165" s="227"/>
      <c r="L3165" s="227"/>
    </row>
    <row r="3166" spans="11:12" x14ac:dyDescent="0.25">
      <c r="K3166" s="227"/>
      <c r="L3166" s="227"/>
    </row>
    <row r="3167" spans="11:12" x14ac:dyDescent="0.25">
      <c r="K3167" s="227"/>
      <c r="L3167" s="227"/>
    </row>
    <row r="3168" spans="11:12" x14ac:dyDescent="0.25">
      <c r="K3168" s="227"/>
      <c r="L3168" s="227"/>
    </row>
    <row r="3169" spans="11:12" x14ac:dyDescent="0.25">
      <c r="K3169" s="227"/>
      <c r="L3169" s="227"/>
    </row>
    <row r="3170" spans="11:12" x14ac:dyDescent="0.25">
      <c r="K3170" s="227"/>
      <c r="L3170" s="227"/>
    </row>
    <row r="3171" spans="11:12" x14ac:dyDescent="0.25">
      <c r="K3171" s="227"/>
      <c r="L3171" s="227"/>
    </row>
    <row r="3172" spans="11:12" x14ac:dyDescent="0.25">
      <c r="K3172" s="227"/>
      <c r="L3172" s="227"/>
    </row>
    <row r="3173" spans="11:12" x14ac:dyDescent="0.25">
      <c r="K3173" s="227"/>
      <c r="L3173" s="227"/>
    </row>
    <row r="3174" spans="11:12" x14ac:dyDescent="0.25">
      <c r="K3174" s="227"/>
      <c r="L3174" s="227"/>
    </row>
    <row r="3175" spans="11:12" x14ac:dyDescent="0.25">
      <c r="K3175" s="227"/>
      <c r="L3175" s="227"/>
    </row>
    <row r="3176" spans="11:12" x14ac:dyDescent="0.25">
      <c r="K3176" s="227"/>
      <c r="L3176" s="227"/>
    </row>
    <row r="3177" spans="11:12" x14ac:dyDescent="0.25">
      <c r="K3177" s="227"/>
      <c r="L3177" s="227"/>
    </row>
    <row r="3178" spans="11:12" x14ac:dyDescent="0.25">
      <c r="K3178" s="227"/>
      <c r="L3178" s="227"/>
    </row>
    <row r="3179" spans="11:12" x14ac:dyDescent="0.25">
      <c r="K3179" s="227"/>
      <c r="L3179" s="227"/>
    </row>
    <row r="3180" spans="11:12" x14ac:dyDescent="0.25">
      <c r="K3180" s="227"/>
      <c r="L3180" s="227"/>
    </row>
    <row r="3181" spans="11:12" x14ac:dyDescent="0.25">
      <c r="K3181" s="227"/>
      <c r="L3181" s="227"/>
    </row>
    <row r="3182" spans="11:12" x14ac:dyDescent="0.25">
      <c r="K3182" s="227"/>
      <c r="L3182" s="227"/>
    </row>
    <row r="3183" spans="11:12" x14ac:dyDescent="0.25">
      <c r="K3183" s="227"/>
      <c r="L3183" s="227"/>
    </row>
    <row r="3184" spans="11:12" x14ac:dyDescent="0.25">
      <c r="K3184" s="227"/>
      <c r="L3184" s="227"/>
    </row>
    <row r="3185" spans="11:12" x14ac:dyDescent="0.25">
      <c r="K3185" s="227"/>
      <c r="L3185" s="227"/>
    </row>
    <row r="3186" spans="11:12" x14ac:dyDescent="0.25">
      <c r="K3186" s="227"/>
      <c r="L3186" s="227"/>
    </row>
    <row r="3187" spans="11:12" x14ac:dyDescent="0.25">
      <c r="K3187" s="227"/>
      <c r="L3187" s="227"/>
    </row>
    <row r="3188" spans="11:12" x14ac:dyDescent="0.25">
      <c r="K3188" s="227"/>
      <c r="L3188" s="227"/>
    </row>
    <row r="3189" spans="11:12" x14ac:dyDescent="0.25">
      <c r="K3189" s="227"/>
      <c r="L3189" s="227"/>
    </row>
    <row r="3190" spans="11:12" x14ac:dyDescent="0.25">
      <c r="K3190" s="227"/>
      <c r="L3190" s="227"/>
    </row>
    <row r="3191" spans="11:12" x14ac:dyDescent="0.25">
      <c r="K3191" s="227"/>
      <c r="L3191" s="227"/>
    </row>
    <row r="3192" spans="11:12" x14ac:dyDescent="0.25">
      <c r="K3192" s="227"/>
      <c r="L3192" s="227"/>
    </row>
    <row r="3193" spans="11:12" x14ac:dyDescent="0.25">
      <c r="K3193" s="227"/>
      <c r="L3193" s="227"/>
    </row>
    <row r="3194" spans="11:12" x14ac:dyDescent="0.25">
      <c r="K3194" s="227"/>
      <c r="L3194" s="227"/>
    </row>
    <row r="3195" spans="11:12" x14ac:dyDescent="0.25">
      <c r="K3195" s="227"/>
      <c r="L3195" s="227"/>
    </row>
    <row r="3196" spans="11:12" x14ac:dyDescent="0.25">
      <c r="K3196" s="227"/>
      <c r="L3196" s="227"/>
    </row>
    <row r="3197" spans="11:12" x14ac:dyDescent="0.25">
      <c r="K3197" s="227"/>
      <c r="L3197" s="227"/>
    </row>
    <row r="3198" spans="11:12" x14ac:dyDescent="0.25">
      <c r="K3198" s="227"/>
      <c r="L3198" s="227"/>
    </row>
    <row r="3199" spans="11:12" x14ac:dyDescent="0.25">
      <c r="K3199" s="227"/>
      <c r="L3199" s="227"/>
    </row>
    <row r="3200" spans="11:12" x14ac:dyDescent="0.25">
      <c r="K3200" s="227"/>
      <c r="L3200" s="227"/>
    </row>
    <row r="3201" spans="11:12" x14ac:dyDescent="0.25">
      <c r="K3201" s="227"/>
      <c r="L3201" s="227"/>
    </row>
    <row r="3202" spans="11:12" x14ac:dyDescent="0.25">
      <c r="K3202" s="227"/>
      <c r="L3202" s="227"/>
    </row>
    <row r="3203" spans="11:12" x14ac:dyDescent="0.25">
      <c r="K3203" s="227"/>
      <c r="L3203" s="227"/>
    </row>
    <row r="3204" spans="11:12" x14ac:dyDescent="0.25">
      <c r="K3204" s="227"/>
      <c r="L3204" s="227"/>
    </row>
    <row r="3205" spans="11:12" x14ac:dyDescent="0.25">
      <c r="K3205" s="227"/>
      <c r="L3205" s="227"/>
    </row>
    <row r="3206" spans="11:12" x14ac:dyDescent="0.25">
      <c r="K3206" s="227"/>
      <c r="L3206" s="227"/>
    </row>
    <row r="3207" spans="11:12" x14ac:dyDescent="0.25">
      <c r="K3207" s="227"/>
      <c r="L3207" s="227"/>
    </row>
    <row r="3208" spans="11:12" x14ac:dyDescent="0.25">
      <c r="K3208" s="227"/>
      <c r="L3208" s="227"/>
    </row>
    <row r="3209" spans="11:12" x14ac:dyDescent="0.25">
      <c r="K3209" s="227"/>
      <c r="L3209" s="227"/>
    </row>
    <row r="3210" spans="11:12" x14ac:dyDescent="0.25">
      <c r="K3210" s="227"/>
      <c r="L3210" s="227"/>
    </row>
    <row r="3211" spans="11:12" x14ac:dyDescent="0.25">
      <c r="K3211" s="227"/>
      <c r="L3211" s="227"/>
    </row>
    <row r="3212" spans="11:12" x14ac:dyDescent="0.25">
      <c r="K3212" s="227"/>
      <c r="L3212" s="227"/>
    </row>
    <row r="3213" spans="11:12" x14ac:dyDescent="0.25">
      <c r="K3213" s="227"/>
      <c r="L3213" s="227"/>
    </row>
    <row r="3214" spans="11:12" x14ac:dyDescent="0.25">
      <c r="K3214" s="227"/>
      <c r="L3214" s="227"/>
    </row>
    <row r="3215" spans="11:12" x14ac:dyDescent="0.25">
      <c r="K3215" s="227"/>
      <c r="L3215" s="227"/>
    </row>
    <row r="3216" spans="11:12" x14ac:dyDescent="0.25">
      <c r="K3216" s="227"/>
      <c r="L3216" s="227"/>
    </row>
    <row r="3217" spans="11:12" x14ac:dyDescent="0.25">
      <c r="K3217" s="227"/>
      <c r="L3217" s="227"/>
    </row>
    <row r="3218" spans="11:12" x14ac:dyDescent="0.25">
      <c r="K3218" s="227"/>
      <c r="L3218" s="227"/>
    </row>
    <row r="3219" spans="11:12" x14ac:dyDescent="0.25">
      <c r="K3219" s="227"/>
      <c r="L3219" s="227"/>
    </row>
    <row r="3220" spans="11:12" x14ac:dyDescent="0.25">
      <c r="K3220" s="227"/>
      <c r="L3220" s="227"/>
    </row>
    <row r="3221" spans="11:12" x14ac:dyDescent="0.25">
      <c r="K3221" s="227"/>
      <c r="L3221" s="227"/>
    </row>
    <row r="3222" spans="11:12" x14ac:dyDescent="0.25">
      <c r="K3222" s="227"/>
      <c r="L3222" s="227"/>
    </row>
    <row r="3223" spans="11:12" x14ac:dyDescent="0.25">
      <c r="K3223" s="227"/>
      <c r="L3223" s="227"/>
    </row>
    <row r="3224" spans="11:12" x14ac:dyDescent="0.25">
      <c r="K3224" s="227"/>
      <c r="L3224" s="227"/>
    </row>
    <row r="3225" spans="11:12" x14ac:dyDescent="0.25">
      <c r="K3225" s="227"/>
      <c r="L3225" s="227"/>
    </row>
    <row r="3226" spans="11:12" x14ac:dyDescent="0.25">
      <c r="K3226" s="227"/>
      <c r="L3226" s="227"/>
    </row>
    <row r="3227" spans="11:12" x14ac:dyDescent="0.25">
      <c r="K3227" s="227"/>
      <c r="L3227" s="227"/>
    </row>
    <row r="3228" spans="11:12" x14ac:dyDescent="0.25">
      <c r="K3228" s="227"/>
      <c r="L3228" s="227"/>
    </row>
    <row r="3229" spans="11:12" x14ac:dyDescent="0.25">
      <c r="K3229" s="227"/>
      <c r="L3229" s="227"/>
    </row>
    <row r="3230" spans="11:12" x14ac:dyDescent="0.25">
      <c r="K3230" s="227"/>
      <c r="L3230" s="227"/>
    </row>
    <row r="3231" spans="11:12" x14ac:dyDescent="0.25">
      <c r="K3231" s="227"/>
      <c r="L3231" s="227"/>
    </row>
    <row r="3232" spans="11:12" x14ac:dyDescent="0.25">
      <c r="K3232" s="227"/>
      <c r="L3232" s="227"/>
    </row>
    <row r="3233" spans="11:12" x14ac:dyDescent="0.25">
      <c r="K3233" s="227"/>
      <c r="L3233" s="227"/>
    </row>
    <row r="3234" spans="11:12" x14ac:dyDescent="0.25">
      <c r="K3234" s="227"/>
      <c r="L3234" s="227"/>
    </row>
    <row r="3235" spans="11:12" x14ac:dyDescent="0.25">
      <c r="K3235" s="227"/>
      <c r="L3235" s="227"/>
    </row>
    <row r="3236" spans="11:12" x14ac:dyDescent="0.25">
      <c r="K3236" s="227"/>
      <c r="L3236" s="227"/>
    </row>
    <row r="3237" spans="11:12" x14ac:dyDescent="0.25">
      <c r="K3237" s="227"/>
      <c r="L3237" s="227"/>
    </row>
    <row r="3238" spans="11:12" x14ac:dyDescent="0.25">
      <c r="K3238" s="227"/>
      <c r="L3238" s="227"/>
    </row>
    <row r="3239" spans="11:12" x14ac:dyDescent="0.25">
      <c r="K3239" s="227"/>
      <c r="L3239" s="227"/>
    </row>
    <row r="3240" spans="11:12" x14ac:dyDescent="0.25">
      <c r="K3240" s="227"/>
      <c r="L3240" s="227"/>
    </row>
    <row r="3241" spans="11:12" x14ac:dyDescent="0.25">
      <c r="K3241" s="227"/>
      <c r="L3241" s="227"/>
    </row>
    <row r="3242" spans="11:12" x14ac:dyDescent="0.25">
      <c r="K3242" s="227"/>
      <c r="L3242" s="227"/>
    </row>
    <row r="3243" spans="11:12" x14ac:dyDescent="0.25">
      <c r="K3243" s="227"/>
      <c r="L3243" s="227"/>
    </row>
    <row r="3244" spans="11:12" x14ac:dyDescent="0.25">
      <c r="K3244" s="227"/>
      <c r="L3244" s="227"/>
    </row>
    <row r="3245" spans="11:12" x14ac:dyDescent="0.25">
      <c r="K3245" s="227"/>
      <c r="L3245" s="227"/>
    </row>
    <row r="3246" spans="11:12" x14ac:dyDescent="0.25">
      <c r="K3246" s="227"/>
      <c r="L3246" s="227"/>
    </row>
    <row r="3247" spans="11:12" x14ac:dyDescent="0.25">
      <c r="K3247" s="227"/>
      <c r="L3247" s="227"/>
    </row>
    <row r="3248" spans="11:12" x14ac:dyDescent="0.25">
      <c r="K3248" s="227"/>
      <c r="L3248" s="227"/>
    </row>
    <row r="3249" spans="11:12" x14ac:dyDescent="0.25">
      <c r="K3249" s="227"/>
      <c r="L3249" s="227"/>
    </row>
    <row r="3250" spans="11:12" x14ac:dyDescent="0.25">
      <c r="K3250" s="227"/>
      <c r="L3250" s="227"/>
    </row>
    <row r="3251" spans="11:12" x14ac:dyDescent="0.25">
      <c r="K3251" s="227"/>
      <c r="L3251" s="227"/>
    </row>
    <row r="3252" spans="11:12" x14ac:dyDescent="0.25">
      <c r="K3252" s="227"/>
      <c r="L3252" s="227"/>
    </row>
    <row r="3253" spans="11:12" x14ac:dyDescent="0.25">
      <c r="K3253" s="227"/>
      <c r="L3253" s="227"/>
    </row>
    <row r="3254" spans="11:12" x14ac:dyDescent="0.25">
      <c r="K3254" s="227"/>
      <c r="L3254" s="227"/>
    </row>
    <row r="3255" spans="11:12" x14ac:dyDescent="0.25">
      <c r="K3255" s="227"/>
      <c r="L3255" s="227"/>
    </row>
    <row r="3256" spans="11:12" x14ac:dyDescent="0.25">
      <c r="K3256" s="227"/>
      <c r="L3256" s="227"/>
    </row>
    <row r="3257" spans="11:12" x14ac:dyDescent="0.25">
      <c r="K3257" s="227"/>
      <c r="L3257" s="227"/>
    </row>
    <row r="3258" spans="11:12" x14ac:dyDescent="0.25">
      <c r="K3258" s="227"/>
      <c r="L3258" s="227"/>
    </row>
    <row r="3259" spans="11:12" x14ac:dyDescent="0.25">
      <c r="K3259" s="227"/>
      <c r="L3259" s="227"/>
    </row>
    <row r="3260" spans="11:12" x14ac:dyDescent="0.25">
      <c r="K3260" s="227"/>
      <c r="L3260" s="227"/>
    </row>
    <row r="3261" spans="11:12" x14ac:dyDescent="0.25">
      <c r="K3261" s="227"/>
      <c r="L3261" s="227"/>
    </row>
    <row r="3262" spans="11:12" x14ac:dyDescent="0.25">
      <c r="K3262" s="227"/>
      <c r="L3262" s="227"/>
    </row>
    <row r="3263" spans="11:12" x14ac:dyDescent="0.25">
      <c r="K3263" s="227"/>
      <c r="L3263" s="227"/>
    </row>
    <row r="3264" spans="11:12" x14ac:dyDescent="0.25">
      <c r="K3264" s="227"/>
      <c r="L3264" s="227"/>
    </row>
    <row r="3265" spans="11:12" x14ac:dyDescent="0.25">
      <c r="K3265" s="227"/>
      <c r="L3265" s="227"/>
    </row>
    <row r="3266" spans="11:12" x14ac:dyDescent="0.25">
      <c r="K3266" s="227"/>
      <c r="L3266" s="227"/>
    </row>
    <row r="3267" spans="11:12" x14ac:dyDescent="0.25">
      <c r="K3267" s="227"/>
      <c r="L3267" s="227"/>
    </row>
    <row r="3268" spans="11:12" x14ac:dyDescent="0.25">
      <c r="K3268" s="227"/>
      <c r="L3268" s="227"/>
    </row>
    <row r="3269" spans="11:12" x14ac:dyDescent="0.25">
      <c r="K3269" s="227"/>
      <c r="L3269" s="227"/>
    </row>
    <row r="3270" spans="11:12" x14ac:dyDescent="0.25">
      <c r="K3270" s="227"/>
      <c r="L3270" s="227"/>
    </row>
    <row r="3271" spans="11:12" x14ac:dyDescent="0.25">
      <c r="K3271" s="227"/>
      <c r="L3271" s="227"/>
    </row>
    <row r="3272" spans="11:12" x14ac:dyDescent="0.25">
      <c r="K3272" s="227"/>
      <c r="L3272" s="227"/>
    </row>
    <row r="3273" spans="11:12" x14ac:dyDescent="0.25">
      <c r="K3273" s="227"/>
      <c r="L3273" s="227"/>
    </row>
    <row r="3274" spans="11:12" x14ac:dyDescent="0.25">
      <c r="K3274" s="227"/>
      <c r="L3274" s="227"/>
    </row>
    <row r="3275" spans="11:12" x14ac:dyDescent="0.25">
      <c r="K3275" s="227"/>
      <c r="L3275" s="227"/>
    </row>
    <row r="3276" spans="11:12" x14ac:dyDescent="0.25">
      <c r="K3276" s="227"/>
      <c r="L3276" s="227"/>
    </row>
    <row r="3277" spans="11:12" x14ac:dyDescent="0.25">
      <c r="K3277" s="227"/>
      <c r="L3277" s="227"/>
    </row>
    <row r="3278" spans="11:12" x14ac:dyDescent="0.25">
      <c r="K3278" s="227"/>
      <c r="L3278" s="227"/>
    </row>
    <row r="3279" spans="11:12" x14ac:dyDescent="0.25">
      <c r="K3279" s="227"/>
      <c r="L3279" s="227"/>
    </row>
    <row r="3280" spans="11:12" x14ac:dyDescent="0.25">
      <c r="K3280" s="227"/>
      <c r="L3280" s="227"/>
    </row>
    <row r="3281" spans="11:12" x14ac:dyDescent="0.25">
      <c r="K3281" s="227"/>
      <c r="L3281" s="227"/>
    </row>
    <row r="3282" spans="11:12" x14ac:dyDescent="0.25">
      <c r="K3282" s="227"/>
      <c r="L3282" s="227"/>
    </row>
    <row r="3283" spans="11:12" x14ac:dyDescent="0.25">
      <c r="K3283" s="227"/>
      <c r="L3283" s="227"/>
    </row>
    <row r="3284" spans="11:12" x14ac:dyDescent="0.25">
      <c r="K3284" s="227"/>
      <c r="L3284" s="227"/>
    </row>
    <row r="3285" spans="11:12" x14ac:dyDescent="0.25">
      <c r="K3285" s="227"/>
      <c r="L3285" s="227"/>
    </row>
    <row r="3286" spans="11:12" x14ac:dyDescent="0.25">
      <c r="K3286" s="227"/>
      <c r="L3286" s="227"/>
    </row>
    <row r="3287" spans="11:12" x14ac:dyDescent="0.25">
      <c r="K3287" s="227"/>
      <c r="L3287" s="227"/>
    </row>
    <row r="3288" spans="11:12" x14ac:dyDescent="0.25">
      <c r="K3288" s="227"/>
      <c r="L3288" s="227"/>
    </row>
    <row r="3289" spans="11:12" x14ac:dyDescent="0.25">
      <c r="K3289" s="227"/>
      <c r="L3289" s="227"/>
    </row>
    <row r="3290" spans="11:12" x14ac:dyDescent="0.25">
      <c r="K3290" s="227"/>
      <c r="L3290" s="227"/>
    </row>
    <row r="3291" spans="11:12" x14ac:dyDescent="0.25">
      <c r="K3291" s="227"/>
      <c r="L3291" s="227"/>
    </row>
    <row r="3292" spans="11:12" x14ac:dyDescent="0.25">
      <c r="K3292" s="227"/>
      <c r="L3292" s="227"/>
    </row>
    <row r="3293" spans="11:12" x14ac:dyDescent="0.25">
      <c r="K3293" s="227"/>
      <c r="L3293" s="227"/>
    </row>
    <row r="3294" spans="11:12" x14ac:dyDescent="0.25">
      <c r="K3294" s="227"/>
      <c r="L3294" s="227"/>
    </row>
    <row r="3295" spans="11:12" x14ac:dyDescent="0.25">
      <c r="K3295" s="227"/>
      <c r="L3295" s="227"/>
    </row>
    <row r="3296" spans="11:12" x14ac:dyDescent="0.25">
      <c r="K3296" s="227"/>
      <c r="L3296" s="227"/>
    </row>
    <row r="3297" spans="11:12" x14ac:dyDescent="0.25">
      <c r="K3297" s="227"/>
      <c r="L3297" s="227"/>
    </row>
    <row r="3298" spans="11:12" x14ac:dyDescent="0.25">
      <c r="K3298" s="227"/>
      <c r="L3298" s="227"/>
    </row>
    <row r="3299" spans="11:12" x14ac:dyDescent="0.25">
      <c r="K3299" s="227"/>
      <c r="L3299" s="227"/>
    </row>
    <row r="3300" spans="11:12" x14ac:dyDescent="0.25">
      <c r="K3300" s="227"/>
      <c r="L3300" s="227"/>
    </row>
    <row r="3301" spans="11:12" x14ac:dyDescent="0.25">
      <c r="K3301" s="227"/>
      <c r="L3301" s="227"/>
    </row>
    <row r="3302" spans="11:12" x14ac:dyDescent="0.25">
      <c r="K3302" s="227"/>
      <c r="L3302" s="227"/>
    </row>
    <row r="3303" spans="11:12" x14ac:dyDescent="0.25">
      <c r="K3303" s="227"/>
      <c r="L3303" s="227"/>
    </row>
    <row r="3304" spans="11:12" x14ac:dyDescent="0.25">
      <c r="K3304" s="227"/>
      <c r="L3304" s="227"/>
    </row>
    <row r="3305" spans="11:12" x14ac:dyDescent="0.25">
      <c r="K3305" s="227"/>
      <c r="L3305" s="227"/>
    </row>
    <row r="3306" spans="11:12" x14ac:dyDescent="0.25">
      <c r="K3306" s="227"/>
      <c r="L3306" s="227"/>
    </row>
    <row r="3307" spans="11:12" x14ac:dyDescent="0.25">
      <c r="K3307" s="227"/>
      <c r="L3307" s="227"/>
    </row>
    <row r="3308" spans="11:12" x14ac:dyDescent="0.25">
      <c r="K3308" s="227"/>
      <c r="L3308" s="227"/>
    </row>
    <row r="3309" spans="11:12" x14ac:dyDescent="0.25">
      <c r="K3309" s="227"/>
      <c r="L3309" s="227"/>
    </row>
    <row r="3310" spans="11:12" x14ac:dyDescent="0.25">
      <c r="K3310" s="227"/>
      <c r="L3310" s="227"/>
    </row>
    <row r="3311" spans="11:12" x14ac:dyDescent="0.25">
      <c r="K3311" s="227"/>
      <c r="L3311" s="227"/>
    </row>
    <row r="3312" spans="11:12" x14ac:dyDescent="0.25">
      <c r="K3312" s="227"/>
      <c r="L3312" s="227"/>
    </row>
    <row r="3313" spans="11:12" x14ac:dyDescent="0.25">
      <c r="K3313" s="227"/>
      <c r="L3313" s="227"/>
    </row>
    <row r="3314" spans="11:12" x14ac:dyDescent="0.25">
      <c r="K3314" s="227"/>
      <c r="L3314" s="227"/>
    </row>
    <row r="3315" spans="11:12" x14ac:dyDescent="0.25">
      <c r="K3315" s="227"/>
      <c r="L3315" s="227"/>
    </row>
    <row r="3316" spans="11:12" x14ac:dyDescent="0.25">
      <c r="K3316" s="227"/>
      <c r="L3316" s="227"/>
    </row>
    <row r="3317" spans="11:12" x14ac:dyDescent="0.25">
      <c r="K3317" s="227"/>
      <c r="L3317" s="227"/>
    </row>
    <row r="3318" spans="11:12" x14ac:dyDescent="0.25">
      <c r="K3318" s="227"/>
      <c r="L3318" s="227"/>
    </row>
    <row r="3319" spans="11:12" x14ac:dyDescent="0.25">
      <c r="K3319" s="227"/>
      <c r="L3319" s="227"/>
    </row>
    <row r="3320" spans="11:12" x14ac:dyDescent="0.25">
      <c r="K3320" s="227"/>
      <c r="L3320" s="227"/>
    </row>
    <row r="3321" spans="11:12" x14ac:dyDescent="0.25">
      <c r="K3321" s="227"/>
      <c r="L3321" s="227"/>
    </row>
    <row r="3322" spans="11:12" x14ac:dyDescent="0.25">
      <c r="K3322" s="227"/>
      <c r="L3322" s="227"/>
    </row>
    <row r="3323" spans="11:12" x14ac:dyDescent="0.25">
      <c r="K3323" s="227"/>
      <c r="L3323" s="227"/>
    </row>
    <row r="3324" spans="11:12" x14ac:dyDescent="0.25">
      <c r="K3324" s="227"/>
      <c r="L3324" s="227"/>
    </row>
    <row r="3325" spans="11:12" x14ac:dyDescent="0.25">
      <c r="K3325" s="227"/>
      <c r="L3325" s="227"/>
    </row>
    <row r="3326" spans="11:12" x14ac:dyDescent="0.25">
      <c r="K3326" s="227"/>
      <c r="L3326" s="227"/>
    </row>
    <row r="3327" spans="11:12" x14ac:dyDescent="0.25">
      <c r="K3327" s="227"/>
      <c r="L3327" s="227"/>
    </row>
    <row r="3328" spans="11:12" x14ac:dyDescent="0.25">
      <c r="K3328" s="227"/>
      <c r="L3328" s="227"/>
    </row>
    <row r="3329" spans="11:12" x14ac:dyDescent="0.25">
      <c r="K3329" s="227"/>
      <c r="L3329" s="227"/>
    </row>
    <row r="3330" spans="11:12" x14ac:dyDescent="0.25">
      <c r="K3330" s="227"/>
      <c r="L3330" s="227"/>
    </row>
    <row r="3331" spans="11:12" x14ac:dyDescent="0.25">
      <c r="K3331" s="227"/>
      <c r="L3331" s="227"/>
    </row>
    <row r="3332" spans="11:12" x14ac:dyDescent="0.25">
      <c r="K3332" s="227"/>
      <c r="L3332" s="227"/>
    </row>
    <row r="3333" spans="11:12" x14ac:dyDescent="0.25">
      <c r="K3333" s="227"/>
      <c r="L3333" s="227"/>
    </row>
    <row r="3334" spans="11:12" x14ac:dyDescent="0.25">
      <c r="K3334" s="227"/>
      <c r="L3334" s="227"/>
    </row>
    <row r="3335" spans="11:12" x14ac:dyDescent="0.25">
      <c r="K3335" s="227"/>
      <c r="L3335" s="227"/>
    </row>
    <row r="3336" spans="11:12" x14ac:dyDescent="0.25">
      <c r="K3336" s="227"/>
      <c r="L3336" s="227"/>
    </row>
    <row r="3337" spans="11:12" x14ac:dyDescent="0.25">
      <c r="K3337" s="227"/>
      <c r="L3337" s="227"/>
    </row>
    <row r="3338" spans="11:12" x14ac:dyDescent="0.25">
      <c r="K3338" s="227"/>
      <c r="L3338" s="227"/>
    </row>
    <row r="3339" spans="11:12" x14ac:dyDescent="0.25">
      <c r="K3339" s="227"/>
      <c r="L3339" s="227"/>
    </row>
    <row r="3340" spans="11:12" x14ac:dyDescent="0.25">
      <c r="K3340" s="227"/>
      <c r="L3340" s="227"/>
    </row>
    <row r="3341" spans="11:12" x14ac:dyDescent="0.25">
      <c r="K3341" s="227"/>
      <c r="L3341" s="227"/>
    </row>
    <row r="3342" spans="11:12" x14ac:dyDescent="0.25">
      <c r="K3342" s="227"/>
      <c r="L3342" s="227"/>
    </row>
    <row r="3343" spans="11:12" x14ac:dyDescent="0.25">
      <c r="K3343" s="227"/>
      <c r="L3343" s="227"/>
    </row>
    <row r="3344" spans="11:12" x14ac:dyDescent="0.25">
      <c r="K3344" s="227"/>
      <c r="L3344" s="227"/>
    </row>
    <row r="3345" spans="11:12" x14ac:dyDescent="0.25">
      <c r="K3345" s="227"/>
      <c r="L3345" s="227"/>
    </row>
    <row r="3346" spans="11:12" x14ac:dyDescent="0.25">
      <c r="K3346" s="227"/>
      <c r="L3346" s="227"/>
    </row>
    <row r="3347" spans="11:12" x14ac:dyDescent="0.25">
      <c r="K3347" s="227"/>
      <c r="L3347" s="227"/>
    </row>
    <row r="3348" spans="11:12" x14ac:dyDescent="0.25">
      <c r="K3348" s="227"/>
      <c r="L3348" s="227"/>
    </row>
    <row r="3349" spans="11:12" x14ac:dyDescent="0.25">
      <c r="K3349" s="227"/>
      <c r="L3349" s="227"/>
    </row>
    <row r="3350" spans="11:12" x14ac:dyDescent="0.25">
      <c r="K3350" s="227"/>
      <c r="L3350" s="227"/>
    </row>
    <row r="3351" spans="11:12" x14ac:dyDescent="0.25">
      <c r="K3351" s="227"/>
      <c r="L3351" s="227"/>
    </row>
    <row r="3352" spans="11:12" x14ac:dyDescent="0.25">
      <c r="K3352" s="227"/>
      <c r="L3352" s="227"/>
    </row>
    <row r="3353" spans="11:12" x14ac:dyDescent="0.25">
      <c r="K3353" s="227"/>
      <c r="L3353" s="227"/>
    </row>
    <row r="3354" spans="11:12" x14ac:dyDescent="0.25">
      <c r="K3354" s="227"/>
      <c r="L3354" s="227"/>
    </row>
    <row r="3355" spans="11:12" x14ac:dyDescent="0.25">
      <c r="K3355" s="227"/>
      <c r="L3355" s="227"/>
    </row>
    <row r="3356" spans="11:12" x14ac:dyDescent="0.25">
      <c r="K3356" s="227"/>
      <c r="L3356" s="227"/>
    </row>
    <row r="3357" spans="11:12" x14ac:dyDescent="0.25">
      <c r="K3357" s="227"/>
      <c r="L3357" s="227"/>
    </row>
    <row r="3358" spans="11:12" x14ac:dyDescent="0.25">
      <c r="K3358" s="227"/>
      <c r="L3358" s="227"/>
    </row>
    <row r="3359" spans="11:12" x14ac:dyDescent="0.25">
      <c r="K3359" s="227"/>
      <c r="L3359" s="227"/>
    </row>
    <row r="3360" spans="11:12" x14ac:dyDescent="0.25">
      <c r="K3360" s="227"/>
      <c r="L3360" s="227"/>
    </row>
    <row r="3361" spans="11:12" x14ac:dyDescent="0.25">
      <c r="K3361" s="227"/>
      <c r="L3361" s="227"/>
    </row>
    <row r="3362" spans="11:12" x14ac:dyDescent="0.25">
      <c r="K3362" s="227"/>
      <c r="L3362" s="227"/>
    </row>
    <row r="3363" spans="11:12" x14ac:dyDescent="0.25">
      <c r="K3363" s="227"/>
      <c r="L3363" s="227"/>
    </row>
    <row r="3364" spans="11:12" x14ac:dyDescent="0.25">
      <c r="K3364" s="227"/>
      <c r="L3364" s="227"/>
    </row>
    <row r="3365" spans="11:12" x14ac:dyDescent="0.25">
      <c r="K3365" s="227"/>
      <c r="L3365" s="227"/>
    </row>
    <row r="3366" spans="11:12" x14ac:dyDescent="0.25">
      <c r="K3366" s="227"/>
      <c r="L3366" s="227"/>
    </row>
    <row r="3367" spans="11:12" x14ac:dyDescent="0.25">
      <c r="K3367" s="227"/>
      <c r="L3367" s="227"/>
    </row>
    <row r="3368" spans="11:12" x14ac:dyDescent="0.25">
      <c r="K3368" s="227"/>
      <c r="L3368" s="227"/>
    </row>
    <row r="3369" spans="11:12" x14ac:dyDescent="0.25">
      <c r="K3369" s="227"/>
      <c r="L3369" s="227"/>
    </row>
    <row r="3370" spans="11:12" x14ac:dyDescent="0.25">
      <c r="K3370" s="227"/>
      <c r="L3370" s="227"/>
    </row>
    <row r="3371" spans="11:12" x14ac:dyDescent="0.25">
      <c r="K3371" s="227"/>
      <c r="L3371" s="227"/>
    </row>
    <row r="3372" spans="11:12" x14ac:dyDescent="0.25">
      <c r="K3372" s="227"/>
      <c r="L3372" s="227"/>
    </row>
    <row r="3373" spans="11:12" x14ac:dyDescent="0.25">
      <c r="K3373" s="227"/>
      <c r="L3373" s="227"/>
    </row>
    <row r="3374" spans="11:12" x14ac:dyDescent="0.25">
      <c r="K3374" s="227"/>
      <c r="L3374" s="227"/>
    </row>
    <row r="3375" spans="11:12" x14ac:dyDescent="0.25">
      <c r="K3375" s="227"/>
      <c r="L3375" s="227"/>
    </row>
    <row r="3376" spans="11:12" x14ac:dyDescent="0.25">
      <c r="K3376" s="227"/>
      <c r="L3376" s="227"/>
    </row>
    <row r="3377" spans="11:12" x14ac:dyDescent="0.25">
      <c r="K3377" s="227"/>
      <c r="L3377" s="227"/>
    </row>
    <row r="3378" spans="11:12" x14ac:dyDescent="0.25">
      <c r="K3378" s="227"/>
      <c r="L3378" s="227"/>
    </row>
    <row r="3379" spans="11:12" x14ac:dyDescent="0.25">
      <c r="K3379" s="227"/>
      <c r="L3379" s="227"/>
    </row>
    <row r="3380" spans="11:12" x14ac:dyDescent="0.25">
      <c r="K3380" s="227"/>
      <c r="L3380" s="227"/>
    </row>
    <row r="3381" spans="11:12" x14ac:dyDescent="0.25">
      <c r="K3381" s="227"/>
      <c r="L3381" s="227"/>
    </row>
    <row r="3382" spans="11:12" x14ac:dyDescent="0.25">
      <c r="K3382" s="227"/>
      <c r="L3382" s="227"/>
    </row>
    <row r="3383" spans="11:12" x14ac:dyDescent="0.25">
      <c r="K3383" s="227"/>
      <c r="L3383" s="227"/>
    </row>
    <row r="3384" spans="11:12" x14ac:dyDescent="0.25">
      <c r="K3384" s="227"/>
      <c r="L3384" s="227"/>
    </row>
    <row r="3385" spans="11:12" x14ac:dyDescent="0.25">
      <c r="K3385" s="227"/>
      <c r="L3385" s="227"/>
    </row>
    <row r="3386" spans="11:12" x14ac:dyDescent="0.25">
      <c r="K3386" s="227"/>
      <c r="L3386" s="227"/>
    </row>
    <row r="3387" spans="11:12" x14ac:dyDescent="0.25">
      <c r="K3387" s="227"/>
      <c r="L3387" s="227"/>
    </row>
    <row r="3388" spans="11:12" x14ac:dyDescent="0.25">
      <c r="K3388" s="227"/>
      <c r="L3388" s="227"/>
    </row>
    <row r="3389" spans="11:12" x14ac:dyDescent="0.25">
      <c r="K3389" s="227"/>
      <c r="L3389" s="227"/>
    </row>
    <row r="3390" spans="11:12" x14ac:dyDescent="0.25">
      <c r="K3390" s="227"/>
      <c r="L3390" s="227"/>
    </row>
    <row r="3391" spans="11:12" x14ac:dyDescent="0.25">
      <c r="K3391" s="227"/>
      <c r="L3391" s="227"/>
    </row>
    <row r="3392" spans="11:12" x14ac:dyDescent="0.25">
      <c r="K3392" s="227"/>
      <c r="L3392" s="227"/>
    </row>
    <row r="3393" spans="11:12" x14ac:dyDescent="0.25">
      <c r="K3393" s="227"/>
      <c r="L3393" s="227"/>
    </row>
    <row r="3394" spans="11:12" x14ac:dyDescent="0.25">
      <c r="K3394" s="227"/>
      <c r="L3394" s="227"/>
    </row>
    <row r="3395" spans="11:12" x14ac:dyDescent="0.25">
      <c r="K3395" s="227"/>
      <c r="L3395" s="227"/>
    </row>
    <row r="3396" spans="11:12" x14ac:dyDescent="0.25">
      <c r="K3396" s="227"/>
      <c r="L3396" s="227"/>
    </row>
    <row r="3397" spans="11:12" x14ac:dyDescent="0.25">
      <c r="K3397" s="227"/>
      <c r="L3397" s="227"/>
    </row>
    <row r="3398" spans="11:12" x14ac:dyDescent="0.25">
      <c r="K3398" s="227"/>
      <c r="L3398" s="227"/>
    </row>
    <row r="3399" spans="11:12" x14ac:dyDescent="0.25">
      <c r="K3399" s="227"/>
      <c r="L3399" s="227"/>
    </row>
    <row r="3400" spans="11:12" x14ac:dyDescent="0.25">
      <c r="K3400" s="227"/>
      <c r="L3400" s="227"/>
    </row>
    <row r="3401" spans="11:12" x14ac:dyDescent="0.25">
      <c r="K3401" s="227"/>
      <c r="L3401" s="227"/>
    </row>
    <row r="3402" spans="11:12" x14ac:dyDescent="0.25">
      <c r="K3402" s="227"/>
      <c r="L3402" s="227"/>
    </row>
    <row r="3403" spans="11:12" x14ac:dyDescent="0.25">
      <c r="K3403" s="227"/>
      <c r="L3403" s="227"/>
    </row>
    <row r="3404" spans="11:12" x14ac:dyDescent="0.25">
      <c r="K3404" s="227"/>
      <c r="L3404" s="227"/>
    </row>
    <row r="3405" spans="11:12" x14ac:dyDescent="0.25">
      <c r="K3405" s="227"/>
      <c r="L3405" s="227"/>
    </row>
    <row r="3406" spans="11:12" x14ac:dyDescent="0.25">
      <c r="K3406" s="227"/>
      <c r="L3406" s="227"/>
    </row>
    <row r="3407" spans="11:12" x14ac:dyDescent="0.25">
      <c r="K3407" s="227"/>
      <c r="L3407" s="227"/>
    </row>
    <row r="3408" spans="11:12" x14ac:dyDescent="0.25">
      <c r="K3408" s="227"/>
      <c r="L3408" s="227"/>
    </row>
    <row r="3409" spans="11:12" x14ac:dyDescent="0.25">
      <c r="K3409" s="227"/>
      <c r="L3409" s="227"/>
    </row>
    <row r="3410" spans="11:12" x14ac:dyDescent="0.25">
      <c r="K3410" s="227"/>
      <c r="L3410" s="227"/>
    </row>
    <row r="3411" spans="11:12" x14ac:dyDescent="0.25">
      <c r="K3411" s="227"/>
      <c r="L3411" s="227"/>
    </row>
    <row r="3412" spans="11:12" x14ac:dyDescent="0.25">
      <c r="K3412" s="227"/>
      <c r="L3412" s="227"/>
    </row>
    <row r="3413" spans="11:12" x14ac:dyDescent="0.25">
      <c r="K3413" s="227"/>
      <c r="L3413" s="227"/>
    </row>
    <row r="3414" spans="11:12" x14ac:dyDescent="0.25">
      <c r="K3414" s="227"/>
      <c r="L3414" s="227"/>
    </row>
    <row r="3415" spans="11:12" x14ac:dyDescent="0.25">
      <c r="K3415" s="227"/>
      <c r="L3415" s="227"/>
    </row>
    <row r="3416" spans="11:12" x14ac:dyDescent="0.25">
      <c r="K3416" s="227"/>
      <c r="L3416" s="227"/>
    </row>
    <row r="3417" spans="11:12" x14ac:dyDescent="0.25">
      <c r="K3417" s="227"/>
      <c r="L3417" s="227"/>
    </row>
    <row r="3418" spans="11:12" x14ac:dyDescent="0.25">
      <c r="K3418" s="227"/>
      <c r="L3418" s="227"/>
    </row>
    <row r="3419" spans="11:12" x14ac:dyDescent="0.25">
      <c r="K3419" s="227"/>
      <c r="L3419" s="227"/>
    </row>
    <row r="3420" spans="11:12" x14ac:dyDescent="0.25">
      <c r="K3420" s="227"/>
      <c r="L3420" s="227"/>
    </row>
    <row r="3421" spans="11:12" x14ac:dyDescent="0.25">
      <c r="K3421" s="227"/>
      <c r="L3421" s="227"/>
    </row>
    <row r="3422" spans="11:12" x14ac:dyDescent="0.25">
      <c r="K3422" s="227"/>
      <c r="L3422" s="227"/>
    </row>
    <row r="3423" spans="11:12" x14ac:dyDescent="0.25">
      <c r="K3423" s="227"/>
      <c r="L3423" s="227"/>
    </row>
    <row r="3424" spans="11:12" x14ac:dyDescent="0.25">
      <c r="K3424" s="227"/>
      <c r="L3424" s="227"/>
    </row>
    <row r="3425" spans="11:12" x14ac:dyDescent="0.25">
      <c r="K3425" s="227"/>
      <c r="L3425" s="227"/>
    </row>
    <row r="3426" spans="11:12" x14ac:dyDescent="0.25">
      <c r="K3426" s="227"/>
      <c r="L3426" s="227"/>
    </row>
    <row r="3427" spans="11:12" x14ac:dyDescent="0.25">
      <c r="K3427" s="227"/>
      <c r="L3427" s="227"/>
    </row>
    <row r="3428" spans="11:12" x14ac:dyDescent="0.25">
      <c r="K3428" s="227"/>
      <c r="L3428" s="227"/>
    </row>
    <row r="3429" spans="11:12" x14ac:dyDescent="0.25">
      <c r="K3429" s="227"/>
      <c r="L3429" s="227"/>
    </row>
    <row r="3430" spans="11:12" x14ac:dyDescent="0.25">
      <c r="K3430" s="227"/>
      <c r="L3430" s="227"/>
    </row>
    <row r="3431" spans="11:12" x14ac:dyDescent="0.25">
      <c r="K3431" s="227"/>
      <c r="L3431" s="227"/>
    </row>
    <row r="3432" spans="11:12" x14ac:dyDescent="0.25">
      <c r="K3432" s="227"/>
      <c r="L3432" s="227"/>
    </row>
    <row r="3433" spans="11:12" x14ac:dyDescent="0.25">
      <c r="K3433" s="227"/>
      <c r="L3433" s="227"/>
    </row>
    <row r="3434" spans="11:12" x14ac:dyDescent="0.25">
      <c r="K3434" s="227"/>
      <c r="L3434" s="227"/>
    </row>
    <row r="3435" spans="11:12" x14ac:dyDescent="0.25">
      <c r="K3435" s="227"/>
      <c r="L3435" s="227"/>
    </row>
    <row r="3436" spans="11:12" x14ac:dyDescent="0.25">
      <c r="K3436" s="227"/>
      <c r="L3436" s="227"/>
    </row>
    <row r="3437" spans="11:12" x14ac:dyDescent="0.25">
      <c r="K3437" s="227"/>
      <c r="L3437" s="227"/>
    </row>
    <row r="3438" spans="11:12" x14ac:dyDescent="0.25">
      <c r="K3438" s="227"/>
      <c r="L3438" s="227"/>
    </row>
    <row r="3439" spans="11:12" x14ac:dyDescent="0.25">
      <c r="K3439" s="227"/>
      <c r="L3439" s="227"/>
    </row>
    <row r="3440" spans="11:12" x14ac:dyDescent="0.25">
      <c r="K3440" s="227"/>
      <c r="L3440" s="227"/>
    </row>
    <row r="3441" spans="11:12" x14ac:dyDescent="0.25">
      <c r="K3441" s="227"/>
      <c r="L3441" s="227"/>
    </row>
    <row r="3442" spans="11:12" x14ac:dyDescent="0.25">
      <c r="K3442" s="227"/>
      <c r="L3442" s="227"/>
    </row>
    <row r="3443" spans="11:12" x14ac:dyDescent="0.25">
      <c r="K3443" s="227"/>
      <c r="L3443" s="227"/>
    </row>
    <row r="3444" spans="11:12" x14ac:dyDescent="0.25">
      <c r="K3444" s="227"/>
      <c r="L3444" s="227"/>
    </row>
    <row r="3445" spans="11:12" x14ac:dyDescent="0.25">
      <c r="K3445" s="227"/>
      <c r="L3445" s="227"/>
    </row>
    <row r="3446" spans="11:12" x14ac:dyDescent="0.25">
      <c r="K3446" s="227"/>
      <c r="L3446" s="227"/>
    </row>
    <row r="3447" spans="11:12" x14ac:dyDescent="0.25">
      <c r="K3447" s="227"/>
      <c r="L3447" s="227"/>
    </row>
    <row r="3448" spans="11:12" x14ac:dyDescent="0.25">
      <c r="K3448" s="227"/>
      <c r="L3448" s="227"/>
    </row>
    <row r="3449" spans="11:12" x14ac:dyDescent="0.25">
      <c r="K3449" s="227"/>
      <c r="L3449" s="227"/>
    </row>
    <row r="3450" spans="11:12" x14ac:dyDescent="0.25">
      <c r="K3450" s="227"/>
      <c r="L3450" s="227"/>
    </row>
    <row r="3451" spans="11:12" x14ac:dyDescent="0.25">
      <c r="K3451" s="227"/>
      <c r="L3451" s="227"/>
    </row>
    <row r="3452" spans="11:12" x14ac:dyDescent="0.25">
      <c r="K3452" s="227"/>
      <c r="L3452" s="227"/>
    </row>
    <row r="3453" spans="11:12" x14ac:dyDescent="0.25">
      <c r="K3453" s="227"/>
      <c r="L3453" s="227"/>
    </row>
    <row r="3454" spans="11:12" x14ac:dyDescent="0.25">
      <c r="K3454" s="227"/>
      <c r="L3454" s="227"/>
    </row>
    <row r="3455" spans="11:12" x14ac:dyDescent="0.25">
      <c r="K3455" s="227"/>
      <c r="L3455" s="227"/>
    </row>
    <row r="3456" spans="11:12" x14ac:dyDescent="0.25">
      <c r="K3456" s="227"/>
      <c r="L3456" s="227"/>
    </row>
    <row r="3457" spans="11:12" x14ac:dyDescent="0.25">
      <c r="K3457" s="227"/>
      <c r="L3457" s="227"/>
    </row>
    <row r="3458" spans="11:12" x14ac:dyDescent="0.25">
      <c r="K3458" s="227"/>
      <c r="L3458" s="227"/>
    </row>
    <row r="3459" spans="11:12" x14ac:dyDescent="0.25">
      <c r="K3459" s="227"/>
      <c r="L3459" s="227"/>
    </row>
    <row r="3460" spans="11:12" x14ac:dyDescent="0.25">
      <c r="K3460" s="227"/>
      <c r="L3460" s="227"/>
    </row>
    <row r="3461" spans="11:12" x14ac:dyDescent="0.25">
      <c r="K3461" s="227"/>
      <c r="L3461" s="227"/>
    </row>
    <row r="3462" spans="11:12" x14ac:dyDescent="0.25">
      <c r="K3462" s="227"/>
      <c r="L3462" s="227"/>
    </row>
    <row r="3463" spans="11:12" x14ac:dyDescent="0.25">
      <c r="K3463" s="227"/>
      <c r="L3463" s="227"/>
    </row>
    <row r="3464" spans="11:12" x14ac:dyDescent="0.25">
      <c r="K3464" s="227"/>
      <c r="L3464" s="227"/>
    </row>
    <row r="3465" spans="11:12" x14ac:dyDescent="0.25">
      <c r="K3465" s="227"/>
      <c r="L3465" s="227"/>
    </row>
    <row r="3466" spans="11:12" x14ac:dyDescent="0.25">
      <c r="K3466" s="227"/>
      <c r="L3466" s="227"/>
    </row>
    <row r="3467" spans="11:12" x14ac:dyDescent="0.25">
      <c r="K3467" s="227"/>
      <c r="L3467" s="227"/>
    </row>
    <row r="3468" spans="11:12" x14ac:dyDescent="0.25">
      <c r="K3468" s="227"/>
      <c r="L3468" s="227"/>
    </row>
    <row r="3469" spans="11:12" x14ac:dyDescent="0.25">
      <c r="K3469" s="227"/>
      <c r="L3469" s="227"/>
    </row>
    <row r="3470" spans="11:12" x14ac:dyDescent="0.25">
      <c r="K3470" s="227"/>
      <c r="L3470" s="227"/>
    </row>
    <row r="3471" spans="11:12" x14ac:dyDescent="0.25">
      <c r="K3471" s="227"/>
      <c r="L3471" s="227"/>
    </row>
    <row r="3472" spans="11:12" x14ac:dyDescent="0.25">
      <c r="K3472" s="227"/>
      <c r="L3472" s="227"/>
    </row>
    <row r="3473" spans="11:12" x14ac:dyDescent="0.25">
      <c r="K3473" s="227"/>
      <c r="L3473" s="227"/>
    </row>
    <row r="3474" spans="11:12" x14ac:dyDescent="0.25">
      <c r="K3474" s="227"/>
      <c r="L3474" s="227"/>
    </row>
    <row r="3475" spans="11:12" x14ac:dyDescent="0.25">
      <c r="K3475" s="227"/>
      <c r="L3475" s="227"/>
    </row>
    <row r="3476" spans="11:12" x14ac:dyDescent="0.25">
      <c r="K3476" s="227"/>
      <c r="L3476" s="227"/>
    </row>
    <row r="3477" spans="11:12" x14ac:dyDescent="0.25">
      <c r="K3477" s="227"/>
      <c r="L3477" s="227"/>
    </row>
    <row r="3478" spans="11:12" x14ac:dyDescent="0.25">
      <c r="K3478" s="227"/>
      <c r="L3478" s="227"/>
    </row>
    <row r="3479" spans="11:12" x14ac:dyDescent="0.25">
      <c r="K3479" s="227"/>
      <c r="L3479" s="227"/>
    </row>
    <row r="3480" spans="11:12" x14ac:dyDescent="0.25">
      <c r="K3480" s="227"/>
      <c r="L3480" s="227"/>
    </row>
    <row r="3481" spans="11:12" x14ac:dyDescent="0.25">
      <c r="K3481" s="227"/>
      <c r="L3481" s="227"/>
    </row>
    <row r="3482" spans="11:12" x14ac:dyDescent="0.25">
      <c r="K3482" s="227"/>
      <c r="L3482" s="227"/>
    </row>
    <row r="3483" spans="11:12" x14ac:dyDescent="0.25">
      <c r="K3483" s="227"/>
      <c r="L3483" s="227"/>
    </row>
    <row r="3484" spans="11:12" x14ac:dyDescent="0.25">
      <c r="K3484" s="227"/>
      <c r="L3484" s="227"/>
    </row>
    <row r="3485" spans="11:12" x14ac:dyDescent="0.25">
      <c r="K3485" s="227"/>
      <c r="L3485" s="227"/>
    </row>
    <row r="3486" spans="11:12" x14ac:dyDescent="0.25">
      <c r="K3486" s="227"/>
      <c r="L3486" s="227"/>
    </row>
    <row r="3487" spans="11:12" x14ac:dyDescent="0.25">
      <c r="K3487" s="227"/>
      <c r="L3487" s="227"/>
    </row>
    <row r="3488" spans="11:12" x14ac:dyDescent="0.25">
      <c r="K3488" s="227"/>
      <c r="L3488" s="227"/>
    </row>
    <row r="3489" spans="11:12" x14ac:dyDescent="0.25">
      <c r="K3489" s="227"/>
      <c r="L3489" s="227"/>
    </row>
    <row r="3490" spans="11:12" x14ac:dyDescent="0.25">
      <c r="K3490" s="227"/>
      <c r="L3490" s="227"/>
    </row>
    <row r="3491" spans="11:12" x14ac:dyDescent="0.25">
      <c r="K3491" s="227"/>
      <c r="L3491" s="227"/>
    </row>
    <row r="3492" spans="11:12" x14ac:dyDescent="0.25">
      <c r="K3492" s="227"/>
      <c r="L3492" s="227"/>
    </row>
    <row r="3493" spans="11:12" x14ac:dyDescent="0.25">
      <c r="K3493" s="227"/>
      <c r="L3493" s="227"/>
    </row>
    <row r="3494" spans="11:12" x14ac:dyDescent="0.25">
      <c r="K3494" s="227"/>
      <c r="L3494" s="227"/>
    </row>
    <row r="3495" spans="11:12" x14ac:dyDescent="0.25">
      <c r="K3495" s="227"/>
      <c r="L3495" s="227"/>
    </row>
    <row r="3496" spans="11:12" x14ac:dyDescent="0.25">
      <c r="K3496" s="227"/>
      <c r="L3496" s="227"/>
    </row>
    <row r="3497" spans="11:12" x14ac:dyDescent="0.25">
      <c r="K3497" s="227"/>
      <c r="L3497" s="227"/>
    </row>
    <row r="3498" spans="11:12" x14ac:dyDescent="0.25">
      <c r="K3498" s="227"/>
      <c r="L3498" s="227"/>
    </row>
    <row r="3499" spans="11:12" x14ac:dyDescent="0.25">
      <c r="K3499" s="227"/>
      <c r="L3499" s="227"/>
    </row>
    <row r="3500" spans="11:12" x14ac:dyDescent="0.25">
      <c r="K3500" s="227"/>
      <c r="L3500" s="227"/>
    </row>
    <row r="3501" spans="11:12" x14ac:dyDescent="0.25">
      <c r="K3501" s="227"/>
      <c r="L3501" s="227"/>
    </row>
    <row r="3502" spans="11:12" x14ac:dyDescent="0.25">
      <c r="K3502" s="227"/>
      <c r="L3502" s="227"/>
    </row>
    <row r="3503" spans="11:12" x14ac:dyDescent="0.25">
      <c r="K3503" s="227"/>
      <c r="L3503" s="227"/>
    </row>
    <row r="3504" spans="11:12" x14ac:dyDescent="0.25">
      <c r="K3504" s="227"/>
      <c r="L3504" s="227"/>
    </row>
    <row r="3505" spans="11:12" x14ac:dyDescent="0.25">
      <c r="K3505" s="227"/>
      <c r="L3505" s="227"/>
    </row>
    <row r="3506" spans="11:12" x14ac:dyDescent="0.25">
      <c r="K3506" s="227"/>
      <c r="L3506" s="227"/>
    </row>
    <row r="3507" spans="11:12" x14ac:dyDescent="0.25">
      <c r="K3507" s="227"/>
      <c r="L3507" s="227"/>
    </row>
    <row r="3508" spans="11:12" x14ac:dyDescent="0.25">
      <c r="K3508" s="227"/>
      <c r="L3508" s="227"/>
    </row>
    <row r="3509" spans="11:12" x14ac:dyDescent="0.25">
      <c r="K3509" s="227"/>
      <c r="L3509" s="227"/>
    </row>
    <row r="3510" spans="11:12" x14ac:dyDescent="0.25">
      <c r="K3510" s="227"/>
      <c r="L3510" s="227"/>
    </row>
    <row r="3511" spans="11:12" x14ac:dyDescent="0.25">
      <c r="K3511" s="227"/>
      <c r="L3511" s="227"/>
    </row>
    <row r="3512" spans="11:12" x14ac:dyDescent="0.25">
      <c r="K3512" s="227"/>
      <c r="L3512" s="227"/>
    </row>
    <row r="3513" spans="11:12" x14ac:dyDescent="0.25">
      <c r="K3513" s="227"/>
      <c r="L3513" s="227"/>
    </row>
    <row r="3514" spans="11:12" x14ac:dyDescent="0.25">
      <c r="K3514" s="227"/>
      <c r="L3514" s="227"/>
    </row>
    <row r="3515" spans="11:12" x14ac:dyDescent="0.25">
      <c r="K3515" s="227"/>
      <c r="L3515" s="227"/>
    </row>
    <row r="3516" spans="11:12" x14ac:dyDescent="0.25">
      <c r="K3516" s="227"/>
      <c r="L3516" s="227"/>
    </row>
    <row r="3517" spans="11:12" x14ac:dyDescent="0.25">
      <c r="K3517" s="227"/>
      <c r="L3517" s="227"/>
    </row>
    <row r="3518" spans="11:12" x14ac:dyDescent="0.25">
      <c r="K3518" s="227"/>
      <c r="L3518" s="227"/>
    </row>
    <row r="3519" spans="11:12" x14ac:dyDescent="0.25">
      <c r="K3519" s="227"/>
      <c r="L3519" s="227"/>
    </row>
    <row r="3520" spans="11:12" x14ac:dyDescent="0.25">
      <c r="K3520" s="227"/>
      <c r="L3520" s="227"/>
    </row>
    <row r="3521" spans="11:12" x14ac:dyDescent="0.25">
      <c r="K3521" s="227"/>
      <c r="L3521" s="227"/>
    </row>
    <row r="3522" spans="11:12" x14ac:dyDescent="0.25">
      <c r="K3522" s="227"/>
      <c r="L3522" s="227"/>
    </row>
    <row r="3523" spans="11:12" x14ac:dyDescent="0.25">
      <c r="K3523" s="227"/>
      <c r="L3523" s="227"/>
    </row>
    <row r="3524" spans="11:12" x14ac:dyDescent="0.25">
      <c r="K3524" s="227"/>
      <c r="L3524" s="227"/>
    </row>
    <row r="3525" spans="11:12" x14ac:dyDescent="0.25">
      <c r="K3525" s="227"/>
      <c r="L3525" s="227"/>
    </row>
    <row r="3526" spans="11:12" x14ac:dyDescent="0.25">
      <c r="K3526" s="227"/>
      <c r="L3526" s="227"/>
    </row>
    <row r="3527" spans="11:12" x14ac:dyDescent="0.25">
      <c r="K3527" s="227"/>
      <c r="L3527" s="227"/>
    </row>
    <row r="3528" spans="11:12" x14ac:dyDescent="0.25">
      <c r="K3528" s="227"/>
      <c r="L3528" s="227"/>
    </row>
    <row r="3529" spans="11:12" x14ac:dyDescent="0.25">
      <c r="K3529" s="227"/>
      <c r="L3529" s="227"/>
    </row>
    <row r="3530" spans="11:12" x14ac:dyDescent="0.25">
      <c r="K3530" s="227"/>
      <c r="L3530" s="227"/>
    </row>
    <row r="3531" spans="11:12" x14ac:dyDescent="0.25">
      <c r="K3531" s="227"/>
      <c r="L3531" s="227"/>
    </row>
    <row r="3532" spans="11:12" x14ac:dyDescent="0.25">
      <c r="K3532" s="227"/>
      <c r="L3532" s="227"/>
    </row>
    <row r="3533" spans="11:12" x14ac:dyDescent="0.25">
      <c r="K3533" s="227"/>
      <c r="L3533" s="227"/>
    </row>
    <row r="3534" spans="11:12" x14ac:dyDescent="0.25">
      <c r="K3534" s="227"/>
      <c r="L3534" s="227"/>
    </row>
    <row r="3535" spans="11:12" x14ac:dyDescent="0.25">
      <c r="K3535" s="227"/>
      <c r="L3535" s="227"/>
    </row>
    <row r="3536" spans="11:12" x14ac:dyDescent="0.25">
      <c r="K3536" s="227"/>
      <c r="L3536" s="227"/>
    </row>
    <row r="3537" spans="11:12" x14ac:dyDescent="0.25">
      <c r="K3537" s="227"/>
      <c r="L3537" s="227"/>
    </row>
    <row r="3538" spans="11:12" x14ac:dyDescent="0.25">
      <c r="K3538" s="227"/>
      <c r="L3538" s="227"/>
    </row>
    <row r="3539" spans="11:12" x14ac:dyDescent="0.25">
      <c r="K3539" s="227"/>
      <c r="L3539" s="227"/>
    </row>
    <row r="3540" spans="11:12" x14ac:dyDescent="0.25">
      <c r="K3540" s="227"/>
      <c r="L3540" s="227"/>
    </row>
    <row r="3541" spans="11:12" x14ac:dyDescent="0.25">
      <c r="K3541" s="227"/>
      <c r="L3541" s="227"/>
    </row>
    <row r="3542" spans="11:12" x14ac:dyDescent="0.25">
      <c r="K3542" s="227"/>
      <c r="L3542" s="227"/>
    </row>
    <row r="3543" spans="11:12" x14ac:dyDescent="0.25">
      <c r="K3543" s="227"/>
      <c r="L3543" s="227"/>
    </row>
    <row r="3544" spans="11:12" x14ac:dyDescent="0.25">
      <c r="K3544" s="227"/>
      <c r="L3544" s="227"/>
    </row>
    <row r="3545" spans="11:12" x14ac:dyDescent="0.25">
      <c r="K3545" s="227"/>
      <c r="L3545" s="227"/>
    </row>
    <row r="3546" spans="11:12" x14ac:dyDescent="0.25">
      <c r="K3546" s="227"/>
      <c r="L3546" s="227"/>
    </row>
    <row r="3547" spans="11:12" x14ac:dyDescent="0.25">
      <c r="K3547" s="227"/>
      <c r="L3547" s="227"/>
    </row>
    <row r="3548" spans="11:12" x14ac:dyDescent="0.25">
      <c r="K3548" s="227"/>
      <c r="L3548" s="227"/>
    </row>
    <row r="3549" spans="11:12" x14ac:dyDescent="0.25">
      <c r="K3549" s="227"/>
      <c r="L3549" s="227"/>
    </row>
    <row r="3550" spans="11:12" x14ac:dyDescent="0.25">
      <c r="K3550" s="227"/>
      <c r="L3550" s="227"/>
    </row>
    <row r="3551" spans="11:12" x14ac:dyDescent="0.25">
      <c r="K3551" s="227"/>
      <c r="L3551" s="227"/>
    </row>
    <row r="3552" spans="11:12" x14ac:dyDescent="0.25">
      <c r="K3552" s="227"/>
      <c r="L3552" s="227"/>
    </row>
    <row r="3553" spans="11:12" x14ac:dyDescent="0.25">
      <c r="K3553" s="227"/>
      <c r="L3553" s="227"/>
    </row>
    <row r="3554" spans="11:12" x14ac:dyDescent="0.25">
      <c r="K3554" s="227"/>
      <c r="L3554" s="227"/>
    </row>
    <row r="3555" spans="11:12" x14ac:dyDescent="0.25">
      <c r="K3555" s="227"/>
      <c r="L3555" s="227"/>
    </row>
    <row r="3556" spans="11:12" x14ac:dyDescent="0.25">
      <c r="K3556" s="227"/>
      <c r="L3556" s="227"/>
    </row>
    <row r="3557" spans="11:12" x14ac:dyDescent="0.25">
      <c r="K3557" s="227"/>
      <c r="L3557" s="227"/>
    </row>
    <row r="3558" spans="11:12" x14ac:dyDescent="0.25">
      <c r="K3558" s="227"/>
      <c r="L3558" s="227"/>
    </row>
    <row r="3559" spans="11:12" x14ac:dyDescent="0.25">
      <c r="K3559" s="227"/>
      <c r="L3559" s="227"/>
    </row>
    <row r="3560" spans="11:12" x14ac:dyDescent="0.25">
      <c r="K3560" s="227"/>
      <c r="L3560" s="227"/>
    </row>
    <row r="3561" spans="11:12" x14ac:dyDescent="0.25">
      <c r="K3561" s="227"/>
      <c r="L3561" s="227"/>
    </row>
    <row r="3562" spans="11:12" x14ac:dyDescent="0.25">
      <c r="K3562" s="227"/>
      <c r="L3562" s="227"/>
    </row>
    <row r="3563" spans="11:12" x14ac:dyDescent="0.25">
      <c r="K3563" s="227"/>
      <c r="L3563" s="227"/>
    </row>
    <row r="3564" spans="11:12" x14ac:dyDescent="0.25">
      <c r="K3564" s="227"/>
      <c r="L3564" s="227"/>
    </row>
    <row r="3565" spans="11:12" x14ac:dyDescent="0.25">
      <c r="K3565" s="227"/>
      <c r="L3565" s="227"/>
    </row>
    <row r="3566" spans="11:12" x14ac:dyDescent="0.25">
      <c r="K3566" s="227"/>
      <c r="L3566" s="227"/>
    </row>
    <row r="3567" spans="11:12" x14ac:dyDescent="0.25">
      <c r="K3567" s="227"/>
      <c r="L3567" s="227"/>
    </row>
    <row r="3568" spans="11:12" x14ac:dyDescent="0.25">
      <c r="K3568" s="227"/>
      <c r="L3568" s="227"/>
    </row>
    <row r="3569" spans="11:12" x14ac:dyDescent="0.25">
      <c r="K3569" s="227"/>
      <c r="L3569" s="227"/>
    </row>
    <row r="3570" spans="11:12" x14ac:dyDescent="0.25">
      <c r="K3570" s="227"/>
      <c r="L3570" s="227"/>
    </row>
    <row r="3571" spans="11:12" x14ac:dyDescent="0.25">
      <c r="K3571" s="227"/>
      <c r="L3571" s="227"/>
    </row>
    <row r="3572" spans="11:12" x14ac:dyDescent="0.25">
      <c r="K3572" s="227"/>
      <c r="L3572" s="227"/>
    </row>
    <row r="3573" spans="11:12" x14ac:dyDescent="0.25">
      <c r="K3573" s="227"/>
      <c r="L3573" s="227"/>
    </row>
    <row r="3574" spans="11:12" x14ac:dyDescent="0.25">
      <c r="K3574" s="227"/>
      <c r="L3574" s="227"/>
    </row>
    <row r="3575" spans="11:12" x14ac:dyDescent="0.25">
      <c r="K3575" s="227"/>
      <c r="L3575" s="227"/>
    </row>
    <row r="3576" spans="11:12" x14ac:dyDescent="0.25">
      <c r="K3576" s="227"/>
      <c r="L3576" s="227"/>
    </row>
    <row r="3577" spans="11:12" x14ac:dyDescent="0.25">
      <c r="K3577" s="227"/>
      <c r="L3577" s="227"/>
    </row>
    <row r="3578" spans="11:12" x14ac:dyDescent="0.25">
      <c r="K3578" s="227"/>
      <c r="L3578" s="227"/>
    </row>
    <row r="3579" spans="11:12" x14ac:dyDescent="0.25">
      <c r="K3579" s="227"/>
      <c r="L3579" s="227"/>
    </row>
    <row r="3580" spans="11:12" x14ac:dyDescent="0.25">
      <c r="K3580" s="227"/>
      <c r="L3580" s="227"/>
    </row>
    <row r="3581" spans="11:12" x14ac:dyDescent="0.25">
      <c r="K3581" s="227"/>
      <c r="L3581" s="227"/>
    </row>
    <row r="3582" spans="11:12" x14ac:dyDescent="0.25">
      <c r="K3582" s="227"/>
      <c r="L3582" s="227"/>
    </row>
    <row r="3583" spans="11:12" x14ac:dyDescent="0.25">
      <c r="K3583" s="227"/>
      <c r="L3583" s="227"/>
    </row>
    <row r="3584" spans="11:12" x14ac:dyDescent="0.25">
      <c r="K3584" s="227"/>
      <c r="L3584" s="227"/>
    </row>
    <row r="3585" spans="11:12" x14ac:dyDescent="0.25">
      <c r="K3585" s="227"/>
      <c r="L3585" s="227"/>
    </row>
    <row r="3586" spans="11:12" x14ac:dyDescent="0.25">
      <c r="K3586" s="227"/>
      <c r="L3586" s="227"/>
    </row>
    <row r="3587" spans="11:12" x14ac:dyDescent="0.25">
      <c r="K3587" s="227"/>
      <c r="L3587" s="227"/>
    </row>
    <row r="3588" spans="11:12" x14ac:dyDescent="0.25">
      <c r="K3588" s="227"/>
      <c r="L3588" s="227"/>
    </row>
    <row r="3589" spans="11:12" x14ac:dyDescent="0.25">
      <c r="K3589" s="227"/>
      <c r="L3589" s="227"/>
    </row>
    <row r="3590" spans="11:12" x14ac:dyDescent="0.25">
      <c r="K3590" s="227"/>
      <c r="L3590" s="227"/>
    </row>
    <row r="3591" spans="11:12" x14ac:dyDescent="0.25">
      <c r="K3591" s="227"/>
      <c r="L3591" s="227"/>
    </row>
    <row r="3592" spans="11:12" x14ac:dyDescent="0.25">
      <c r="K3592" s="227"/>
      <c r="L3592" s="227"/>
    </row>
    <row r="3593" spans="11:12" x14ac:dyDescent="0.25">
      <c r="K3593" s="227"/>
      <c r="L3593" s="227"/>
    </row>
    <row r="3594" spans="11:12" x14ac:dyDescent="0.25">
      <c r="K3594" s="227"/>
      <c r="L3594" s="227"/>
    </row>
    <row r="3595" spans="11:12" x14ac:dyDescent="0.25">
      <c r="K3595" s="227"/>
      <c r="L3595" s="227"/>
    </row>
    <row r="3596" spans="11:12" x14ac:dyDescent="0.25">
      <c r="K3596" s="227"/>
      <c r="L3596" s="227"/>
    </row>
    <row r="3597" spans="11:12" x14ac:dyDescent="0.25">
      <c r="K3597" s="227"/>
      <c r="L3597" s="227"/>
    </row>
    <row r="3598" spans="11:12" x14ac:dyDescent="0.25">
      <c r="K3598" s="227"/>
      <c r="L3598" s="227"/>
    </row>
    <row r="3599" spans="11:12" x14ac:dyDescent="0.25">
      <c r="K3599" s="227"/>
      <c r="L3599" s="227"/>
    </row>
    <row r="3600" spans="11:12" x14ac:dyDescent="0.25">
      <c r="K3600" s="227"/>
      <c r="L3600" s="227"/>
    </row>
    <row r="3601" spans="11:12" x14ac:dyDescent="0.25">
      <c r="K3601" s="227"/>
      <c r="L3601" s="227"/>
    </row>
    <row r="3602" spans="11:12" x14ac:dyDescent="0.25">
      <c r="K3602" s="227"/>
      <c r="L3602" s="227"/>
    </row>
    <row r="3603" spans="11:12" x14ac:dyDescent="0.25">
      <c r="K3603" s="227"/>
      <c r="L3603" s="227"/>
    </row>
    <row r="3604" spans="11:12" x14ac:dyDescent="0.25">
      <c r="K3604" s="227"/>
      <c r="L3604" s="227"/>
    </row>
    <row r="3605" spans="11:12" x14ac:dyDescent="0.25">
      <c r="K3605" s="227"/>
      <c r="L3605" s="227"/>
    </row>
    <row r="3606" spans="11:12" x14ac:dyDescent="0.25">
      <c r="K3606" s="227"/>
      <c r="L3606" s="227"/>
    </row>
    <row r="3607" spans="11:12" x14ac:dyDescent="0.25">
      <c r="K3607" s="227"/>
      <c r="L3607" s="227"/>
    </row>
    <row r="3608" spans="11:12" x14ac:dyDescent="0.25">
      <c r="K3608" s="227"/>
      <c r="L3608" s="227"/>
    </row>
    <row r="3609" spans="11:12" x14ac:dyDescent="0.25">
      <c r="K3609" s="227"/>
      <c r="L3609" s="227"/>
    </row>
    <row r="3610" spans="11:12" x14ac:dyDescent="0.25">
      <c r="K3610" s="227"/>
      <c r="L3610" s="227"/>
    </row>
    <row r="3611" spans="11:12" x14ac:dyDescent="0.25">
      <c r="K3611" s="227"/>
      <c r="L3611" s="227"/>
    </row>
    <row r="3612" spans="11:12" x14ac:dyDescent="0.25">
      <c r="K3612" s="227"/>
      <c r="L3612" s="227"/>
    </row>
    <row r="3613" spans="11:12" x14ac:dyDescent="0.25">
      <c r="K3613" s="227"/>
      <c r="L3613" s="227"/>
    </row>
    <row r="3614" spans="11:12" x14ac:dyDescent="0.25">
      <c r="K3614" s="227"/>
      <c r="L3614" s="227"/>
    </row>
    <row r="3615" spans="11:12" x14ac:dyDescent="0.25">
      <c r="K3615" s="227"/>
      <c r="L3615" s="227"/>
    </row>
    <row r="3616" spans="11:12" x14ac:dyDescent="0.25">
      <c r="K3616" s="227"/>
      <c r="L3616" s="227"/>
    </row>
    <row r="3617" spans="11:12" x14ac:dyDescent="0.25">
      <c r="K3617" s="227"/>
      <c r="L3617" s="227"/>
    </row>
    <row r="3618" spans="11:12" x14ac:dyDescent="0.25">
      <c r="K3618" s="227"/>
      <c r="L3618" s="227"/>
    </row>
    <row r="3619" spans="11:12" x14ac:dyDescent="0.25">
      <c r="K3619" s="227"/>
      <c r="L3619" s="227"/>
    </row>
    <row r="3620" spans="11:12" x14ac:dyDescent="0.25">
      <c r="K3620" s="227"/>
      <c r="L3620" s="227"/>
    </row>
    <row r="3621" spans="11:12" x14ac:dyDescent="0.25">
      <c r="K3621" s="227"/>
      <c r="L3621" s="227"/>
    </row>
    <row r="3622" spans="11:12" x14ac:dyDescent="0.25">
      <c r="K3622" s="227"/>
      <c r="L3622" s="227"/>
    </row>
    <row r="3623" spans="11:12" x14ac:dyDescent="0.25">
      <c r="K3623" s="227"/>
      <c r="L3623" s="227"/>
    </row>
    <row r="3624" spans="11:12" x14ac:dyDescent="0.25">
      <c r="K3624" s="227"/>
      <c r="L3624" s="227"/>
    </row>
    <row r="3625" spans="11:12" x14ac:dyDescent="0.25">
      <c r="K3625" s="227"/>
      <c r="L3625" s="227"/>
    </row>
    <row r="3626" spans="11:12" x14ac:dyDescent="0.25">
      <c r="K3626" s="227"/>
      <c r="L3626" s="227"/>
    </row>
    <row r="3627" spans="11:12" x14ac:dyDescent="0.25">
      <c r="K3627" s="227"/>
      <c r="L3627" s="227"/>
    </row>
    <row r="3628" spans="11:12" x14ac:dyDescent="0.25">
      <c r="K3628" s="227"/>
      <c r="L3628" s="227"/>
    </row>
    <row r="3629" spans="11:12" x14ac:dyDescent="0.25">
      <c r="K3629" s="227"/>
      <c r="L3629" s="227"/>
    </row>
    <row r="3630" spans="11:12" x14ac:dyDescent="0.25">
      <c r="K3630" s="227"/>
      <c r="L3630" s="227"/>
    </row>
    <row r="3631" spans="11:12" x14ac:dyDescent="0.25">
      <c r="K3631" s="227"/>
      <c r="L3631" s="227"/>
    </row>
    <row r="3632" spans="11:12" x14ac:dyDescent="0.25">
      <c r="K3632" s="227"/>
      <c r="L3632" s="227"/>
    </row>
    <row r="3633" spans="11:12" x14ac:dyDescent="0.25">
      <c r="K3633" s="227"/>
      <c r="L3633" s="227"/>
    </row>
    <row r="3634" spans="11:12" x14ac:dyDescent="0.25">
      <c r="K3634" s="227"/>
      <c r="L3634" s="227"/>
    </row>
    <row r="3635" spans="11:12" x14ac:dyDescent="0.25">
      <c r="K3635" s="227"/>
      <c r="L3635" s="227"/>
    </row>
    <row r="3636" spans="11:12" x14ac:dyDescent="0.25">
      <c r="K3636" s="227"/>
      <c r="L3636" s="227"/>
    </row>
    <row r="3637" spans="11:12" x14ac:dyDescent="0.25">
      <c r="K3637" s="227"/>
      <c r="L3637" s="227"/>
    </row>
    <row r="3638" spans="11:12" x14ac:dyDescent="0.25">
      <c r="K3638" s="227"/>
      <c r="L3638" s="227"/>
    </row>
    <row r="3639" spans="11:12" x14ac:dyDescent="0.25">
      <c r="K3639" s="227"/>
      <c r="L3639" s="227"/>
    </row>
    <row r="3640" spans="11:12" x14ac:dyDescent="0.25">
      <c r="K3640" s="227"/>
      <c r="L3640" s="227"/>
    </row>
    <row r="3641" spans="11:12" x14ac:dyDescent="0.25">
      <c r="K3641" s="227"/>
      <c r="L3641" s="227"/>
    </row>
    <row r="3642" spans="11:12" x14ac:dyDescent="0.25">
      <c r="K3642" s="227"/>
      <c r="L3642" s="227"/>
    </row>
    <row r="3643" spans="11:12" x14ac:dyDescent="0.25">
      <c r="K3643" s="227"/>
      <c r="L3643" s="227"/>
    </row>
    <row r="3644" spans="11:12" x14ac:dyDescent="0.25">
      <c r="K3644" s="227"/>
      <c r="L3644" s="227"/>
    </row>
    <row r="3645" spans="11:12" x14ac:dyDescent="0.25">
      <c r="K3645" s="227"/>
      <c r="L3645" s="227"/>
    </row>
    <row r="3646" spans="11:12" x14ac:dyDescent="0.25">
      <c r="K3646" s="227"/>
      <c r="L3646" s="227"/>
    </row>
    <row r="3647" spans="11:12" x14ac:dyDescent="0.25">
      <c r="K3647" s="227"/>
      <c r="L3647" s="227"/>
    </row>
    <row r="3648" spans="11:12" x14ac:dyDescent="0.25">
      <c r="K3648" s="227"/>
      <c r="L3648" s="227"/>
    </row>
    <row r="3649" spans="11:12" x14ac:dyDescent="0.25">
      <c r="K3649" s="227"/>
      <c r="L3649" s="227"/>
    </row>
    <row r="3650" spans="11:12" x14ac:dyDescent="0.25">
      <c r="K3650" s="227"/>
      <c r="L3650" s="227"/>
    </row>
    <row r="3651" spans="11:12" x14ac:dyDescent="0.25">
      <c r="K3651" s="227"/>
      <c r="L3651" s="227"/>
    </row>
    <row r="3652" spans="11:12" x14ac:dyDescent="0.25">
      <c r="K3652" s="227"/>
      <c r="L3652" s="227"/>
    </row>
    <row r="3653" spans="11:12" x14ac:dyDescent="0.25">
      <c r="K3653" s="227"/>
      <c r="L3653" s="227"/>
    </row>
    <row r="3654" spans="11:12" x14ac:dyDescent="0.25">
      <c r="K3654" s="227"/>
      <c r="L3654" s="227"/>
    </row>
    <row r="3655" spans="11:12" x14ac:dyDescent="0.25">
      <c r="K3655" s="227"/>
      <c r="L3655" s="227"/>
    </row>
    <row r="3656" spans="11:12" x14ac:dyDescent="0.25">
      <c r="K3656" s="227"/>
      <c r="L3656" s="227"/>
    </row>
    <row r="3657" spans="11:12" x14ac:dyDescent="0.25">
      <c r="K3657" s="227"/>
      <c r="L3657" s="227"/>
    </row>
    <row r="3658" spans="11:12" x14ac:dyDescent="0.25">
      <c r="K3658" s="227"/>
      <c r="L3658" s="227"/>
    </row>
    <row r="3659" spans="11:12" x14ac:dyDescent="0.25">
      <c r="K3659" s="227"/>
      <c r="L3659" s="227"/>
    </row>
    <row r="3660" spans="11:12" x14ac:dyDescent="0.25">
      <c r="K3660" s="227"/>
      <c r="L3660" s="227"/>
    </row>
    <row r="3661" spans="11:12" x14ac:dyDescent="0.25">
      <c r="K3661" s="227"/>
      <c r="L3661" s="227"/>
    </row>
    <row r="3662" spans="11:12" x14ac:dyDescent="0.25">
      <c r="K3662" s="227"/>
      <c r="L3662" s="227"/>
    </row>
    <row r="3663" spans="11:12" x14ac:dyDescent="0.25">
      <c r="K3663" s="227"/>
      <c r="L3663" s="227"/>
    </row>
    <row r="3664" spans="11:12" x14ac:dyDescent="0.25">
      <c r="K3664" s="227"/>
      <c r="L3664" s="227"/>
    </row>
    <row r="3665" spans="11:12" x14ac:dyDescent="0.25">
      <c r="K3665" s="227"/>
      <c r="L3665" s="227"/>
    </row>
    <row r="3666" spans="11:12" x14ac:dyDescent="0.25">
      <c r="K3666" s="227"/>
      <c r="L3666" s="227"/>
    </row>
    <row r="3667" spans="11:12" x14ac:dyDescent="0.25">
      <c r="K3667" s="227"/>
      <c r="L3667" s="227"/>
    </row>
    <row r="3668" spans="11:12" x14ac:dyDescent="0.25">
      <c r="K3668" s="227"/>
      <c r="L3668" s="227"/>
    </row>
    <row r="3669" spans="11:12" x14ac:dyDescent="0.25">
      <c r="K3669" s="227"/>
      <c r="L3669" s="227"/>
    </row>
    <row r="3670" spans="11:12" x14ac:dyDescent="0.25">
      <c r="K3670" s="227"/>
      <c r="L3670" s="227"/>
    </row>
    <row r="3671" spans="11:12" x14ac:dyDescent="0.25">
      <c r="K3671" s="227"/>
      <c r="L3671" s="227"/>
    </row>
    <row r="3672" spans="11:12" x14ac:dyDescent="0.25">
      <c r="K3672" s="227"/>
      <c r="L3672" s="227"/>
    </row>
    <row r="3673" spans="11:12" x14ac:dyDescent="0.25">
      <c r="K3673" s="227"/>
      <c r="L3673" s="227"/>
    </row>
    <row r="3674" spans="11:12" x14ac:dyDescent="0.25">
      <c r="K3674" s="227"/>
      <c r="L3674" s="227"/>
    </row>
    <row r="3675" spans="11:12" x14ac:dyDescent="0.25">
      <c r="K3675" s="227"/>
      <c r="L3675" s="227"/>
    </row>
    <row r="3676" spans="11:12" x14ac:dyDescent="0.25">
      <c r="K3676" s="227"/>
      <c r="L3676" s="227"/>
    </row>
    <row r="3677" spans="11:12" x14ac:dyDescent="0.25">
      <c r="K3677" s="227"/>
      <c r="L3677" s="227"/>
    </row>
    <row r="3678" spans="11:12" x14ac:dyDescent="0.25">
      <c r="K3678" s="227"/>
      <c r="L3678" s="227"/>
    </row>
    <row r="3679" spans="11:12" x14ac:dyDescent="0.25">
      <c r="K3679" s="227"/>
      <c r="L3679" s="227"/>
    </row>
    <row r="3680" spans="11:12" x14ac:dyDescent="0.25">
      <c r="K3680" s="227"/>
      <c r="L3680" s="227"/>
    </row>
    <row r="3681" spans="11:12" x14ac:dyDescent="0.25">
      <c r="K3681" s="227"/>
      <c r="L3681" s="227"/>
    </row>
    <row r="3682" spans="11:12" x14ac:dyDescent="0.25">
      <c r="K3682" s="227"/>
      <c r="L3682" s="227"/>
    </row>
    <row r="3683" spans="11:12" x14ac:dyDescent="0.25">
      <c r="K3683" s="227"/>
      <c r="L3683" s="227"/>
    </row>
    <row r="3684" spans="11:12" x14ac:dyDescent="0.25">
      <c r="K3684" s="227"/>
      <c r="L3684" s="227"/>
    </row>
    <row r="3685" spans="11:12" x14ac:dyDescent="0.25">
      <c r="K3685" s="227"/>
      <c r="L3685" s="227"/>
    </row>
    <row r="3686" spans="11:12" x14ac:dyDescent="0.25">
      <c r="K3686" s="227"/>
      <c r="L3686" s="227"/>
    </row>
    <row r="3687" spans="11:12" x14ac:dyDescent="0.25">
      <c r="K3687" s="227"/>
      <c r="L3687" s="227"/>
    </row>
    <row r="3688" spans="11:12" x14ac:dyDescent="0.25">
      <c r="K3688" s="227"/>
      <c r="L3688" s="227"/>
    </row>
    <row r="3689" spans="11:12" x14ac:dyDescent="0.25">
      <c r="K3689" s="227"/>
      <c r="L3689" s="227"/>
    </row>
    <row r="3690" spans="11:12" x14ac:dyDescent="0.25">
      <c r="K3690" s="227"/>
      <c r="L3690" s="227"/>
    </row>
    <row r="3691" spans="11:12" x14ac:dyDescent="0.25">
      <c r="K3691" s="227"/>
      <c r="L3691" s="227"/>
    </row>
    <row r="3692" spans="11:12" x14ac:dyDescent="0.25">
      <c r="K3692" s="227"/>
      <c r="L3692" s="227"/>
    </row>
    <row r="3693" spans="11:12" x14ac:dyDescent="0.25">
      <c r="K3693" s="227"/>
      <c r="L3693" s="227"/>
    </row>
    <row r="3694" spans="11:12" x14ac:dyDescent="0.25">
      <c r="K3694" s="227"/>
      <c r="L3694" s="227"/>
    </row>
    <row r="3695" spans="11:12" x14ac:dyDescent="0.25">
      <c r="K3695" s="227"/>
      <c r="L3695" s="227"/>
    </row>
    <row r="3696" spans="11:12" x14ac:dyDescent="0.25">
      <c r="K3696" s="227"/>
      <c r="L3696" s="227"/>
    </row>
    <row r="3697" spans="11:12" x14ac:dyDescent="0.25">
      <c r="K3697" s="227"/>
      <c r="L3697" s="227"/>
    </row>
    <row r="3698" spans="11:12" x14ac:dyDescent="0.25">
      <c r="K3698" s="227"/>
      <c r="L3698" s="227"/>
    </row>
    <row r="3699" spans="11:12" x14ac:dyDescent="0.25">
      <c r="K3699" s="227"/>
      <c r="L3699" s="227"/>
    </row>
    <row r="3700" spans="11:12" x14ac:dyDescent="0.25">
      <c r="K3700" s="227"/>
      <c r="L3700" s="227"/>
    </row>
    <row r="3701" spans="11:12" x14ac:dyDescent="0.25">
      <c r="K3701" s="227"/>
      <c r="L3701" s="227"/>
    </row>
    <row r="3702" spans="11:12" x14ac:dyDescent="0.25">
      <c r="K3702" s="227"/>
      <c r="L3702" s="227"/>
    </row>
    <row r="3703" spans="11:12" x14ac:dyDescent="0.25">
      <c r="K3703" s="227"/>
      <c r="L3703" s="227"/>
    </row>
    <row r="3704" spans="11:12" x14ac:dyDescent="0.25">
      <c r="K3704" s="227"/>
      <c r="L3704" s="227"/>
    </row>
    <row r="3705" spans="11:12" x14ac:dyDescent="0.25">
      <c r="K3705" s="227"/>
      <c r="L3705" s="227"/>
    </row>
    <row r="3706" spans="11:12" x14ac:dyDescent="0.25">
      <c r="K3706" s="227"/>
      <c r="L3706" s="227"/>
    </row>
    <row r="3707" spans="11:12" x14ac:dyDescent="0.25">
      <c r="K3707" s="227"/>
      <c r="L3707" s="227"/>
    </row>
    <row r="3708" spans="11:12" x14ac:dyDescent="0.25">
      <c r="K3708" s="227"/>
      <c r="L3708" s="227"/>
    </row>
    <row r="3709" spans="11:12" x14ac:dyDescent="0.25">
      <c r="K3709" s="227"/>
      <c r="L3709" s="227"/>
    </row>
    <row r="3710" spans="11:12" x14ac:dyDescent="0.25">
      <c r="K3710" s="227"/>
      <c r="L3710" s="227"/>
    </row>
    <row r="3711" spans="11:12" x14ac:dyDescent="0.25">
      <c r="K3711" s="227"/>
      <c r="L3711" s="227"/>
    </row>
    <row r="3712" spans="11:12" x14ac:dyDescent="0.25">
      <c r="K3712" s="227"/>
      <c r="L3712" s="227"/>
    </row>
    <row r="3713" spans="11:12" x14ac:dyDescent="0.25">
      <c r="K3713" s="227"/>
      <c r="L3713" s="227"/>
    </row>
    <row r="3714" spans="11:12" x14ac:dyDescent="0.25">
      <c r="K3714" s="227"/>
      <c r="L3714" s="227"/>
    </row>
    <row r="3715" spans="11:12" x14ac:dyDescent="0.25">
      <c r="K3715" s="227"/>
      <c r="L3715" s="227"/>
    </row>
    <row r="3716" spans="11:12" x14ac:dyDescent="0.25">
      <c r="K3716" s="227"/>
      <c r="L3716" s="227"/>
    </row>
    <row r="3717" spans="11:12" x14ac:dyDescent="0.25">
      <c r="K3717" s="227"/>
      <c r="L3717" s="227"/>
    </row>
    <row r="3718" spans="11:12" x14ac:dyDescent="0.25">
      <c r="K3718" s="227"/>
      <c r="L3718" s="227"/>
    </row>
    <row r="3719" spans="11:12" x14ac:dyDescent="0.25">
      <c r="K3719" s="227"/>
      <c r="L3719" s="227"/>
    </row>
    <row r="3720" spans="11:12" x14ac:dyDescent="0.25">
      <c r="K3720" s="227"/>
      <c r="L3720" s="227"/>
    </row>
    <row r="3721" spans="11:12" x14ac:dyDescent="0.25">
      <c r="K3721" s="227"/>
      <c r="L3721" s="227"/>
    </row>
    <row r="3722" spans="11:12" x14ac:dyDescent="0.25">
      <c r="K3722" s="227"/>
      <c r="L3722" s="227"/>
    </row>
    <row r="3723" spans="11:12" x14ac:dyDescent="0.25">
      <c r="K3723" s="227"/>
      <c r="L3723" s="227"/>
    </row>
    <row r="3724" spans="11:12" x14ac:dyDescent="0.25">
      <c r="K3724" s="227"/>
      <c r="L3724" s="227"/>
    </row>
    <row r="3725" spans="11:12" x14ac:dyDescent="0.25">
      <c r="K3725" s="227"/>
      <c r="L3725" s="227"/>
    </row>
    <row r="3726" spans="11:12" x14ac:dyDescent="0.25">
      <c r="K3726" s="227"/>
      <c r="L3726" s="227"/>
    </row>
    <row r="3727" spans="11:12" x14ac:dyDescent="0.25">
      <c r="K3727" s="227"/>
      <c r="L3727" s="227"/>
    </row>
    <row r="3728" spans="11:12" x14ac:dyDescent="0.25">
      <c r="K3728" s="227"/>
      <c r="L3728" s="227"/>
    </row>
    <row r="3729" spans="11:12" x14ac:dyDescent="0.25">
      <c r="K3729" s="227"/>
      <c r="L3729" s="227"/>
    </row>
    <row r="3730" spans="11:12" x14ac:dyDescent="0.25">
      <c r="K3730" s="227"/>
      <c r="L3730" s="227"/>
    </row>
    <row r="3731" spans="11:12" x14ac:dyDescent="0.25">
      <c r="K3731" s="227"/>
      <c r="L3731" s="227"/>
    </row>
    <row r="3732" spans="11:12" x14ac:dyDescent="0.25">
      <c r="K3732" s="227"/>
      <c r="L3732" s="227"/>
    </row>
    <row r="3733" spans="11:12" x14ac:dyDescent="0.25">
      <c r="K3733" s="227"/>
      <c r="L3733" s="227"/>
    </row>
    <row r="3734" spans="11:12" x14ac:dyDescent="0.25">
      <c r="K3734" s="227"/>
      <c r="L3734" s="227"/>
    </row>
    <row r="3735" spans="11:12" x14ac:dyDescent="0.25">
      <c r="K3735" s="227"/>
      <c r="L3735" s="227"/>
    </row>
    <row r="3736" spans="11:12" x14ac:dyDescent="0.25">
      <c r="K3736" s="227"/>
      <c r="L3736" s="227"/>
    </row>
    <row r="3737" spans="11:12" x14ac:dyDescent="0.25">
      <c r="K3737" s="227"/>
      <c r="L3737" s="227"/>
    </row>
    <row r="3738" spans="11:12" x14ac:dyDescent="0.25">
      <c r="K3738" s="227"/>
      <c r="L3738" s="227"/>
    </row>
    <row r="3739" spans="11:12" x14ac:dyDescent="0.25">
      <c r="K3739" s="227"/>
      <c r="L3739" s="227"/>
    </row>
    <row r="3740" spans="11:12" x14ac:dyDescent="0.25">
      <c r="K3740" s="227"/>
      <c r="L3740" s="227"/>
    </row>
    <row r="3741" spans="11:12" x14ac:dyDescent="0.25">
      <c r="K3741" s="227"/>
      <c r="L3741" s="227"/>
    </row>
    <row r="3742" spans="11:12" x14ac:dyDescent="0.25">
      <c r="K3742" s="227"/>
      <c r="L3742" s="227"/>
    </row>
    <row r="3743" spans="11:12" x14ac:dyDescent="0.25">
      <c r="K3743" s="227"/>
      <c r="L3743" s="227"/>
    </row>
    <row r="3744" spans="11:12" x14ac:dyDescent="0.25">
      <c r="K3744" s="227"/>
      <c r="L3744" s="227"/>
    </row>
    <row r="3745" spans="11:12" x14ac:dyDescent="0.25">
      <c r="K3745" s="227"/>
      <c r="L3745" s="227"/>
    </row>
    <row r="3746" spans="11:12" x14ac:dyDescent="0.25">
      <c r="K3746" s="227"/>
      <c r="L3746" s="227"/>
    </row>
    <row r="3747" spans="11:12" x14ac:dyDescent="0.25">
      <c r="K3747" s="227"/>
      <c r="L3747" s="227"/>
    </row>
    <row r="3748" spans="11:12" x14ac:dyDescent="0.25">
      <c r="K3748" s="227"/>
      <c r="L3748" s="227"/>
    </row>
    <row r="3749" spans="11:12" x14ac:dyDescent="0.25">
      <c r="K3749" s="227"/>
      <c r="L3749" s="227"/>
    </row>
    <row r="3750" spans="11:12" x14ac:dyDescent="0.25">
      <c r="K3750" s="227"/>
      <c r="L3750" s="227"/>
    </row>
    <row r="3751" spans="11:12" x14ac:dyDescent="0.25">
      <c r="K3751" s="227"/>
      <c r="L3751" s="227"/>
    </row>
    <row r="3752" spans="11:12" x14ac:dyDescent="0.25">
      <c r="K3752" s="227"/>
      <c r="L3752" s="227"/>
    </row>
    <row r="3753" spans="11:12" x14ac:dyDescent="0.25">
      <c r="K3753" s="227"/>
      <c r="L3753" s="227"/>
    </row>
    <row r="3754" spans="11:12" x14ac:dyDescent="0.25">
      <c r="K3754" s="227"/>
      <c r="L3754" s="227"/>
    </row>
    <row r="3755" spans="11:12" x14ac:dyDescent="0.25">
      <c r="K3755" s="227"/>
      <c r="L3755" s="227"/>
    </row>
    <row r="3756" spans="11:12" x14ac:dyDescent="0.25">
      <c r="K3756" s="227"/>
      <c r="L3756" s="227"/>
    </row>
    <row r="3757" spans="11:12" x14ac:dyDescent="0.25">
      <c r="K3757" s="227"/>
      <c r="L3757" s="227"/>
    </row>
    <row r="3758" spans="11:12" x14ac:dyDescent="0.25">
      <c r="K3758" s="227"/>
      <c r="L3758" s="227"/>
    </row>
    <row r="3759" spans="11:12" x14ac:dyDescent="0.25">
      <c r="K3759" s="227"/>
      <c r="L3759" s="227"/>
    </row>
    <row r="3760" spans="11:12" x14ac:dyDescent="0.25">
      <c r="K3760" s="227"/>
      <c r="L3760" s="227"/>
    </row>
    <row r="3761" spans="11:12" x14ac:dyDescent="0.25">
      <c r="K3761" s="227"/>
      <c r="L3761" s="227"/>
    </row>
    <row r="3762" spans="11:12" x14ac:dyDescent="0.25">
      <c r="K3762" s="227"/>
      <c r="L3762" s="227"/>
    </row>
    <row r="3763" spans="11:12" x14ac:dyDescent="0.25">
      <c r="K3763" s="227"/>
      <c r="L3763" s="227"/>
    </row>
    <row r="3764" spans="11:12" x14ac:dyDescent="0.25">
      <c r="K3764" s="227"/>
      <c r="L3764" s="227"/>
    </row>
    <row r="3765" spans="11:12" x14ac:dyDescent="0.25">
      <c r="K3765" s="227"/>
      <c r="L3765" s="227"/>
    </row>
    <row r="3766" spans="11:12" x14ac:dyDescent="0.25">
      <c r="K3766" s="227"/>
      <c r="L3766" s="227"/>
    </row>
    <row r="3767" spans="11:12" x14ac:dyDescent="0.25">
      <c r="K3767" s="227"/>
      <c r="L3767" s="227"/>
    </row>
    <row r="3768" spans="11:12" x14ac:dyDescent="0.25">
      <c r="K3768" s="227"/>
      <c r="L3768" s="227"/>
    </row>
    <row r="3769" spans="11:12" x14ac:dyDescent="0.25">
      <c r="K3769" s="227"/>
      <c r="L3769" s="227"/>
    </row>
    <row r="3770" spans="11:12" x14ac:dyDescent="0.25">
      <c r="K3770" s="227"/>
      <c r="L3770" s="227"/>
    </row>
    <row r="3771" spans="11:12" x14ac:dyDescent="0.25">
      <c r="K3771" s="227"/>
      <c r="L3771" s="227"/>
    </row>
    <row r="3772" spans="11:12" x14ac:dyDescent="0.25">
      <c r="K3772" s="227"/>
      <c r="L3772" s="227"/>
    </row>
    <row r="3773" spans="11:12" x14ac:dyDescent="0.25">
      <c r="K3773" s="227"/>
      <c r="L3773" s="227"/>
    </row>
    <row r="3774" spans="11:12" x14ac:dyDescent="0.25">
      <c r="K3774" s="227"/>
      <c r="L3774" s="227"/>
    </row>
    <row r="3775" spans="11:12" x14ac:dyDescent="0.25">
      <c r="K3775" s="227"/>
      <c r="L3775" s="227"/>
    </row>
    <row r="3776" spans="11:12" x14ac:dyDescent="0.25">
      <c r="K3776" s="227"/>
      <c r="L3776" s="227"/>
    </row>
    <row r="3777" spans="11:12" x14ac:dyDescent="0.25">
      <c r="K3777" s="227"/>
      <c r="L3777" s="227"/>
    </row>
    <row r="3778" spans="11:12" x14ac:dyDescent="0.25">
      <c r="K3778" s="227"/>
      <c r="L3778" s="227"/>
    </row>
    <row r="3779" spans="11:12" x14ac:dyDescent="0.25">
      <c r="K3779" s="227"/>
      <c r="L3779" s="227"/>
    </row>
    <row r="3780" spans="11:12" x14ac:dyDescent="0.25">
      <c r="K3780" s="227"/>
      <c r="L3780" s="227"/>
    </row>
    <row r="3781" spans="11:12" x14ac:dyDescent="0.25">
      <c r="K3781" s="227"/>
      <c r="L3781" s="227"/>
    </row>
    <row r="3782" spans="11:12" x14ac:dyDescent="0.25">
      <c r="K3782" s="227"/>
      <c r="L3782" s="227"/>
    </row>
    <row r="3783" spans="11:12" x14ac:dyDescent="0.25">
      <c r="K3783" s="227"/>
      <c r="L3783" s="227"/>
    </row>
    <row r="3784" spans="11:12" x14ac:dyDescent="0.25">
      <c r="K3784" s="227"/>
      <c r="L3784" s="227"/>
    </row>
    <row r="3785" spans="11:12" x14ac:dyDescent="0.25">
      <c r="K3785" s="227"/>
      <c r="L3785" s="227"/>
    </row>
    <row r="3786" spans="11:12" x14ac:dyDescent="0.25">
      <c r="K3786" s="227"/>
      <c r="L3786" s="227"/>
    </row>
    <row r="3787" spans="11:12" x14ac:dyDescent="0.25">
      <c r="K3787" s="227"/>
      <c r="L3787" s="227"/>
    </row>
    <row r="3788" spans="11:12" x14ac:dyDescent="0.25">
      <c r="K3788" s="227"/>
      <c r="L3788" s="227"/>
    </row>
    <row r="3789" spans="11:12" x14ac:dyDescent="0.25">
      <c r="K3789" s="227"/>
      <c r="L3789" s="227"/>
    </row>
    <row r="3790" spans="11:12" x14ac:dyDescent="0.25">
      <c r="K3790" s="227"/>
      <c r="L3790" s="227"/>
    </row>
    <row r="3791" spans="11:12" x14ac:dyDescent="0.25">
      <c r="K3791" s="227"/>
      <c r="L3791" s="227"/>
    </row>
    <row r="3792" spans="11:12" x14ac:dyDescent="0.25">
      <c r="K3792" s="227"/>
      <c r="L3792" s="227"/>
    </row>
    <row r="3793" spans="11:12" x14ac:dyDescent="0.25">
      <c r="K3793" s="227"/>
      <c r="L3793" s="227"/>
    </row>
    <row r="3794" spans="11:12" x14ac:dyDescent="0.25">
      <c r="K3794" s="227"/>
      <c r="L3794" s="227"/>
    </row>
    <row r="3795" spans="11:12" x14ac:dyDescent="0.25">
      <c r="K3795" s="227"/>
      <c r="L3795" s="227"/>
    </row>
    <row r="3796" spans="11:12" x14ac:dyDescent="0.25">
      <c r="K3796" s="227"/>
      <c r="L3796" s="227"/>
    </row>
    <row r="3797" spans="11:12" x14ac:dyDescent="0.25">
      <c r="K3797" s="227"/>
      <c r="L3797" s="227"/>
    </row>
    <row r="3798" spans="11:12" x14ac:dyDescent="0.25">
      <c r="K3798" s="227"/>
      <c r="L3798" s="227"/>
    </row>
    <row r="3799" spans="11:12" x14ac:dyDescent="0.25">
      <c r="K3799" s="227"/>
      <c r="L3799" s="227"/>
    </row>
    <row r="3800" spans="11:12" x14ac:dyDescent="0.25">
      <c r="K3800" s="227"/>
      <c r="L3800" s="227"/>
    </row>
    <row r="3801" spans="11:12" x14ac:dyDescent="0.25">
      <c r="K3801" s="227"/>
      <c r="L3801" s="227"/>
    </row>
    <row r="3802" spans="11:12" x14ac:dyDescent="0.25">
      <c r="K3802" s="227"/>
      <c r="L3802" s="227"/>
    </row>
    <row r="3803" spans="11:12" x14ac:dyDescent="0.25">
      <c r="K3803" s="227"/>
      <c r="L3803" s="227"/>
    </row>
    <row r="3804" spans="11:12" x14ac:dyDescent="0.25">
      <c r="K3804" s="227"/>
      <c r="L3804" s="227"/>
    </row>
    <row r="3805" spans="11:12" x14ac:dyDescent="0.25">
      <c r="K3805" s="227"/>
      <c r="L3805" s="227"/>
    </row>
    <row r="3806" spans="11:12" x14ac:dyDescent="0.25">
      <c r="K3806" s="227"/>
      <c r="L3806" s="227"/>
    </row>
    <row r="3807" spans="11:12" x14ac:dyDescent="0.25">
      <c r="K3807" s="227"/>
      <c r="L3807" s="227"/>
    </row>
    <row r="3808" spans="11:12" x14ac:dyDescent="0.25">
      <c r="K3808" s="227"/>
      <c r="L3808" s="227"/>
    </row>
    <row r="3809" spans="11:12" x14ac:dyDescent="0.25">
      <c r="K3809" s="227"/>
      <c r="L3809" s="227"/>
    </row>
    <row r="3810" spans="11:12" x14ac:dyDescent="0.25">
      <c r="K3810" s="227"/>
      <c r="L3810" s="227"/>
    </row>
    <row r="3811" spans="11:12" x14ac:dyDescent="0.25">
      <c r="K3811" s="227"/>
      <c r="L3811" s="227"/>
    </row>
    <row r="3812" spans="11:12" x14ac:dyDescent="0.25">
      <c r="K3812" s="227"/>
      <c r="L3812" s="227"/>
    </row>
    <row r="3813" spans="11:12" x14ac:dyDescent="0.25">
      <c r="K3813" s="227"/>
      <c r="L3813" s="227"/>
    </row>
    <row r="3814" spans="11:12" x14ac:dyDescent="0.25">
      <c r="K3814" s="227"/>
      <c r="L3814" s="227"/>
    </row>
    <row r="3815" spans="11:12" x14ac:dyDescent="0.25">
      <c r="K3815" s="227"/>
      <c r="L3815" s="227"/>
    </row>
    <row r="3816" spans="11:12" x14ac:dyDescent="0.25">
      <c r="K3816" s="227"/>
      <c r="L3816" s="227"/>
    </row>
    <row r="3817" spans="11:12" x14ac:dyDescent="0.25">
      <c r="K3817" s="227"/>
      <c r="L3817" s="227"/>
    </row>
    <row r="3818" spans="11:12" x14ac:dyDescent="0.25">
      <c r="K3818" s="227"/>
      <c r="L3818" s="227"/>
    </row>
    <row r="3819" spans="11:12" x14ac:dyDescent="0.25">
      <c r="K3819" s="227"/>
      <c r="L3819" s="227"/>
    </row>
    <row r="3820" spans="11:12" x14ac:dyDescent="0.25">
      <c r="K3820" s="227"/>
      <c r="L3820" s="227"/>
    </row>
    <row r="3821" spans="11:12" x14ac:dyDescent="0.25">
      <c r="K3821" s="227"/>
      <c r="L3821" s="227"/>
    </row>
    <row r="3822" spans="11:12" x14ac:dyDescent="0.25">
      <c r="K3822" s="227"/>
      <c r="L3822" s="227"/>
    </row>
    <row r="3823" spans="11:12" x14ac:dyDescent="0.25">
      <c r="K3823" s="227"/>
      <c r="L3823" s="227"/>
    </row>
    <row r="3824" spans="11:12" x14ac:dyDescent="0.25">
      <c r="K3824" s="227"/>
      <c r="L3824" s="227"/>
    </row>
    <row r="3825" spans="11:12" x14ac:dyDescent="0.25">
      <c r="K3825" s="227"/>
      <c r="L3825" s="227"/>
    </row>
    <row r="3826" spans="11:12" x14ac:dyDescent="0.25">
      <c r="K3826" s="227"/>
      <c r="L3826" s="227"/>
    </row>
    <row r="3827" spans="11:12" x14ac:dyDescent="0.25">
      <c r="K3827" s="227"/>
      <c r="L3827" s="227"/>
    </row>
    <row r="3828" spans="11:12" x14ac:dyDescent="0.25">
      <c r="K3828" s="227"/>
      <c r="L3828" s="227"/>
    </row>
    <row r="3829" spans="11:12" x14ac:dyDescent="0.25">
      <c r="K3829" s="227"/>
      <c r="L3829" s="227"/>
    </row>
    <row r="3830" spans="11:12" x14ac:dyDescent="0.25">
      <c r="K3830" s="227"/>
      <c r="L3830" s="227"/>
    </row>
    <row r="3831" spans="11:12" x14ac:dyDescent="0.25">
      <c r="K3831" s="227"/>
      <c r="L3831" s="227"/>
    </row>
    <row r="3832" spans="11:12" x14ac:dyDescent="0.25">
      <c r="K3832" s="227"/>
      <c r="L3832" s="227"/>
    </row>
    <row r="3833" spans="11:12" x14ac:dyDescent="0.25">
      <c r="K3833" s="227"/>
      <c r="L3833" s="227"/>
    </row>
    <row r="3834" spans="11:12" x14ac:dyDescent="0.25">
      <c r="K3834" s="227"/>
      <c r="L3834" s="227"/>
    </row>
    <row r="3835" spans="11:12" x14ac:dyDescent="0.25">
      <c r="K3835" s="227"/>
      <c r="L3835" s="227"/>
    </row>
    <row r="3836" spans="11:12" x14ac:dyDescent="0.25">
      <c r="K3836" s="227"/>
      <c r="L3836" s="227"/>
    </row>
    <row r="3837" spans="11:12" x14ac:dyDescent="0.25">
      <c r="K3837" s="227"/>
      <c r="L3837" s="227"/>
    </row>
    <row r="3838" spans="11:12" x14ac:dyDescent="0.25">
      <c r="K3838" s="227"/>
      <c r="L3838" s="227"/>
    </row>
    <row r="3839" spans="11:12" x14ac:dyDescent="0.25">
      <c r="K3839" s="227"/>
      <c r="L3839" s="227"/>
    </row>
    <row r="3840" spans="11:12" x14ac:dyDescent="0.25">
      <c r="K3840" s="227"/>
      <c r="L3840" s="227"/>
    </row>
    <row r="3841" spans="11:12" x14ac:dyDescent="0.25">
      <c r="K3841" s="227"/>
      <c r="L3841" s="227"/>
    </row>
    <row r="3842" spans="11:12" x14ac:dyDescent="0.25">
      <c r="K3842" s="227"/>
      <c r="L3842" s="227"/>
    </row>
    <row r="3843" spans="11:12" x14ac:dyDescent="0.25">
      <c r="K3843" s="227"/>
      <c r="L3843" s="227"/>
    </row>
    <row r="3844" spans="11:12" x14ac:dyDescent="0.25">
      <c r="K3844" s="227"/>
      <c r="L3844" s="227"/>
    </row>
    <row r="3845" spans="11:12" x14ac:dyDescent="0.25">
      <c r="K3845" s="227"/>
      <c r="L3845" s="227"/>
    </row>
    <row r="3846" spans="11:12" x14ac:dyDescent="0.25">
      <c r="K3846" s="227"/>
      <c r="L3846" s="227"/>
    </row>
    <row r="3847" spans="11:12" x14ac:dyDescent="0.25">
      <c r="K3847" s="227"/>
      <c r="L3847" s="227"/>
    </row>
    <row r="3848" spans="11:12" x14ac:dyDescent="0.25">
      <c r="K3848" s="227"/>
      <c r="L3848" s="227"/>
    </row>
    <row r="3849" spans="11:12" x14ac:dyDescent="0.25">
      <c r="K3849" s="227"/>
      <c r="L3849" s="227"/>
    </row>
    <row r="3850" spans="11:12" x14ac:dyDescent="0.25">
      <c r="K3850" s="227"/>
      <c r="L3850" s="227"/>
    </row>
    <row r="3851" spans="11:12" x14ac:dyDescent="0.25">
      <c r="K3851" s="227"/>
      <c r="L3851" s="227"/>
    </row>
    <row r="3852" spans="11:12" x14ac:dyDescent="0.25">
      <c r="K3852" s="227"/>
      <c r="L3852" s="227"/>
    </row>
    <row r="3853" spans="11:12" x14ac:dyDescent="0.25">
      <c r="K3853" s="227"/>
      <c r="L3853" s="227"/>
    </row>
    <row r="3854" spans="11:12" x14ac:dyDescent="0.25">
      <c r="K3854" s="227"/>
      <c r="L3854" s="227"/>
    </row>
    <row r="3855" spans="11:12" x14ac:dyDescent="0.25">
      <c r="K3855" s="227"/>
      <c r="L3855" s="227"/>
    </row>
    <row r="3856" spans="11:12" x14ac:dyDescent="0.25">
      <c r="K3856" s="227"/>
      <c r="L3856" s="227"/>
    </row>
    <row r="3857" spans="11:12" x14ac:dyDescent="0.25">
      <c r="K3857" s="227"/>
      <c r="L3857" s="227"/>
    </row>
    <row r="3858" spans="11:12" x14ac:dyDescent="0.25">
      <c r="K3858" s="227"/>
      <c r="L3858" s="227"/>
    </row>
    <row r="3859" spans="11:12" x14ac:dyDescent="0.25">
      <c r="K3859" s="227"/>
      <c r="L3859" s="227"/>
    </row>
    <row r="3860" spans="11:12" x14ac:dyDescent="0.25">
      <c r="K3860" s="227"/>
      <c r="L3860" s="227"/>
    </row>
    <row r="3861" spans="11:12" x14ac:dyDescent="0.25">
      <c r="K3861" s="227"/>
      <c r="L3861" s="227"/>
    </row>
    <row r="3862" spans="11:12" x14ac:dyDescent="0.25">
      <c r="K3862" s="227"/>
      <c r="L3862" s="227"/>
    </row>
    <row r="3863" spans="11:12" x14ac:dyDescent="0.25">
      <c r="K3863" s="227"/>
      <c r="L3863" s="227"/>
    </row>
    <row r="3864" spans="11:12" x14ac:dyDescent="0.25">
      <c r="K3864" s="227"/>
      <c r="L3864" s="227"/>
    </row>
    <row r="3865" spans="11:12" x14ac:dyDescent="0.25">
      <c r="K3865" s="227"/>
      <c r="L3865" s="227"/>
    </row>
    <row r="3866" spans="11:12" x14ac:dyDescent="0.25">
      <c r="K3866" s="227"/>
      <c r="L3866" s="227"/>
    </row>
    <row r="3867" spans="11:12" x14ac:dyDescent="0.25">
      <c r="K3867" s="227"/>
      <c r="L3867" s="227"/>
    </row>
    <row r="3868" spans="11:12" x14ac:dyDescent="0.25">
      <c r="K3868" s="227"/>
      <c r="L3868" s="227"/>
    </row>
    <row r="3869" spans="11:12" x14ac:dyDescent="0.25">
      <c r="K3869" s="227"/>
      <c r="L3869" s="227"/>
    </row>
    <row r="3870" spans="11:12" x14ac:dyDescent="0.25">
      <c r="K3870" s="227"/>
      <c r="L3870" s="227"/>
    </row>
    <row r="3871" spans="11:12" x14ac:dyDescent="0.25">
      <c r="K3871" s="227"/>
      <c r="L3871" s="227"/>
    </row>
    <row r="3872" spans="11:12" x14ac:dyDescent="0.25">
      <c r="K3872" s="227"/>
      <c r="L3872" s="227"/>
    </row>
    <row r="3873" spans="11:12" x14ac:dyDescent="0.25">
      <c r="K3873" s="227"/>
      <c r="L3873" s="227"/>
    </row>
    <row r="3874" spans="11:12" x14ac:dyDescent="0.25">
      <c r="K3874" s="227"/>
      <c r="L3874" s="227"/>
    </row>
    <row r="3875" spans="11:12" x14ac:dyDescent="0.25">
      <c r="K3875" s="227"/>
      <c r="L3875" s="227"/>
    </row>
    <row r="3876" spans="11:12" x14ac:dyDescent="0.25">
      <c r="K3876" s="227"/>
      <c r="L3876" s="227"/>
    </row>
    <row r="3877" spans="11:12" x14ac:dyDescent="0.25">
      <c r="K3877" s="227"/>
      <c r="L3877" s="227"/>
    </row>
    <row r="3878" spans="11:12" x14ac:dyDescent="0.25">
      <c r="K3878" s="227"/>
      <c r="L3878" s="227"/>
    </row>
    <row r="3879" spans="11:12" x14ac:dyDescent="0.25">
      <c r="K3879" s="227"/>
      <c r="L3879" s="227"/>
    </row>
    <row r="3880" spans="11:12" x14ac:dyDescent="0.25">
      <c r="K3880" s="227"/>
      <c r="L3880" s="227"/>
    </row>
    <row r="3881" spans="11:12" x14ac:dyDescent="0.25">
      <c r="K3881" s="227"/>
      <c r="L3881" s="227"/>
    </row>
    <row r="3882" spans="11:12" x14ac:dyDescent="0.25">
      <c r="K3882" s="227"/>
      <c r="L3882" s="227"/>
    </row>
    <row r="3883" spans="11:12" x14ac:dyDescent="0.25">
      <c r="K3883" s="227"/>
      <c r="L3883" s="227"/>
    </row>
    <row r="3884" spans="11:12" x14ac:dyDescent="0.25">
      <c r="K3884" s="227"/>
      <c r="L3884" s="227"/>
    </row>
    <row r="3885" spans="11:12" x14ac:dyDescent="0.25">
      <c r="K3885" s="227"/>
      <c r="L3885" s="227"/>
    </row>
    <row r="3886" spans="11:12" x14ac:dyDescent="0.25">
      <c r="K3886" s="227"/>
      <c r="L3886" s="227"/>
    </row>
    <row r="3887" spans="11:12" x14ac:dyDescent="0.25">
      <c r="K3887" s="227"/>
      <c r="L3887" s="227"/>
    </row>
    <row r="3888" spans="11:12" x14ac:dyDescent="0.25">
      <c r="K3888" s="227"/>
      <c r="L3888" s="227"/>
    </row>
    <row r="3889" spans="11:12" x14ac:dyDescent="0.25">
      <c r="K3889" s="227"/>
      <c r="L3889" s="227"/>
    </row>
    <row r="3890" spans="11:12" x14ac:dyDescent="0.25">
      <c r="K3890" s="227"/>
      <c r="L3890" s="227"/>
    </row>
    <row r="3891" spans="11:12" x14ac:dyDescent="0.25">
      <c r="K3891" s="227"/>
      <c r="L3891" s="227"/>
    </row>
    <row r="3892" spans="11:12" x14ac:dyDescent="0.25">
      <c r="K3892" s="227"/>
      <c r="L3892" s="227"/>
    </row>
    <row r="3893" spans="11:12" x14ac:dyDescent="0.25">
      <c r="K3893" s="227"/>
      <c r="L3893" s="227"/>
    </row>
    <row r="3894" spans="11:12" x14ac:dyDescent="0.25">
      <c r="K3894" s="227"/>
      <c r="L3894" s="227"/>
    </row>
    <row r="3895" spans="11:12" x14ac:dyDescent="0.25">
      <c r="K3895" s="227"/>
      <c r="L3895" s="227"/>
    </row>
    <row r="3896" spans="11:12" x14ac:dyDescent="0.25">
      <c r="K3896" s="227"/>
      <c r="L3896" s="227"/>
    </row>
    <row r="3897" spans="11:12" x14ac:dyDescent="0.25">
      <c r="K3897" s="227"/>
      <c r="L3897" s="227"/>
    </row>
    <row r="3898" spans="11:12" x14ac:dyDescent="0.25">
      <c r="K3898" s="227"/>
      <c r="L3898" s="227"/>
    </row>
    <row r="3899" spans="11:12" x14ac:dyDescent="0.25">
      <c r="K3899" s="227"/>
      <c r="L3899" s="227"/>
    </row>
    <row r="3900" spans="11:12" x14ac:dyDescent="0.25">
      <c r="K3900" s="227"/>
      <c r="L3900" s="227"/>
    </row>
    <row r="3901" spans="11:12" x14ac:dyDescent="0.25">
      <c r="K3901" s="227"/>
      <c r="L3901" s="227"/>
    </row>
    <row r="3902" spans="11:12" x14ac:dyDescent="0.25">
      <c r="K3902" s="227"/>
      <c r="L3902" s="227"/>
    </row>
    <row r="3903" spans="11:12" x14ac:dyDescent="0.25">
      <c r="K3903" s="227"/>
      <c r="L3903" s="227"/>
    </row>
    <row r="3904" spans="11:12" x14ac:dyDescent="0.25">
      <c r="K3904" s="227"/>
      <c r="L3904" s="227"/>
    </row>
    <row r="3905" spans="11:12" x14ac:dyDescent="0.25">
      <c r="K3905" s="227"/>
      <c r="L3905" s="227"/>
    </row>
    <row r="3906" spans="11:12" x14ac:dyDescent="0.25">
      <c r="K3906" s="227"/>
      <c r="L3906" s="227"/>
    </row>
    <row r="3907" spans="11:12" x14ac:dyDescent="0.25">
      <c r="K3907" s="227"/>
      <c r="L3907" s="227"/>
    </row>
    <row r="3908" spans="11:12" x14ac:dyDescent="0.25">
      <c r="K3908" s="227"/>
      <c r="L3908" s="227"/>
    </row>
    <row r="3909" spans="11:12" x14ac:dyDescent="0.25">
      <c r="K3909" s="227"/>
      <c r="L3909" s="227"/>
    </row>
    <row r="3910" spans="11:12" x14ac:dyDescent="0.25">
      <c r="K3910" s="227"/>
      <c r="L3910" s="227"/>
    </row>
    <row r="3911" spans="11:12" x14ac:dyDescent="0.25">
      <c r="K3911" s="227"/>
      <c r="L3911" s="227"/>
    </row>
    <row r="3912" spans="11:12" x14ac:dyDescent="0.25">
      <c r="K3912" s="227"/>
      <c r="L3912" s="227"/>
    </row>
    <row r="3913" spans="11:12" x14ac:dyDescent="0.25">
      <c r="K3913" s="227"/>
      <c r="L3913" s="227"/>
    </row>
    <row r="3914" spans="11:12" x14ac:dyDescent="0.25">
      <c r="K3914" s="227"/>
      <c r="L3914" s="227"/>
    </row>
    <row r="3915" spans="11:12" x14ac:dyDescent="0.25">
      <c r="K3915" s="227"/>
      <c r="L3915" s="227"/>
    </row>
    <row r="3916" spans="11:12" x14ac:dyDescent="0.25">
      <c r="K3916" s="227"/>
      <c r="L3916" s="227"/>
    </row>
    <row r="3917" spans="11:12" x14ac:dyDescent="0.25">
      <c r="K3917" s="227"/>
      <c r="L3917" s="227"/>
    </row>
    <row r="3918" spans="11:12" x14ac:dyDescent="0.25">
      <c r="K3918" s="227"/>
      <c r="L3918" s="227"/>
    </row>
    <row r="3919" spans="11:12" x14ac:dyDescent="0.25">
      <c r="K3919" s="227"/>
      <c r="L3919" s="227"/>
    </row>
    <row r="3920" spans="11:12" x14ac:dyDescent="0.25">
      <c r="K3920" s="227"/>
      <c r="L3920" s="227"/>
    </row>
    <row r="3921" spans="11:12" x14ac:dyDescent="0.25">
      <c r="K3921" s="227"/>
      <c r="L3921" s="227"/>
    </row>
    <row r="3922" spans="11:12" x14ac:dyDescent="0.25">
      <c r="K3922" s="227"/>
      <c r="L3922" s="227"/>
    </row>
    <row r="3923" spans="11:12" x14ac:dyDescent="0.25">
      <c r="K3923" s="227"/>
      <c r="L3923" s="227"/>
    </row>
    <row r="3924" spans="11:12" x14ac:dyDescent="0.25">
      <c r="K3924" s="227"/>
      <c r="L3924" s="227"/>
    </row>
    <row r="3925" spans="11:12" x14ac:dyDescent="0.25">
      <c r="K3925" s="227"/>
      <c r="L3925" s="227"/>
    </row>
    <row r="3926" spans="11:12" x14ac:dyDescent="0.25">
      <c r="K3926" s="227"/>
      <c r="L3926" s="227"/>
    </row>
    <row r="3927" spans="11:12" x14ac:dyDescent="0.25">
      <c r="K3927" s="227"/>
      <c r="L3927" s="227"/>
    </row>
    <row r="3928" spans="11:12" x14ac:dyDescent="0.25">
      <c r="K3928" s="227"/>
      <c r="L3928" s="227"/>
    </row>
    <row r="3929" spans="11:12" x14ac:dyDescent="0.25">
      <c r="K3929" s="227"/>
      <c r="L3929" s="227"/>
    </row>
    <row r="3930" spans="11:12" x14ac:dyDescent="0.25">
      <c r="K3930" s="227"/>
      <c r="L3930" s="227"/>
    </row>
    <row r="3931" spans="11:12" x14ac:dyDescent="0.25">
      <c r="K3931" s="227"/>
      <c r="L3931" s="227"/>
    </row>
    <row r="3932" spans="11:12" x14ac:dyDescent="0.25">
      <c r="K3932" s="227"/>
      <c r="L3932" s="227"/>
    </row>
    <row r="3933" spans="11:12" x14ac:dyDescent="0.25">
      <c r="K3933" s="227"/>
      <c r="L3933" s="227"/>
    </row>
    <row r="3934" spans="11:12" x14ac:dyDescent="0.25">
      <c r="K3934" s="227"/>
      <c r="L3934" s="227"/>
    </row>
    <row r="3935" spans="11:12" x14ac:dyDescent="0.25">
      <c r="K3935" s="227"/>
      <c r="L3935" s="227"/>
    </row>
    <row r="3936" spans="11:12" x14ac:dyDescent="0.25">
      <c r="K3936" s="227"/>
      <c r="L3936" s="227"/>
    </row>
    <row r="3937" spans="11:12" x14ac:dyDescent="0.25">
      <c r="K3937" s="227"/>
      <c r="L3937" s="227"/>
    </row>
    <row r="3938" spans="11:12" x14ac:dyDescent="0.25">
      <c r="K3938" s="227"/>
      <c r="L3938" s="227"/>
    </row>
    <row r="3939" spans="11:12" x14ac:dyDescent="0.25">
      <c r="K3939" s="227"/>
      <c r="L3939" s="227"/>
    </row>
    <row r="3940" spans="11:12" x14ac:dyDescent="0.25">
      <c r="K3940" s="227"/>
      <c r="L3940" s="227"/>
    </row>
    <row r="3941" spans="11:12" x14ac:dyDescent="0.25">
      <c r="K3941" s="227"/>
      <c r="L3941" s="227"/>
    </row>
    <row r="3942" spans="11:12" x14ac:dyDescent="0.25">
      <c r="K3942" s="227"/>
      <c r="L3942" s="227"/>
    </row>
    <row r="3943" spans="11:12" x14ac:dyDescent="0.25">
      <c r="K3943" s="227"/>
      <c r="L3943" s="227"/>
    </row>
    <row r="3944" spans="11:12" x14ac:dyDescent="0.25">
      <c r="K3944" s="227"/>
      <c r="L3944" s="227"/>
    </row>
    <row r="3945" spans="11:12" x14ac:dyDescent="0.25">
      <c r="K3945" s="227"/>
      <c r="L3945" s="227"/>
    </row>
    <row r="3946" spans="11:12" x14ac:dyDescent="0.25">
      <c r="K3946" s="227"/>
      <c r="L3946" s="227"/>
    </row>
    <row r="3947" spans="11:12" x14ac:dyDescent="0.25">
      <c r="K3947" s="227"/>
      <c r="L3947" s="227"/>
    </row>
    <row r="3948" spans="11:12" x14ac:dyDescent="0.25">
      <c r="K3948" s="227"/>
      <c r="L3948" s="227"/>
    </row>
    <row r="3949" spans="11:12" x14ac:dyDescent="0.25">
      <c r="K3949" s="227"/>
      <c r="L3949" s="227"/>
    </row>
    <row r="3950" spans="11:12" x14ac:dyDescent="0.25">
      <c r="K3950" s="227"/>
      <c r="L3950" s="227"/>
    </row>
    <row r="3951" spans="11:12" x14ac:dyDescent="0.25">
      <c r="K3951" s="227"/>
      <c r="L3951" s="227"/>
    </row>
    <row r="3952" spans="11:12" x14ac:dyDescent="0.25">
      <c r="K3952" s="227"/>
      <c r="L3952" s="227"/>
    </row>
    <row r="3953" spans="11:12" x14ac:dyDescent="0.25">
      <c r="K3953" s="227"/>
      <c r="L3953" s="227"/>
    </row>
    <row r="3954" spans="11:12" x14ac:dyDescent="0.25">
      <c r="K3954" s="227"/>
      <c r="L3954" s="227"/>
    </row>
    <row r="3955" spans="11:12" x14ac:dyDescent="0.25">
      <c r="K3955" s="227"/>
      <c r="L3955" s="227"/>
    </row>
    <row r="3956" spans="11:12" x14ac:dyDescent="0.25">
      <c r="K3956" s="227"/>
      <c r="L3956" s="227"/>
    </row>
    <row r="3957" spans="11:12" x14ac:dyDescent="0.25">
      <c r="K3957" s="227"/>
      <c r="L3957" s="227"/>
    </row>
    <row r="3958" spans="11:12" x14ac:dyDescent="0.25">
      <c r="K3958" s="227"/>
      <c r="L3958" s="227"/>
    </row>
    <row r="3959" spans="11:12" x14ac:dyDescent="0.25">
      <c r="K3959" s="227"/>
      <c r="L3959" s="227"/>
    </row>
    <row r="3960" spans="11:12" x14ac:dyDescent="0.25">
      <c r="K3960" s="227"/>
      <c r="L3960" s="227"/>
    </row>
    <row r="3961" spans="11:12" x14ac:dyDescent="0.25">
      <c r="K3961" s="227"/>
      <c r="L3961" s="227"/>
    </row>
    <row r="3962" spans="11:12" x14ac:dyDescent="0.25">
      <c r="K3962" s="227"/>
      <c r="L3962" s="227"/>
    </row>
    <row r="3963" spans="11:12" x14ac:dyDescent="0.25">
      <c r="K3963" s="227"/>
      <c r="L3963" s="227"/>
    </row>
    <row r="3964" spans="11:12" x14ac:dyDescent="0.25">
      <c r="K3964" s="227"/>
      <c r="L3964" s="227"/>
    </row>
    <row r="3965" spans="11:12" x14ac:dyDescent="0.25">
      <c r="K3965" s="227"/>
      <c r="L3965" s="227"/>
    </row>
    <row r="3966" spans="11:12" x14ac:dyDescent="0.25">
      <c r="K3966" s="227"/>
      <c r="L3966" s="227"/>
    </row>
    <row r="3967" spans="11:12" x14ac:dyDescent="0.25">
      <c r="K3967" s="227"/>
      <c r="L3967" s="227"/>
    </row>
    <row r="3968" spans="11:12" x14ac:dyDescent="0.25">
      <c r="K3968" s="227"/>
      <c r="L3968" s="227"/>
    </row>
    <row r="3969" spans="11:12" x14ac:dyDescent="0.25">
      <c r="K3969" s="227"/>
      <c r="L3969" s="227"/>
    </row>
    <row r="3970" spans="11:12" x14ac:dyDescent="0.25">
      <c r="K3970" s="227"/>
      <c r="L3970" s="227"/>
    </row>
    <row r="3971" spans="11:12" x14ac:dyDescent="0.25">
      <c r="K3971" s="227"/>
      <c r="L3971" s="227"/>
    </row>
    <row r="3972" spans="11:12" x14ac:dyDescent="0.25">
      <c r="K3972" s="227"/>
      <c r="L3972" s="227"/>
    </row>
    <row r="3973" spans="11:12" x14ac:dyDescent="0.25">
      <c r="K3973" s="227"/>
      <c r="L3973" s="227"/>
    </row>
    <row r="3974" spans="11:12" x14ac:dyDescent="0.25">
      <c r="K3974" s="227"/>
      <c r="L3974" s="227"/>
    </row>
    <row r="3975" spans="11:12" x14ac:dyDescent="0.25">
      <c r="K3975" s="227"/>
      <c r="L3975" s="227"/>
    </row>
    <row r="3976" spans="11:12" x14ac:dyDescent="0.25">
      <c r="K3976" s="227"/>
      <c r="L3976" s="227"/>
    </row>
    <row r="3977" spans="11:12" x14ac:dyDescent="0.25">
      <c r="K3977" s="227"/>
      <c r="L3977" s="227"/>
    </row>
    <row r="3978" spans="11:12" x14ac:dyDescent="0.25">
      <c r="K3978" s="227"/>
      <c r="L3978" s="227"/>
    </row>
    <row r="3979" spans="11:12" x14ac:dyDescent="0.25">
      <c r="K3979" s="227"/>
      <c r="L3979" s="227"/>
    </row>
    <row r="3980" spans="11:12" x14ac:dyDescent="0.25">
      <c r="K3980" s="227"/>
      <c r="L3980" s="227"/>
    </row>
    <row r="3981" spans="11:12" x14ac:dyDescent="0.25">
      <c r="K3981" s="227"/>
      <c r="L3981" s="227"/>
    </row>
    <row r="3982" spans="11:12" x14ac:dyDescent="0.25">
      <c r="K3982" s="227"/>
      <c r="L3982" s="227"/>
    </row>
    <row r="3983" spans="11:12" x14ac:dyDescent="0.25">
      <c r="K3983" s="227"/>
      <c r="L3983" s="227"/>
    </row>
    <row r="3984" spans="11:12" x14ac:dyDescent="0.25">
      <c r="K3984" s="227"/>
      <c r="L3984" s="227"/>
    </row>
    <row r="3985" spans="11:12" x14ac:dyDescent="0.25">
      <c r="K3985" s="227"/>
      <c r="L3985" s="227"/>
    </row>
    <row r="3986" spans="11:12" x14ac:dyDescent="0.25">
      <c r="K3986" s="227"/>
      <c r="L3986" s="227"/>
    </row>
    <row r="3987" spans="11:12" x14ac:dyDescent="0.25">
      <c r="K3987" s="227"/>
      <c r="L3987" s="227"/>
    </row>
    <row r="3988" spans="11:12" x14ac:dyDescent="0.25">
      <c r="K3988" s="227"/>
      <c r="L3988" s="227"/>
    </row>
    <row r="3989" spans="11:12" x14ac:dyDescent="0.25">
      <c r="K3989" s="227"/>
      <c r="L3989" s="227"/>
    </row>
    <row r="3990" spans="11:12" x14ac:dyDescent="0.25">
      <c r="K3990" s="227"/>
      <c r="L3990" s="227"/>
    </row>
    <row r="3991" spans="11:12" x14ac:dyDescent="0.25">
      <c r="K3991" s="227"/>
      <c r="L3991" s="227"/>
    </row>
    <row r="3992" spans="11:12" x14ac:dyDescent="0.25">
      <c r="K3992" s="227"/>
      <c r="L3992" s="227"/>
    </row>
    <row r="3993" spans="11:12" x14ac:dyDescent="0.25">
      <c r="K3993" s="227"/>
      <c r="L3993" s="227"/>
    </row>
    <row r="3994" spans="11:12" x14ac:dyDescent="0.25">
      <c r="K3994" s="227"/>
      <c r="L3994" s="227"/>
    </row>
    <row r="3995" spans="11:12" x14ac:dyDescent="0.25">
      <c r="K3995" s="227"/>
      <c r="L3995" s="227"/>
    </row>
    <row r="3996" spans="11:12" x14ac:dyDescent="0.25">
      <c r="K3996" s="227"/>
      <c r="L3996" s="227"/>
    </row>
    <row r="3997" spans="11:12" x14ac:dyDescent="0.25">
      <c r="K3997" s="227"/>
      <c r="L3997" s="227"/>
    </row>
    <row r="3998" spans="11:12" x14ac:dyDescent="0.25">
      <c r="K3998" s="227"/>
      <c r="L3998" s="227"/>
    </row>
    <row r="3999" spans="11:12" x14ac:dyDescent="0.25">
      <c r="K3999" s="227"/>
      <c r="L3999" s="227"/>
    </row>
    <row r="4000" spans="11:12" x14ac:dyDescent="0.25">
      <c r="K4000" s="227"/>
      <c r="L4000" s="227"/>
    </row>
    <row r="4001" spans="11:12" x14ac:dyDescent="0.25">
      <c r="K4001" s="227"/>
      <c r="L4001" s="227"/>
    </row>
    <row r="4002" spans="11:12" x14ac:dyDescent="0.25">
      <c r="K4002" s="227"/>
      <c r="L4002" s="227"/>
    </row>
    <row r="4003" spans="11:12" x14ac:dyDescent="0.25">
      <c r="K4003" s="227"/>
      <c r="L4003" s="227"/>
    </row>
    <row r="4004" spans="11:12" x14ac:dyDescent="0.25">
      <c r="K4004" s="227"/>
      <c r="L4004" s="227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278" priority="10" stopIfTrue="1" operator="equal">
      <formula>0</formula>
    </cfRule>
  </conditionalFormatting>
  <conditionalFormatting sqref="AL45">
    <cfRule type="cellIs" dxfId="277" priority="9" stopIfTrue="1" operator="equal">
      <formula>0</formula>
    </cfRule>
  </conditionalFormatting>
  <conditionalFormatting sqref="T45">
    <cfRule type="cellIs" dxfId="276" priority="8" stopIfTrue="1" operator="equal">
      <formula>0</formula>
    </cfRule>
  </conditionalFormatting>
  <conditionalFormatting sqref="T45">
    <cfRule type="cellIs" dxfId="275" priority="7" stopIfTrue="1" operator="equal">
      <formula>0</formula>
    </cfRule>
  </conditionalFormatting>
  <conditionalFormatting sqref="T45">
    <cfRule type="cellIs" dxfId="274" priority="6" stopIfTrue="1" operator="equal">
      <formula>0</formula>
    </cfRule>
  </conditionalFormatting>
  <conditionalFormatting sqref="T45">
    <cfRule type="cellIs" dxfId="273" priority="5" stopIfTrue="1" operator="equal">
      <formula>0</formula>
    </cfRule>
  </conditionalFormatting>
  <conditionalFormatting sqref="T45">
    <cfRule type="cellIs" dxfId="272" priority="4" stopIfTrue="1" operator="equal">
      <formula>0</formula>
    </cfRule>
  </conditionalFormatting>
  <conditionalFormatting sqref="T45">
    <cfRule type="cellIs" dxfId="271" priority="3" stopIfTrue="1" operator="equal">
      <formula>0</formula>
    </cfRule>
  </conditionalFormatting>
  <conditionalFormatting sqref="T45">
    <cfRule type="cellIs" dxfId="270" priority="2" stopIfTrue="1" operator="equal">
      <formula>0</formula>
    </cfRule>
  </conditionalFormatting>
  <conditionalFormatting sqref="T45">
    <cfRule type="cellIs" dxfId="26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M97" zoomScale="80" zoomScaleNormal="80" workbookViewId="0">
      <selection activeCell="V105" sqref="V105:AH108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5.140625" style="184" customWidth="1"/>
    <col min="7" max="7" width="18.5703125" style="184" customWidth="1"/>
    <col min="8" max="8" width="10.7109375" style="184" customWidth="1"/>
    <col min="9" max="10" width="9.140625" style="184" customWidth="1"/>
    <col min="11" max="12" width="9.140625" style="227" customWidth="1"/>
    <col min="13" max="13" width="14.5703125" style="228" customWidth="1"/>
    <col min="14" max="14" width="12.42578125" style="228" customWidth="1"/>
    <col min="15" max="15" width="12.28515625" style="228" customWidth="1"/>
    <col min="16" max="18" width="9.140625" style="228" customWidth="1"/>
    <col min="19" max="19" width="16.85546875" style="185" customWidth="1"/>
    <col min="20" max="20" width="12.7109375" style="185" customWidth="1"/>
    <col min="21" max="21" width="10.85546875" style="186" customWidth="1"/>
    <col min="22" max="22" width="15" style="134" customWidth="1"/>
    <col min="23" max="23" width="14" style="134" hidden="1" customWidth="1"/>
    <col min="24" max="24" width="9.140625" style="134" hidden="1" customWidth="1"/>
    <col min="25" max="25" width="9.5703125" style="134" hidden="1" customWidth="1"/>
    <col min="26" max="26" width="9.140625" style="134" hidden="1" customWidth="1"/>
    <col min="27" max="27" width="9.5703125" style="134" hidden="1" customWidth="1"/>
    <col min="28" max="30" width="9.140625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3" style="134" customWidth="1"/>
    <col min="35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309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82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310</v>
      </c>
      <c r="Q7" s="360"/>
      <c r="R7" s="360"/>
      <c r="S7" s="360"/>
      <c r="T7" s="360"/>
      <c r="U7" s="361"/>
    </row>
    <row r="8" spans="1:40" ht="311.25" customHeight="1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39</v>
      </c>
      <c r="I10" s="210">
        <v>27</v>
      </c>
      <c r="J10" s="210">
        <v>30</v>
      </c>
      <c r="K10" s="209">
        <v>30</v>
      </c>
      <c r="L10" s="210">
        <v>29</v>
      </c>
      <c r="M10" s="211">
        <f>8818.63+2629.32+1661.28+2228.94+580</f>
        <v>15918.17</v>
      </c>
      <c r="N10" s="211">
        <f>8818.63+2629.32+1661.28+2228.94+580</f>
        <v>15918.17</v>
      </c>
      <c r="O10" s="212">
        <f xml:space="preserve"> (M10-N10)</f>
        <v>0</v>
      </c>
      <c r="P10" s="213">
        <v>8</v>
      </c>
      <c r="Q10" s="214">
        <v>8</v>
      </c>
      <c r="R10" s="215">
        <v>8</v>
      </c>
      <c r="S10" s="97">
        <f>4246.75+895.7+2557.8</f>
        <v>7700.25</v>
      </c>
      <c r="T10" s="97">
        <f>4246.75+895.7+2557.8</f>
        <v>7700.25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14</v>
      </c>
      <c r="I11" s="210">
        <v>13</v>
      </c>
      <c r="J11" s="210">
        <v>13</v>
      </c>
      <c r="K11" s="209">
        <v>13</v>
      </c>
      <c r="L11" s="210">
        <v>13</v>
      </c>
      <c r="M11" s="211">
        <f>1778.86+580+1740+464+580</f>
        <v>5142.8599999999997</v>
      </c>
      <c r="N11" s="211">
        <f>1778.86+580+1740+464+580</f>
        <v>5142.8599999999997</v>
      </c>
      <c r="O11" s="212">
        <f t="shared" ref="O11:O74" si="1" xml:space="preserve"> (M11-N11)</f>
        <v>0</v>
      </c>
      <c r="P11" s="213">
        <v>2</v>
      </c>
      <c r="Q11" s="21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210"/>
      <c r="J12" s="210"/>
      <c r="K12" s="209"/>
      <c r="L12" s="210"/>
      <c r="M12" s="211"/>
      <c r="N12" s="211"/>
      <c r="O12" s="212">
        <f t="shared" si="1"/>
        <v>0</v>
      </c>
      <c r="P12" s="213">
        <v>3</v>
      </c>
      <c r="Q12" s="21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30</v>
      </c>
      <c r="I13" s="210">
        <v>20</v>
      </c>
      <c r="J13" s="210">
        <v>26</v>
      </c>
      <c r="K13" s="209">
        <v>21</v>
      </c>
      <c r="L13" s="210">
        <v>11</v>
      </c>
      <c r="M13" s="211">
        <f>272.84+2699.54+4096.17</f>
        <v>7068.55</v>
      </c>
      <c r="N13" s="211">
        <f>272.84+2699.54+4096.17</f>
        <v>7068.55</v>
      </c>
      <c r="O13" s="212">
        <f t="shared" si="1"/>
        <v>0</v>
      </c>
      <c r="P13" s="213">
        <v>5</v>
      </c>
      <c r="Q13" s="214">
        <v>5</v>
      </c>
      <c r="R13" s="215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33</v>
      </c>
      <c r="I14" s="210">
        <v>19</v>
      </c>
      <c r="J14" s="210">
        <v>24</v>
      </c>
      <c r="K14" s="209">
        <v>27</v>
      </c>
      <c r="L14" s="210">
        <v>22</v>
      </c>
      <c r="M14" s="211">
        <f>4932.74+3257.04+137+2487.39+344.5+725</f>
        <v>11883.669999999998</v>
      </c>
      <c r="N14" s="211">
        <f>4932.74+3257.04+137+2487.39+344.5+725</f>
        <v>11883.669999999998</v>
      </c>
      <c r="O14" s="212">
        <f t="shared" si="1"/>
        <v>0</v>
      </c>
      <c r="P14" s="213">
        <v>7</v>
      </c>
      <c r="Q14" s="214">
        <v>7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31</v>
      </c>
      <c r="I15" s="210">
        <v>23</v>
      </c>
      <c r="J15" s="210">
        <v>29</v>
      </c>
      <c r="K15" s="209">
        <v>28</v>
      </c>
      <c r="L15" s="210">
        <v>26</v>
      </c>
      <c r="M15" s="211">
        <f>16942.87+1278.76+580+108.75</f>
        <v>18910.379999999997</v>
      </c>
      <c r="N15" s="211">
        <f>16942.87+1278.76+580+108.75</f>
        <v>18910.379999999997</v>
      </c>
      <c r="O15" s="212">
        <f t="shared" si="1"/>
        <v>0</v>
      </c>
      <c r="P15" s="213">
        <v>14</v>
      </c>
      <c r="Q15" s="214">
        <v>14</v>
      </c>
      <c r="R15" s="215">
        <v>14</v>
      </c>
      <c r="S15" s="97">
        <f>13813.9+1491.1</f>
        <v>15305</v>
      </c>
      <c r="T15" s="97">
        <f>13813.9+1491.1</f>
        <v>15305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210"/>
      <c r="J16" s="210"/>
      <c r="K16" s="209"/>
      <c r="L16" s="210"/>
      <c r="M16" s="211"/>
      <c r="N16" s="211"/>
      <c r="O16" s="212">
        <f t="shared" si="1"/>
        <v>0</v>
      </c>
      <c r="P16" s="213"/>
      <c r="Q16" s="21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39</v>
      </c>
      <c r="I17" s="210">
        <v>14</v>
      </c>
      <c r="J17" s="210">
        <v>19</v>
      </c>
      <c r="K17" s="209">
        <v>18</v>
      </c>
      <c r="L17" s="210">
        <v>16</v>
      </c>
      <c r="M17" s="211">
        <f>7235.14+4416.12+1559.66+658.56+1087.5</f>
        <v>14956.98</v>
      </c>
      <c r="N17" s="211">
        <f>7235.14+4416.12+1559.66+658.56+1087.5</f>
        <v>14956.98</v>
      </c>
      <c r="O17" s="212">
        <f t="shared" si="1"/>
        <v>0</v>
      </c>
      <c r="P17" s="213">
        <v>1</v>
      </c>
      <c r="Q17" s="21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32</v>
      </c>
      <c r="I18" s="210">
        <v>24</v>
      </c>
      <c r="J18" s="210">
        <v>27</v>
      </c>
      <c r="K18" s="210">
        <v>27</v>
      </c>
      <c r="L18" s="210">
        <v>23</v>
      </c>
      <c r="M18" s="211">
        <f>2118.92+12936.58+4403.89+2411.49+2972.12</f>
        <v>24842.999999999996</v>
      </c>
      <c r="N18" s="211">
        <f>2118.92+12936.58+4403.89+2411.49+2972.12</f>
        <v>24842.999999999996</v>
      </c>
      <c r="O18" s="212">
        <f t="shared" si="1"/>
        <v>0</v>
      </c>
      <c r="P18" s="213">
        <v>7</v>
      </c>
      <c r="Q18" s="215">
        <v>6</v>
      </c>
      <c r="R18" s="215">
        <v>6</v>
      </c>
      <c r="S18" s="97">
        <f>14748.55+934.31</f>
        <v>15682.859999999999</v>
      </c>
      <c r="T18" s="97">
        <f>14748.55+934.31</f>
        <v>15682.859999999999</v>
      </c>
      <c r="U18" s="97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30</v>
      </c>
      <c r="I19" s="210">
        <v>17</v>
      </c>
      <c r="J19" s="210">
        <v>31</v>
      </c>
      <c r="K19" s="209">
        <v>26</v>
      </c>
      <c r="L19" s="210">
        <v>24</v>
      </c>
      <c r="M19" s="211">
        <f>5345.36+3385.2+4242.79+7468.83+387.77</f>
        <v>20829.95</v>
      </c>
      <c r="N19" s="211">
        <f>5345.36+3385.2+4242.79+7468.83+387.77</f>
        <v>20829.95</v>
      </c>
      <c r="O19" s="212">
        <f t="shared" si="1"/>
        <v>0</v>
      </c>
      <c r="P19" s="213">
        <v>15</v>
      </c>
      <c r="Q19" s="21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42</v>
      </c>
      <c r="I20" s="210">
        <v>22</v>
      </c>
      <c r="J20" s="210">
        <v>29</v>
      </c>
      <c r="K20" s="210">
        <v>27</v>
      </c>
      <c r="L20" s="210">
        <v>23</v>
      </c>
      <c r="M20" s="211">
        <f>5728.14+3727.02+315.94+2507.59+652.5+2191.47+1855.28</f>
        <v>16977.939999999999</v>
      </c>
      <c r="N20" s="211">
        <f>5728.14+3727.02+315.94+2507.59+652.5+2191.47+1855.28</f>
        <v>16977.939999999999</v>
      </c>
      <c r="O20" s="212">
        <f t="shared" si="1"/>
        <v>0</v>
      </c>
      <c r="P20" s="213">
        <v>27</v>
      </c>
      <c r="Q20" s="215">
        <v>28</v>
      </c>
      <c r="R20" s="215">
        <v>27</v>
      </c>
      <c r="S20" s="97">
        <f>36404.57+1488.24+1902.09</f>
        <v>39794.899999999994</v>
      </c>
      <c r="T20" s="97">
        <f>36404.57+1488.24+1902.09</f>
        <v>39794.899999999994</v>
      </c>
      <c r="U20" s="97">
        <f t="shared" si="2"/>
        <v>0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21</v>
      </c>
      <c r="I21" s="210">
        <v>10</v>
      </c>
      <c r="J21" s="210">
        <v>15</v>
      </c>
      <c r="K21" s="209">
        <v>18</v>
      </c>
      <c r="L21" s="210">
        <v>15</v>
      </c>
      <c r="M21" s="211">
        <f>3586.84+1791.4+1337.88+413.4+1061.35+942.5</f>
        <v>9133.369999999999</v>
      </c>
      <c r="N21" s="211">
        <f>3586.84+1791.4+1337.88+413.4+1061.35+942.5</f>
        <v>9133.369999999999</v>
      </c>
      <c r="O21" s="212">
        <f t="shared" si="1"/>
        <v>0</v>
      </c>
      <c r="P21" s="213">
        <v>6</v>
      </c>
      <c r="Q21" s="214">
        <v>6</v>
      </c>
      <c r="R21" s="215">
        <v>6</v>
      </c>
      <c r="S21" s="97">
        <f>7288.02+447.62+2487.39</f>
        <v>10223.030000000001</v>
      </c>
      <c r="T21" s="97">
        <f>7288.02+447.62+2487.39</f>
        <v>10223.030000000001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111</v>
      </c>
      <c r="I22" s="210">
        <v>68</v>
      </c>
      <c r="J22" s="210">
        <v>83</v>
      </c>
      <c r="K22" s="210">
        <v>69</v>
      </c>
      <c r="L22" s="210">
        <v>69</v>
      </c>
      <c r="M22" s="211">
        <f>19787.02+2513.73+2255.05+12081.39+6786.96</f>
        <v>43424.15</v>
      </c>
      <c r="N22" s="211">
        <f>19787.02+2513.73+2255.05+12081.39+6786.96</f>
        <v>43424.15</v>
      </c>
      <c r="O22" s="212">
        <f t="shared" si="1"/>
        <v>0</v>
      </c>
      <c r="P22" s="213">
        <v>23</v>
      </c>
      <c r="Q22" s="215">
        <v>23</v>
      </c>
      <c r="R22" s="215">
        <v>22</v>
      </c>
      <c r="S22" s="97">
        <f>24103.23+3334.5</f>
        <v>27437.73</v>
      </c>
      <c r="T22" s="97">
        <f>24103.23+3334.5</f>
        <v>27437.73</v>
      </c>
      <c r="U22" s="97">
        <f t="shared" si="2"/>
        <v>0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16</v>
      </c>
      <c r="I23" s="210">
        <v>11</v>
      </c>
      <c r="J23" s="210">
        <v>16</v>
      </c>
      <c r="K23" s="209">
        <v>16</v>
      </c>
      <c r="L23" s="210">
        <v>14</v>
      </c>
      <c r="M23" s="211">
        <f>5739.04+1828.05+1440.72+631.62+564.05+641.19+793.15</f>
        <v>11637.82</v>
      </c>
      <c r="N23" s="211">
        <f>5739.04+1828.05+1440.72+631.62+564.05+641.19+793.15</f>
        <v>11637.82</v>
      </c>
      <c r="O23" s="212">
        <f t="shared" si="1"/>
        <v>0</v>
      </c>
      <c r="P23" s="213">
        <v>12</v>
      </c>
      <c r="Q23" s="214">
        <v>11</v>
      </c>
      <c r="R23" s="215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22</v>
      </c>
      <c r="I24" s="210">
        <v>18</v>
      </c>
      <c r="J24" s="210">
        <v>21</v>
      </c>
      <c r="K24" s="209">
        <v>15</v>
      </c>
      <c r="L24" s="210">
        <v>15</v>
      </c>
      <c r="M24" s="211">
        <f>1515.11+3525.12</f>
        <v>5040.2299999999996</v>
      </c>
      <c r="N24" s="211">
        <f>1515.11+3525.12</f>
        <v>5040.2299999999996</v>
      </c>
      <c r="O24" s="212">
        <f t="shared" si="1"/>
        <v>0</v>
      </c>
      <c r="P24" s="213">
        <v>7</v>
      </c>
      <c r="Q24" s="21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34</v>
      </c>
      <c r="I25" s="210">
        <v>13</v>
      </c>
      <c r="J25" s="210">
        <v>32</v>
      </c>
      <c r="K25" s="210">
        <v>32</v>
      </c>
      <c r="L25" s="210">
        <v>32</v>
      </c>
      <c r="M25" s="211">
        <f>9005.69+15068.32+3714.72</f>
        <v>27788.730000000003</v>
      </c>
      <c r="N25" s="211">
        <f>9005.69+15068.32+3714.72</f>
        <v>27788.730000000003</v>
      </c>
      <c r="O25" s="212">
        <f t="shared" si="1"/>
        <v>0</v>
      </c>
      <c r="P25" s="213">
        <v>22</v>
      </c>
      <c r="Q25" s="215">
        <v>21</v>
      </c>
      <c r="R25" s="215">
        <v>21</v>
      </c>
      <c r="S25" s="97">
        <f>24213.05+6197.08+341.06</f>
        <v>30751.19</v>
      </c>
      <c r="T25" s="97">
        <f>24213.05+6197.08+341.06</f>
        <v>30751.19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210">
        <v>11</v>
      </c>
      <c r="J26" s="210">
        <v>18</v>
      </c>
      <c r="K26" s="209">
        <v>18</v>
      </c>
      <c r="L26" s="210">
        <v>18</v>
      </c>
      <c r="M26" s="211">
        <f>3777.1+6399.51+6251.64+358.88</f>
        <v>16787.13</v>
      </c>
      <c r="N26" s="211">
        <f>3777.1+6399.51+6251.64+358.88</f>
        <v>16787.13</v>
      </c>
      <c r="O26" s="212">
        <f t="shared" si="1"/>
        <v>0</v>
      </c>
      <c r="P26" s="213">
        <v>12</v>
      </c>
      <c r="Q26" s="214">
        <v>12</v>
      </c>
      <c r="R26" s="215">
        <v>12</v>
      </c>
      <c r="S26" s="97">
        <f>3386.7+2140.45</f>
        <v>5527.15</v>
      </c>
      <c r="T26" s="97">
        <f>3386.7+2140.45</f>
        <v>5527.15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29</v>
      </c>
      <c r="I27" s="210">
        <v>20</v>
      </c>
      <c r="J27" s="210">
        <v>36</v>
      </c>
      <c r="K27" s="209">
        <v>36</v>
      </c>
      <c r="L27" s="210">
        <v>36</v>
      </c>
      <c r="M27" s="211">
        <f>6801.73+4254.18+3948.81+757.9+1004.85+1005.5</f>
        <v>17772.969999999998</v>
      </c>
      <c r="N27" s="211">
        <f>6801.73+4254.18+3948.81+757.9+1004.85+1005.5</f>
        <v>17772.969999999998</v>
      </c>
      <c r="O27" s="212">
        <f t="shared" si="1"/>
        <v>0</v>
      </c>
      <c r="P27" s="213">
        <v>14</v>
      </c>
      <c r="Q27" s="21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210"/>
      <c r="J28" s="210"/>
      <c r="K28" s="209"/>
      <c r="L28" s="210"/>
      <c r="M28" s="211"/>
      <c r="N28" s="211"/>
      <c r="O28" s="212">
        <f t="shared" si="1"/>
        <v>0</v>
      </c>
      <c r="P28" s="213"/>
      <c r="Q28" s="21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24</v>
      </c>
      <c r="I29" s="210">
        <v>21</v>
      </c>
      <c r="J29" s="210">
        <v>31</v>
      </c>
      <c r="K29" s="209">
        <v>31</v>
      </c>
      <c r="L29" s="210">
        <v>28</v>
      </c>
      <c r="M29" s="211">
        <f>7765.28+1107.91+3282.4+1320.23+1580.98+622.05+447.4</f>
        <v>16126.249999999998</v>
      </c>
      <c r="N29" s="211">
        <f>7765.28+1107.91+3282.4+1320.23+1580.98+622.05+447.4</f>
        <v>16126.249999999998</v>
      </c>
      <c r="O29" s="212">
        <f t="shared" si="1"/>
        <v>0</v>
      </c>
      <c r="P29" s="213">
        <v>14</v>
      </c>
      <c r="Q29" s="21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38</v>
      </c>
      <c r="I30" s="210">
        <v>29</v>
      </c>
      <c r="J30" s="210">
        <v>41</v>
      </c>
      <c r="K30" s="210">
        <v>41</v>
      </c>
      <c r="L30" s="210">
        <v>36</v>
      </c>
      <c r="M30" s="211">
        <f>5246.17+4965.96+1939.12+3762.43+2342.38+4011.61</f>
        <v>22267.670000000002</v>
      </c>
      <c r="N30" s="211">
        <f>5246.17+4965.96+1939.12+3762.43+2342.38+4011.61</f>
        <v>22267.670000000002</v>
      </c>
      <c r="O30" s="212">
        <f t="shared" si="1"/>
        <v>0</v>
      </c>
      <c r="P30" s="213">
        <v>23</v>
      </c>
      <c r="Q30" s="215">
        <v>23</v>
      </c>
      <c r="R30" s="215">
        <v>23</v>
      </c>
      <c r="S30" s="97">
        <f>39414.6+4786.67+1562.33+638.43+2216.93+1293.2</f>
        <v>49912.159999999996</v>
      </c>
      <c r="T30" s="97">
        <f>39414.6+4786.67+1562.33+638.43+2216.93+1293.2</f>
        <v>49912.159999999996</v>
      </c>
      <c r="U30" s="97">
        <f t="shared" si="2"/>
        <v>0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210">
        <v>1</v>
      </c>
      <c r="J31" s="210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21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210"/>
      <c r="J32" s="210"/>
      <c r="K32" s="209"/>
      <c r="L32" s="210"/>
      <c r="M32" s="211"/>
      <c r="N32" s="211"/>
      <c r="O32" s="212">
        <f t="shared" si="1"/>
        <v>0</v>
      </c>
      <c r="P32" s="213"/>
      <c r="Q32" s="21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14</v>
      </c>
      <c r="I33" s="210">
        <v>9</v>
      </c>
      <c r="J33" s="210">
        <v>11</v>
      </c>
      <c r="K33" s="209">
        <v>12</v>
      </c>
      <c r="L33" s="210">
        <v>11</v>
      </c>
      <c r="M33" s="211">
        <f>4065+2226.4+2915.4+290</f>
        <v>9496.7999999999993</v>
      </c>
      <c r="N33" s="211">
        <f>4065+2226.4+2915.4+290</f>
        <v>9496.7999999999993</v>
      </c>
      <c r="O33" s="212">
        <f t="shared" si="1"/>
        <v>0</v>
      </c>
      <c r="P33" s="213"/>
      <c r="Q33" s="21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210">
        <v>14</v>
      </c>
      <c r="J34" s="210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12</v>
      </c>
      <c r="I35" s="210">
        <v>6</v>
      </c>
      <c r="J35" s="210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22</v>
      </c>
      <c r="I36" s="210">
        <v>13</v>
      </c>
      <c r="J36" s="210">
        <v>15</v>
      </c>
      <c r="K36" s="209">
        <v>16</v>
      </c>
      <c r="L36" s="210">
        <v>15</v>
      </c>
      <c r="M36" s="211">
        <f>2360+2665.25+2800.06+3488.89</f>
        <v>11314.199999999999</v>
      </c>
      <c r="N36" s="211">
        <f>2360+2665.25+2800.06+3488.89</f>
        <v>11314.199999999999</v>
      </c>
      <c r="O36" s="212">
        <f t="shared" si="1"/>
        <v>0</v>
      </c>
      <c r="P36" s="213">
        <v>6</v>
      </c>
      <c r="Q36" s="214">
        <v>6</v>
      </c>
      <c r="R36" s="215">
        <v>6</v>
      </c>
      <c r="S36" s="97">
        <f>1436.08+3433.93+5939.33+1723.52</f>
        <v>12532.86</v>
      </c>
      <c r="T36" s="97">
        <f>1436.08+3433.93+5939.33+1723.52</f>
        <v>12532.86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19</v>
      </c>
      <c r="I37" s="210">
        <v>12</v>
      </c>
      <c r="J37" s="210">
        <v>16</v>
      </c>
      <c r="K37" s="209">
        <v>16</v>
      </c>
      <c r="L37" s="210">
        <v>16</v>
      </c>
      <c r="M37" s="211">
        <f>4126.56+990.2+862.75+145+358.88+1424.06</f>
        <v>7907.4500000000007</v>
      </c>
      <c r="N37" s="211">
        <f>4126.56+990.2+862.75+145+358.88+1424.06</f>
        <v>7907.4500000000007</v>
      </c>
      <c r="O37" s="212">
        <f t="shared" si="1"/>
        <v>0</v>
      </c>
      <c r="P37" s="213">
        <v>2</v>
      </c>
      <c r="Q37" s="214">
        <v>2</v>
      </c>
      <c r="R37" s="215">
        <v>2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76</v>
      </c>
      <c r="I38" s="210">
        <v>40</v>
      </c>
      <c r="J38" s="210">
        <v>55</v>
      </c>
      <c r="K38" s="209">
        <v>55</v>
      </c>
      <c r="L38" s="210">
        <v>51</v>
      </c>
      <c r="M38" s="211">
        <f>18043.85+1739.74+12219.36+4084.73+2867.69+2388.56+1377.5+2533.95</f>
        <v>45255.38</v>
      </c>
      <c r="N38" s="211">
        <f>18043.85+1739.74+12219.36+4084.73+2867.69+2388.56+1377.5+2533.95</f>
        <v>45255.38</v>
      </c>
      <c r="O38" s="212">
        <f t="shared" si="1"/>
        <v>0</v>
      </c>
      <c r="P38" s="213">
        <v>20</v>
      </c>
      <c r="Q38" s="214">
        <v>21</v>
      </c>
      <c r="R38" s="215">
        <v>20</v>
      </c>
      <c r="S38" s="97">
        <f>22326.77+417.74+1031.26</f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28</v>
      </c>
      <c r="I39" s="210">
        <v>15</v>
      </c>
      <c r="J39" s="210">
        <v>19</v>
      </c>
      <c r="K39" s="209">
        <v>16</v>
      </c>
      <c r="L39" s="210">
        <v>15</v>
      </c>
      <c r="M39" s="211">
        <f>4309.67+3353.38+84.05+2832.72+349.74+868</f>
        <v>11797.56</v>
      </c>
      <c r="N39" s="211">
        <f>4309.67+3353.38+84.05+2832.72+349.74+868</f>
        <v>11797.56</v>
      </c>
      <c r="O39" s="212">
        <f t="shared" si="1"/>
        <v>0</v>
      </c>
      <c r="P39" s="213">
        <v>3</v>
      </c>
      <c r="Q39" s="214">
        <v>3</v>
      </c>
      <c r="R39" s="215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9</v>
      </c>
      <c r="I40" s="210">
        <v>6</v>
      </c>
      <c r="J40" s="210">
        <v>7</v>
      </c>
      <c r="K40" s="209">
        <v>6</v>
      </c>
      <c r="L40" s="210">
        <v>5</v>
      </c>
      <c r="M40" s="211">
        <v>5430.01</v>
      </c>
      <c r="N40" s="211">
        <v>5430.01</v>
      </c>
      <c r="O40" s="212">
        <f t="shared" si="1"/>
        <v>0</v>
      </c>
      <c r="P40" s="213">
        <v>3</v>
      </c>
      <c r="Q40" s="214">
        <v>4</v>
      </c>
      <c r="R40" s="215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20</v>
      </c>
      <c r="I41" s="210">
        <v>17</v>
      </c>
      <c r="J41" s="210">
        <v>19</v>
      </c>
      <c r="K41" s="209">
        <v>19</v>
      </c>
      <c r="L41" s="210">
        <v>11</v>
      </c>
      <c r="M41" s="211">
        <f>4892.78+1033.5+545.69+1551.08</f>
        <v>8023.0499999999993</v>
      </c>
      <c r="N41" s="211">
        <f>4892.78+1033.5+545.69+1551.08</f>
        <v>8023.0499999999993</v>
      </c>
      <c r="O41" s="212">
        <f t="shared" si="1"/>
        <v>0</v>
      </c>
      <c r="P41" s="213">
        <v>4</v>
      </c>
      <c r="Q41" s="214">
        <v>4</v>
      </c>
      <c r="R41" s="215">
        <v>4</v>
      </c>
      <c r="S41" s="97">
        <f>1842.88+373.68</f>
        <v>2216.56</v>
      </c>
      <c r="T41" s="97">
        <f>1842.88+373.68</f>
        <v>2216.56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15</v>
      </c>
      <c r="I42" s="210">
        <v>7</v>
      </c>
      <c r="J42" s="210">
        <v>11</v>
      </c>
      <c r="K42" s="209">
        <v>12</v>
      </c>
      <c r="L42" s="210">
        <v>10</v>
      </c>
      <c r="M42" s="211">
        <f>5095.29+1605.75+430.65</f>
        <v>7131.69</v>
      </c>
      <c r="N42" s="211">
        <f>5095.29+1605.75+430.65</f>
        <v>7131.69</v>
      </c>
      <c r="O42" s="212">
        <f t="shared" si="1"/>
        <v>0</v>
      </c>
      <c r="P42" s="213">
        <v>5</v>
      </c>
      <c r="Q42" s="21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21</v>
      </c>
      <c r="I43" s="210">
        <v>10</v>
      </c>
      <c r="J43" s="210">
        <v>15</v>
      </c>
      <c r="K43" s="209">
        <v>18</v>
      </c>
      <c r="L43" s="210">
        <v>15</v>
      </c>
      <c r="M43" s="211">
        <f>1949.94+11241.95+1670.56+979+622.78+145+551.2</f>
        <v>17160.43</v>
      </c>
      <c r="N43" s="211">
        <f>1949.94+11241.95+1670.56+979+622.78+145+551.2</f>
        <v>17160.43</v>
      </c>
      <c r="O43" s="212">
        <f t="shared" si="1"/>
        <v>0</v>
      </c>
      <c r="P43" s="213">
        <v>7</v>
      </c>
      <c r="Q43" s="214">
        <v>7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13</v>
      </c>
      <c r="I44" s="210">
        <v>6</v>
      </c>
      <c r="J44" s="210">
        <v>13</v>
      </c>
      <c r="K44" s="209">
        <v>13</v>
      </c>
      <c r="L44" s="210">
        <v>13</v>
      </c>
      <c r="M44" s="211">
        <f>9600.95+145+2182.75+7980.88+580+287.1</f>
        <v>20776.68</v>
      </c>
      <c r="N44" s="211">
        <f>9600.95+145+2182.75+7980.88+580+287.1</f>
        <v>20776.68</v>
      </c>
      <c r="O44" s="212">
        <f t="shared" si="1"/>
        <v>0</v>
      </c>
      <c r="P44" s="213">
        <v>8</v>
      </c>
      <c r="Q44" s="214">
        <v>8</v>
      </c>
      <c r="R44" s="215">
        <v>8</v>
      </c>
      <c r="S44" s="97">
        <f>3997.92+850.65+4367.7+2262.73+189.48</f>
        <v>11668.48</v>
      </c>
      <c r="T44" s="97">
        <f>3997.92+850.65+4367.7+2262.73+189.48</f>
        <v>11668.48</v>
      </c>
      <c r="U44" s="97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210"/>
      <c r="J45" s="210"/>
      <c r="K45" s="209"/>
      <c r="L45" s="210"/>
      <c r="M45" s="211"/>
      <c r="N45" s="211"/>
      <c r="O45" s="212">
        <f t="shared" si="1"/>
        <v>0</v>
      </c>
      <c r="P45" s="213"/>
      <c r="Q45" s="21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16</v>
      </c>
      <c r="I46" s="210">
        <v>11</v>
      </c>
      <c r="J46" s="210">
        <v>12</v>
      </c>
      <c r="K46" s="209">
        <v>12</v>
      </c>
      <c r="L46" s="210">
        <v>12</v>
      </c>
      <c r="M46" s="211">
        <f>1290.6+2343.84+935.25</f>
        <v>4569.6900000000005</v>
      </c>
      <c r="N46" s="211">
        <f>1290.6+2343.84+935.25</f>
        <v>4569.6900000000005</v>
      </c>
      <c r="O46" s="212">
        <f t="shared" si="1"/>
        <v>0</v>
      </c>
      <c r="P46" s="213">
        <v>2</v>
      </c>
      <c r="Q46" s="21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42</v>
      </c>
      <c r="I47" s="210">
        <v>23</v>
      </c>
      <c r="J47" s="210">
        <v>32</v>
      </c>
      <c r="K47" s="209">
        <v>32</v>
      </c>
      <c r="L47" s="210">
        <v>30</v>
      </c>
      <c r="M47" s="211">
        <f>9335.56+3507.6+826.8+2284.16+1015</f>
        <v>16969.12</v>
      </c>
      <c r="N47" s="211">
        <f>9335.56+3507.6+826.8+2284.16+1015</f>
        <v>16969.12</v>
      </c>
      <c r="O47" s="212">
        <f t="shared" si="1"/>
        <v>0</v>
      </c>
      <c r="P47" s="213">
        <v>2</v>
      </c>
      <c r="Q47" s="21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18</v>
      </c>
      <c r="I48" s="210">
        <v>6</v>
      </c>
      <c r="J48" s="210">
        <v>9</v>
      </c>
      <c r="K48" s="209">
        <v>9</v>
      </c>
      <c r="L48" s="210">
        <v>9</v>
      </c>
      <c r="M48" s="211">
        <f>8890.84+1828.05+435</f>
        <v>11153.89</v>
      </c>
      <c r="N48" s="211">
        <f>8890.84+1828.05+435</f>
        <v>11153.89</v>
      </c>
      <c r="O48" s="212">
        <f t="shared" si="1"/>
        <v>0</v>
      </c>
      <c r="P48" s="213">
        <v>3</v>
      </c>
      <c r="Q48" s="21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20</v>
      </c>
      <c r="I49" s="210">
        <v>10</v>
      </c>
      <c r="J49" s="210">
        <v>13</v>
      </c>
      <c r="K49" s="209">
        <v>13</v>
      </c>
      <c r="L49" s="210">
        <v>13</v>
      </c>
      <c r="M49" s="211">
        <f>1831.71+137.8+1816.78+290</f>
        <v>4076.29</v>
      </c>
      <c r="N49" s="211">
        <f>1831.71+137.8+1816.78+290</f>
        <v>4076.29</v>
      </c>
      <c r="O49" s="212">
        <f t="shared" si="1"/>
        <v>0</v>
      </c>
      <c r="P49" s="213">
        <v>9</v>
      </c>
      <c r="Q49" s="214">
        <v>9</v>
      </c>
      <c r="R49" s="215">
        <v>9</v>
      </c>
      <c r="S49" s="97">
        <f>8296.23+1378+5368</f>
        <v>15042.23</v>
      </c>
      <c r="T49" s="97">
        <f>8296.23+1378+5368</f>
        <v>15042.23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21</v>
      </c>
      <c r="I50" s="210">
        <v>17</v>
      </c>
      <c r="J50" s="210">
        <v>19</v>
      </c>
      <c r="K50" s="209">
        <v>19</v>
      </c>
      <c r="L50" s="210">
        <v>19</v>
      </c>
      <c r="M50" s="211">
        <f>8308.92+786.44+453+302+1256.5</f>
        <v>11106.86</v>
      </c>
      <c r="N50" s="211">
        <f>8308.92+786.44+453+302+1256.5</f>
        <v>11106.86</v>
      </c>
      <c r="O50" s="212">
        <f t="shared" si="1"/>
        <v>0</v>
      </c>
      <c r="P50" s="213">
        <v>6</v>
      </c>
      <c r="Q50" s="214">
        <v>6</v>
      </c>
      <c r="R50" s="215">
        <v>6</v>
      </c>
      <c r="S50" s="97">
        <f>2457.28+1725.6+5017.9+1584.7</f>
        <v>10785.48</v>
      </c>
      <c r="T50" s="97">
        <f>2457.28+1725.6+5017.9+1584.7</f>
        <v>10785.48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24</v>
      </c>
      <c r="I51" s="210">
        <v>12</v>
      </c>
      <c r="J51" s="210">
        <v>14</v>
      </c>
      <c r="K51" s="209">
        <v>14</v>
      </c>
      <c r="L51" s="210">
        <v>14</v>
      </c>
      <c r="M51" s="211">
        <f>5580.75+571.11+696.2+574.2+408.03+1234.53+1446.9</f>
        <v>10511.72</v>
      </c>
      <c r="N51" s="211">
        <f>5580.75+571.11+696.2+574.2+408.03+1234.53+1446.9</f>
        <v>10511.72</v>
      </c>
      <c r="O51" s="212">
        <f t="shared" si="1"/>
        <v>0</v>
      </c>
      <c r="P51" s="213">
        <v>1</v>
      </c>
      <c r="Q51" s="214">
        <v>1</v>
      </c>
      <c r="R51" s="215">
        <v>1</v>
      </c>
      <c r="S51" s="97">
        <f>728.15</f>
        <v>728.15</v>
      </c>
      <c r="T51" s="97">
        <f>728.15</f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21</v>
      </c>
      <c r="I52" s="210">
        <v>11</v>
      </c>
      <c r="J52" s="210">
        <v>14</v>
      </c>
      <c r="K52" s="209">
        <v>15</v>
      </c>
      <c r="L52" s="210">
        <v>13</v>
      </c>
      <c r="M52" s="211">
        <f>3782.6+430.65+1221.61+2194.55</f>
        <v>7629.41</v>
      </c>
      <c r="N52" s="211">
        <f>3782.6+430.65+1221.61+2194.55</f>
        <v>7629.41</v>
      </c>
      <c r="O52" s="212">
        <f t="shared" si="1"/>
        <v>0</v>
      </c>
      <c r="P52" s="213">
        <v>9</v>
      </c>
      <c r="Q52" s="214">
        <v>10</v>
      </c>
      <c r="R52" s="215">
        <v>9</v>
      </c>
      <c r="S52" s="97">
        <f>1535.39+1035.3+828.82+12756.45</f>
        <v>16155.960000000001</v>
      </c>
      <c r="T52" s="97">
        <f>1535.39+1035.3+828.82+12756.45</f>
        <v>16155.960000000001</v>
      </c>
      <c r="U52" s="97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8</v>
      </c>
      <c r="I53" s="210">
        <v>3</v>
      </c>
      <c r="J53" s="210">
        <v>3</v>
      </c>
      <c r="K53" s="209">
        <v>3</v>
      </c>
      <c r="L53" s="210">
        <v>3</v>
      </c>
      <c r="M53" s="211">
        <f>1102.4+328.37</f>
        <v>1430.77</v>
      </c>
      <c r="N53" s="211">
        <f>1102.4+328.37</f>
        <v>1430.77</v>
      </c>
      <c r="O53" s="212">
        <f t="shared" si="1"/>
        <v>0</v>
      </c>
      <c r="P53" s="213">
        <v>2</v>
      </c>
      <c r="Q53" s="21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104</v>
      </c>
      <c r="I54" s="210">
        <v>91</v>
      </c>
      <c r="J54" s="210">
        <v>106</v>
      </c>
      <c r="K54" s="209">
        <v>101</v>
      </c>
      <c r="L54" s="210">
        <v>89</v>
      </c>
      <c r="M54" s="211">
        <f>12031.27+4728.85+7137.01+1218+507+4175.93+5308.12</f>
        <v>35106.180000000008</v>
      </c>
      <c r="N54" s="211">
        <f>12031.27+4728.85+7137.01+1218+507+4175.93+5308.12</f>
        <v>35106.180000000008</v>
      </c>
      <c r="O54" s="212">
        <f t="shared" si="1"/>
        <v>0</v>
      </c>
      <c r="P54" s="213">
        <v>17</v>
      </c>
      <c r="Q54" s="21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7</v>
      </c>
      <c r="I55" s="210">
        <v>3</v>
      </c>
      <c r="J55" s="210">
        <v>4</v>
      </c>
      <c r="K55" s="209">
        <v>4</v>
      </c>
      <c r="L55" s="210">
        <v>4</v>
      </c>
      <c r="M55" s="211">
        <f>5677.4+870</f>
        <v>6547.4</v>
      </c>
      <c r="N55" s="211">
        <f>5677.4+870-5307.82</f>
        <v>1239.58</v>
      </c>
      <c r="O55" s="212">
        <f t="shared" si="1"/>
        <v>5307.82</v>
      </c>
      <c r="P55" s="213">
        <v>3</v>
      </c>
      <c r="Q55" s="21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61</v>
      </c>
      <c r="I56" s="210">
        <v>37</v>
      </c>
      <c r="J56" s="210">
        <v>55</v>
      </c>
      <c r="K56" s="209">
        <v>57</v>
      </c>
      <c r="L56" s="210">
        <v>53</v>
      </c>
      <c r="M56" s="211">
        <f>13145.7+14183.3+726.22+3195.47+5181.98+1425.26+6804.83+1811+6356.42</f>
        <v>52830.18</v>
      </c>
      <c r="N56" s="211">
        <f>13145.7+14183.3+726.22+3195.47+5181.98+1425.26+6804.83+1811+6356.42-6356.42</f>
        <v>46473.760000000002</v>
      </c>
      <c r="O56" s="212">
        <f t="shared" si="1"/>
        <v>6356.4199999999983</v>
      </c>
      <c r="P56" s="213">
        <v>35</v>
      </c>
      <c r="Q56" s="214">
        <v>35</v>
      </c>
      <c r="R56" s="215">
        <v>32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210">
        <v>4</v>
      </c>
      <c r="J57" s="210">
        <v>4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21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210"/>
      <c r="J58" s="210"/>
      <c r="K58" s="209"/>
      <c r="L58" s="210"/>
      <c r="M58" s="211"/>
      <c r="N58" s="211"/>
      <c r="O58" s="212">
        <f t="shared" si="1"/>
        <v>0</v>
      </c>
      <c r="P58" s="213">
        <v>1</v>
      </c>
      <c r="Q58" s="214">
        <v>1</v>
      </c>
      <c r="R58" s="215">
        <v>1</v>
      </c>
      <c r="S58" s="97">
        <v>548.1</v>
      </c>
      <c r="T58" s="97">
        <v>548.1</v>
      </c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210"/>
      <c r="J59" s="210"/>
      <c r="K59" s="209"/>
      <c r="L59" s="210"/>
      <c r="M59" s="211"/>
      <c r="N59" s="211"/>
      <c r="O59" s="212">
        <f t="shared" si="1"/>
        <v>0</v>
      </c>
      <c r="P59" s="213"/>
      <c r="Q59" s="21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52</v>
      </c>
      <c r="I60" s="210">
        <v>33</v>
      </c>
      <c r="J60" s="210">
        <v>47</v>
      </c>
      <c r="K60" s="209">
        <v>42</v>
      </c>
      <c r="L60" s="210">
        <v>41</v>
      </c>
      <c r="M60" s="211">
        <f>19657.67+3859.57+3638.88+11285.84+2356.7+1870.22+2374.32</f>
        <v>45043.199999999997</v>
      </c>
      <c r="N60" s="211">
        <f>19657.67+3859.57+3638.88+11285.84+2356.7+1870.22+2374.32</f>
        <v>45043.199999999997</v>
      </c>
      <c r="O60" s="212">
        <f t="shared" si="1"/>
        <v>0</v>
      </c>
      <c r="P60" s="213">
        <v>6</v>
      </c>
      <c r="Q60" s="214">
        <v>6</v>
      </c>
      <c r="R60" s="215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26</v>
      </c>
      <c r="I61" s="210">
        <v>15</v>
      </c>
      <c r="J61" s="210">
        <v>22</v>
      </c>
      <c r="K61" s="209">
        <v>18</v>
      </c>
      <c r="L61" s="210">
        <v>18</v>
      </c>
      <c r="M61" s="211">
        <f>3986.21+989.8+3814.75+1492.92+2107.58+1990.86</f>
        <v>14382.12</v>
      </c>
      <c r="N61" s="211">
        <f>3986.21+989.8+3814.75+1492.92+2107.58+1990.86</f>
        <v>14382.12</v>
      </c>
      <c r="O61" s="212">
        <f t="shared" si="1"/>
        <v>0</v>
      </c>
      <c r="P61" s="213"/>
      <c r="Q61" s="21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19</v>
      </c>
      <c r="I62" s="210">
        <v>11</v>
      </c>
      <c r="J62" s="210">
        <v>14</v>
      </c>
      <c r="K62" s="209">
        <v>14</v>
      </c>
      <c r="L62" s="210">
        <v>14</v>
      </c>
      <c r="M62" s="211">
        <f>1263.45+2111.32+5011.35+4260.64</f>
        <v>12646.760000000002</v>
      </c>
      <c r="N62" s="211">
        <f>1263.45+2111.32+5011.35+4260.64</f>
        <v>12646.760000000002</v>
      </c>
      <c r="O62" s="212">
        <f t="shared" si="1"/>
        <v>0</v>
      </c>
      <c r="P62" s="213">
        <v>7</v>
      </c>
      <c r="Q62" s="214">
        <v>7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210"/>
      <c r="J63" s="210"/>
      <c r="K63" s="209"/>
      <c r="L63" s="210"/>
      <c r="M63" s="211"/>
      <c r="N63" s="211"/>
      <c r="O63" s="212">
        <f t="shared" si="1"/>
        <v>0</v>
      </c>
      <c r="P63" s="213">
        <v>29</v>
      </c>
      <c r="Q63" s="214">
        <v>29</v>
      </c>
      <c r="R63" s="215">
        <v>29</v>
      </c>
      <c r="S63" s="97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</row>
    <row r="64" spans="1:40" ht="17.25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27</v>
      </c>
      <c r="I64" s="210">
        <v>15</v>
      </c>
      <c r="J64" s="210">
        <v>17</v>
      </c>
      <c r="K64" s="209">
        <v>16</v>
      </c>
      <c r="L64" s="210">
        <v>16</v>
      </c>
      <c r="M64" s="211">
        <f>6496.16+4335.01+2477.65+2687.1+609</f>
        <v>16604.919999999998</v>
      </c>
      <c r="N64" s="211">
        <f>6496.16+4335.01+2477.65+2687.1+609</f>
        <v>16604.919999999998</v>
      </c>
      <c r="O64" s="212">
        <f t="shared" si="1"/>
        <v>0</v>
      </c>
      <c r="P64" s="213">
        <v>12</v>
      </c>
      <c r="Q64" s="214">
        <v>12</v>
      </c>
      <c r="R64" s="215">
        <v>12</v>
      </c>
      <c r="S64" s="97">
        <f>6866.56+548.1</f>
        <v>7414.6600000000008</v>
      </c>
      <c r="T64" s="97">
        <f>6866.56+548.1</f>
        <v>7414.6600000000008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54</v>
      </c>
      <c r="I65" s="210">
        <v>43</v>
      </c>
      <c r="J65" s="210">
        <v>53</v>
      </c>
      <c r="K65" s="209">
        <v>49</v>
      </c>
      <c r="L65" s="210">
        <v>48</v>
      </c>
      <c r="M65" s="211">
        <f>21561.61+5719.7+1305+4149.27+2397.37+5906.18+1251.03+829.55+4633.7</f>
        <v>47753.41</v>
      </c>
      <c r="N65" s="211">
        <f>21561.61+5719.7+1305+4149.27+2397.37+5906.18+1251.03+829.55+4633.7</f>
        <v>47753.41</v>
      </c>
      <c r="O65" s="212">
        <f t="shared" si="1"/>
        <v>0</v>
      </c>
      <c r="P65" s="213">
        <v>11</v>
      </c>
      <c r="Q65" s="214">
        <v>11</v>
      </c>
      <c r="R65" s="215">
        <v>11</v>
      </c>
      <c r="S65" s="97">
        <f>7456.7+19131.63</f>
        <v>26588.33</v>
      </c>
      <c r="T65" s="97">
        <f>7456.7+19131.63</f>
        <v>26588.33</v>
      </c>
      <c r="U65" s="97">
        <f t="shared" si="2"/>
        <v>0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210">
        <v>2</v>
      </c>
      <c r="J66" s="210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56</v>
      </c>
      <c r="I67" s="210">
        <v>45</v>
      </c>
      <c r="J67" s="210">
        <v>57</v>
      </c>
      <c r="K67" s="209">
        <v>57</v>
      </c>
      <c r="L67" s="210">
        <v>54</v>
      </c>
      <c r="M67" s="211">
        <f>19710.93+7009.96+ 8900.54+165.98+1497.55+1081.95+652.5+834</f>
        <v>39853.410000000003</v>
      </c>
      <c r="N67" s="211">
        <f>19710.93+7009.96+ 8900.54+165.98+1497.55+1081.95+652.5+834</f>
        <v>39853.410000000003</v>
      </c>
      <c r="O67" s="212">
        <f t="shared" si="1"/>
        <v>0</v>
      </c>
      <c r="P67" s="213">
        <v>11</v>
      </c>
      <c r="Q67" s="21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37</v>
      </c>
      <c r="I68" s="210">
        <v>29</v>
      </c>
      <c r="J68" s="210">
        <v>50</v>
      </c>
      <c r="K68" s="209">
        <v>50</v>
      </c>
      <c r="L68" s="210">
        <v>50</v>
      </c>
      <c r="M68" s="211">
        <f>18750.75+2683.13</f>
        <v>21433.88</v>
      </c>
      <c r="N68" s="211">
        <f>18750.75+2683.13</f>
        <v>21433.88</v>
      </c>
      <c r="O68" s="212">
        <f t="shared" si="1"/>
        <v>0</v>
      </c>
      <c r="P68" s="213">
        <v>11</v>
      </c>
      <c r="Q68" s="214">
        <v>11</v>
      </c>
      <c r="R68" s="215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10</v>
      </c>
      <c r="I69" s="210">
        <v>5</v>
      </c>
      <c r="J69" s="210">
        <v>5</v>
      </c>
      <c r="K69" s="209">
        <v>5</v>
      </c>
      <c r="L69" s="210">
        <v>5</v>
      </c>
      <c r="M69" s="211">
        <f>2756+1240.2+1305</f>
        <v>5301.2</v>
      </c>
      <c r="N69" s="211">
        <f>2756+1240.2+1305</f>
        <v>5301.2</v>
      </c>
      <c r="O69" s="212">
        <f t="shared" si="1"/>
        <v>0</v>
      </c>
      <c r="P69" s="213"/>
      <c r="Q69" s="214"/>
      <c r="R69" s="215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15</v>
      </c>
      <c r="I70" s="210">
        <v>9</v>
      </c>
      <c r="J70" s="210">
        <v>10</v>
      </c>
      <c r="K70" s="209">
        <v>12</v>
      </c>
      <c r="L70" s="210">
        <v>8</v>
      </c>
      <c r="M70" s="211">
        <f>2039.44+3242.32+2027.39+3567+822.15</f>
        <v>11698.300000000001</v>
      </c>
      <c r="N70" s="211">
        <f>2039.44+3242.32+2027.39+3567+822.15</f>
        <v>11698.300000000001</v>
      </c>
      <c r="O70" s="212">
        <f t="shared" si="1"/>
        <v>0</v>
      </c>
      <c r="P70" s="213">
        <v>6</v>
      </c>
      <c r="Q70" s="214">
        <v>6</v>
      </c>
      <c r="R70" s="215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26</v>
      </c>
      <c r="I71" s="210">
        <v>16</v>
      </c>
      <c r="J71" s="210">
        <v>20</v>
      </c>
      <c r="K71" s="209">
        <v>17</v>
      </c>
      <c r="L71" s="210">
        <v>17</v>
      </c>
      <c r="M71" s="211">
        <f>2383.53+3781.9+7505.17+507+5161.87+1335.02</f>
        <v>20674.490000000002</v>
      </c>
      <c r="N71" s="211">
        <f>2383.53+3781.9+7505.17+507+5161.87+1335.02</f>
        <v>20674.490000000002</v>
      </c>
      <c r="O71" s="212">
        <f t="shared" si="1"/>
        <v>0</v>
      </c>
      <c r="P71" s="213">
        <v>24</v>
      </c>
      <c r="Q71" s="214">
        <v>24</v>
      </c>
      <c r="R71" s="215">
        <v>24</v>
      </c>
      <c r="S71" s="97">
        <f>52337.46+18000.02+1926.09</f>
        <v>72263.569999999992</v>
      </c>
      <c r="T71" s="97">
        <f>52337.46+18000.02+1926.09</f>
        <v>72263.569999999992</v>
      </c>
      <c r="U71" s="97">
        <f t="shared" si="2"/>
        <v>0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17</v>
      </c>
      <c r="I72" s="210">
        <v>7</v>
      </c>
      <c r="J72" s="210">
        <v>9</v>
      </c>
      <c r="K72" s="209">
        <v>9</v>
      </c>
      <c r="L72" s="210">
        <v>9</v>
      </c>
      <c r="M72" s="211">
        <f>4703.53+544.32+1960.26</f>
        <v>7208.11</v>
      </c>
      <c r="N72" s="211">
        <f>4703.53+544.32+1960.26</f>
        <v>7208.11</v>
      </c>
      <c r="O72" s="212">
        <f t="shared" si="1"/>
        <v>0</v>
      </c>
      <c r="P72" s="213">
        <v>7</v>
      </c>
      <c r="Q72" s="21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35</v>
      </c>
      <c r="I73" s="210">
        <v>25</v>
      </c>
      <c r="J73" s="210">
        <v>25</v>
      </c>
      <c r="K73" s="209">
        <v>25</v>
      </c>
      <c r="L73" s="210">
        <v>25</v>
      </c>
      <c r="M73" s="211">
        <f>2095.52+746.9+4941.1+3310.3+2104.91</f>
        <v>13198.73</v>
      </c>
      <c r="N73" s="211">
        <f>2095.52+746.9+4941.1+3310.3+2104.91</f>
        <v>13198.73</v>
      </c>
      <c r="O73" s="212">
        <f t="shared" si="1"/>
        <v>0</v>
      </c>
      <c r="P73" s="213">
        <v>7</v>
      </c>
      <c r="Q73" s="214">
        <v>7</v>
      </c>
      <c r="R73" s="215">
        <v>7</v>
      </c>
      <c r="S73" s="97">
        <f>1821.06+4580.19+1240.2</f>
        <v>7641.45</v>
      </c>
      <c r="T73" s="97">
        <f>1821.06+4580.19+1240.2</f>
        <v>7641.45</v>
      </c>
      <c r="U73" s="97">
        <f t="shared" si="2"/>
        <v>0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210"/>
      <c r="J74" s="210"/>
      <c r="K74" s="209"/>
      <c r="L74" s="210"/>
      <c r="M74" s="211"/>
      <c r="N74" s="211"/>
      <c r="O74" s="212">
        <f t="shared" si="1"/>
        <v>0</v>
      </c>
      <c r="P74" s="213">
        <v>1</v>
      </c>
      <c r="Q74" s="21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12</v>
      </c>
      <c r="I75" s="210">
        <v>5</v>
      </c>
      <c r="J75" s="210">
        <v>6</v>
      </c>
      <c r="K75" s="209">
        <v>6</v>
      </c>
      <c r="L75" s="210">
        <v>6</v>
      </c>
      <c r="M75" s="211">
        <f>275.6+741.36+14287.26</f>
        <v>15304.220000000001</v>
      </c>
      <c r="N75" s="211">
        <f>275.6+741.36+14287.26</f>
        <v>15304.220000000001</v>
      </c>
      <c r="O75" s="212">
        <f t="shared" ref="O75:O104" si="4" xml:space="preserve"> (M75-N75)</f>
        <v>0</v>
      </c>
      <c r="P75" s="213">
        <v>3</v>
      </c>
      <c r="Q75" s="21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33</v>
      </c>
      <c r="I76" s="210">
        <v>24</v>
      </c>
      <c r="J76" s="210">
        <v>33</v>
      </c>
      <c r="K76" s="209">
        <v>32</v>
      </c>
      <c r="L76" s="210">
        <v>31</v>
      </c>
      <c r="M76" s="211">
        <f>11803.63+1320.23+3132.15+12104.63+822.42+4875.99</f>
        <v>34059.049999999996</v>
      </c>
      <c r="N76" s="211">
        <f>11803.63+1320.23+3132.15+12104.63+822.42+4875.99</f>
        <v>34059.049999999996</v>
      </c>
      <c r="O76" s="212">
        <f t="shared" si="4"/>
        <v>0</v>
      </c>
      <c r="P76" s="213">
        <v>5</v>
      </c>
      <c r="Q76" s="214">
        <v>5</v>
      </c>
      <c r="R76" s="215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23</v>
      </c>
      <c r="I77" s="210">
        <v>12</v>
      </c>
      <c r="J77" s="210">
        <v>16</v>
      </c>
      <c r="K77" s="209">
        <v>16</v>
      </c>
      <c r="L77" s="210">
        <v>16</v>
      </c>
      <c r="M77" s="211">
        <f>4234.67+4498.63+1766.87+2083.87+1368.44</f>
        <v>13952.479999999998</v>
      </c>
      <c r="N77" s="211">
        <f>4234.67+4498.63+1766.87+2083.87+1368.44</f>
        <v>13952.479999999998</v>
      </c>
      <c r="O77" s="212">
        <f t="shared" si="4"/>
        <v>0</v>
      </c>
      <c r="P77" s="213"/>
      <c r="Q77" s="214"/>
      <c r="R77" s="215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210"/>
      <c r="J78" s="210"/>
      <c r="K78" s="209"/>
      <c r="L78" s="210"/>
      <c r="M78" s="211"/>
      <c r="N78" s="211"/>
      <c r="O78" s="212">
        <f t="shared" si="4"/>
        <v>0</v>
      </c>
      <c r="P78" s="213">
        <v>8</v>
      </c>
      <c r="Q78" s="214">
        <v>9</v>
      </c>
      <c r="R78" s="215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22</v>
      </c>
      <c r="I79" s="210">
        <v>15</v>
      </c>
      <c r="J79" s="210">
        <v>21</v>
      </c>
      <c r="K79" s="209">
        <v>21</v>
      </c>
      <c r="L79" s="210">
        <v>21</v>
      </c>
      <c r="M79" s="211">
        <f>8913.81+7027.61+1244.33+15395.91+4278.3</f>
        <v>36859.96</v>
      </c>
      <c r="N79" s="211">
        <f>8913.81+7027.61+1244.33+15395.91+4278.3</f>
        <v>36859.96</v>
      </c>
      <c r="O79" s="212">
        <f t="shared" si="4"/>
        <v>0</v>
      </c>
      <c r="P79" s="213">
        <v>4</v>
      </c>
      <c r="Q79" s="21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19</v>
      </c>
      <c r="I80" s="210">
        <v>14</v>
      </c>
      <c r="J80" s="210">
        <v>21</v>
      </c>
      <c r="K80" s="209">
        <v>21</v>
      </c>
      <c r="L80" s="210">
        <v>21</v>
      </c>
      <c r="M80" s="211">
        <f>14959.64+7384.39+14758.51+362.5</f>
        <v>37465.040000000001</v>
      </c>
      <c r="N80" s="211">
        <f>14959.64+7384.39+14758.51+362.5</f>
        <v>37465.040000000001</v>
      </c>
      <c r="O80" s="212">
        <f t="shared" si="4"/>
        <v>0</v>
      </c>
      <c r="P80" s="213">
        <v>10</v>
      </c>
      <c r="Q80" s="214">
        <v>10</v>
      </c>
      <c r="R80" s="215">
        <v>10</v>
      </c>
      <c r="S80" s="97">
        <f>13554.7+2057.24</f>
        <v>15611.94</v>
      </c>
      <c r="T80" s="97">
        <f>13554.7+2057.24</f>
        <v>15611.94</v>
      </c>
      <c r="U80" s="97">
        <f t="shared" si="5"/>
        <v>0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210">
        <v>2</v>
      </c>
      <c r="J81" s="210">
        <v>4</v>
      </c>
      <c r="K81" s="209">
        <v>4</v>
      </c>
      <c r="L81" s="210">
        <v>1</v>
      </c>
      <c r="M81" s="211"/>
      <c r="N81" s="211"/>
      <c r="O81" s="212">
        <f t="shared" si="4"/>
        <v>0</v>
      </c>
      <c r="P81" s="213">
        <v>1</v>
      </c>
      <c r="Q81" s="214">
        <v>1</v>
      </c>
      <c r="R81" s="215">
        <v>1</v>
      </c>
      <c r="S81" s="97">
        <v>2673.24</v>
      </c>
      <c r="T81" s="97">
        <v>2673.24</v>
      </c>
      <c r="U81" s="97">
        <f t="shared" si="5"/>
        <v>0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20</v>
      </c>
      <c r="I82" s="210">
        <v>16</v>
      </c>
      <c r="J82" s="210">
        <v>17</v>
      </c>
      <c r="K82" s="209">
        <v>17</v>
      </c>
      <c r="L82" s="210">
        <v>17</v>
      </c>
      <c r="M82" s="211">
        <f>2626.75+8084.46+600.05+7445.83+942.5+668.95</f>
        <v>20368.539999999997</v>
      </c>
      <c r="N82" s="211">
        <f>2626.75+8084.46+600.05+7445.83+942.5+668.95</f>
        <v>20368.539999999997</v>
      </c>
      <c r="O82" s="212">
        <f t="shared" si="4"/>
        <v>0</v>
      </c>
      <c r="P82" s="213">
        <v>10</v>
      </c>
      <c r="Q82" s="214">
        <v>10</v>
      </c>
      <c r="R82" s="215">
        <v>10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21</v>
      </c>
      <c r="I83" s="210">
        <v>14</v>
      </c>
      <c r="J83" s="210">
        <v>25</v>
      </c>
      <c r="K83" s="209">
        <v>25</v>
      </c>
      <c r="L83" s="210">
        <v>25</v>
      </c>
      <c r="M83" s="211">
        <f>11232.31+3440.1+14435.12-1360.99+3088.95+2556.06</f>
        <v>33391.549999999996</v>
      </c>
      <c r="N83" s="211">
        <f>11232.31+3440.1+14435.12-1360.99+3088.95+2556.06</f>
        <v>33391.549999999996</v>
      </c>
      <c r="O83" s="212">
        <f t="shared" si="4"/>
        <v>0</v>
      </c>
      <c r="P83" s="213">
        <v>7</v>
      </c>
      <c r="Q83" s="21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20</v>
      </c>
      <c r="I84" s="210">
        <v>15</v>
      </c>
      <c r="J84" s="210">
        <v>24</v>
      </c>
      <c r="K84" s="209">
        <v>24</v>
      </c>
      <c r="L84" s="210">
        <v>23</v>
      </c>
      <c r="M84" s="211">
        <f>5429.56+2272.28+2029.9+2976.46+1243.6</f>
        <v>13951.800000000001</v>
      </c>
      <c r="N84" s="211">
        <f>5429.56+2272.28+2029.9+2976.46+1243.6</f>
        <v>13951.800000000001</v>
      </c>
      <c r="O84" s="212">
        <f t="shared" si="4"/>
        <v>0</v>
      </c>
      <c r="P84" s="213">
        <v>1</v>
      </c>
      <c r="Q84" s="21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42</v>
      </c>
      <c r="I85" s="210">
        <v>34</v>
      </c>
      <c r="J85" s="210">
        <v>60</v>
      </c>
      <c r="K85" s="209">
        <v>52</v>
      </c>
      <c r="L85" s="210">
        <v>52</v>
      </c>
      <c r="M85" s="211">
        <f>15506.09+4089.12+1924.78+1267.55+6546.86+1962.04+654.22+1080.22+392.95</f>
        <v>33423.829999999994</v>
      </c>
      <c r="N85" s="211">
        <f>15506.09+4089.12+1924.78+1267.55+6546.86+1962.04+654.22+1080.22+392.95</f>
        <v>33423.829999999994</v>
      </c>
      <c r="O85" s="212">
        <f t="shared" si="4"/>
        <v>0</v>
      </c>
      <c r="P85" s="213">
        <v>5</v>
      </c>
      <c r="Q85" s="21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18</v>
      </c>
      <c r="I86" s="210">
        <v>8</v>
      </c>
      <c r="J86" s="210">
        <v>9</v>
      </c>
      <c r="K86" s="209">
        <v>9</v>
      </c>
      <c r="L86" s="210">
        <v>9</v>
      </c>
      <c r="M86" s="211">
        <f>1956.76+1128.38</f>
        <v>3085.1400000000003</v>
      </c>
      <c r="N86" s="211">
        <f>1956.76+1128.38</f>
        <v>3085.1400000000003</v>
      </c>
      <c r="O86" s="212">
        <f t="shared" si="4"/>
        <v>0</v>
      </c>
      <c r="P86" s="213">
        <v>2</v>
      </c>
      <c r="Q86" s="21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9</v>
      </c>
      <c r="I87" s="210">
        <v>7</v>
      </c>
      <c r="J87" s="210">
        <v>9</v>
      </c>
      <c r="K87" s="209">
        <v>9</v>
      </c>
      <c r="L87" s="210">
        <v>9</v>
      </c>
      <c r="M87" s="211">
        <f>795.8+4099.92+1305+358.88+1643.65</f>
        <v>8203.25</v>
      </c>
      <c r="N87" s="211">
        <f>795.8+4099.92+1305+358.88+1643.65</f>
        <v>8203.25</v>
      </c>
      <c r="O87" s="212">
        <f t="shared" si="4"/>
        <v>0</v>
      </c>
      <c r="P87" s="213">
        <v>6</v>
      </c>
      <c r="Q87" s="214">
        <v>6</v>
      </c>
      <c r="R87" s="215">
        <v>6</v>
      </c>
      <c r="S87" s="97">
        <f>2723.78+3718.48+4265.16</f>
        <v>10707.42</v>
      </c>
      <c r="T87" s="97">
        <f>2723.78+3718.48+4265.16</f>
        <v>10707.42</v>
      </c>
      <c r="U87" s="97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210"/>
      <c r="J88" s="210"/>
      <c r="K88" s="209"/>
      <c r="L88" s="210"/>
      <c r="M88" s="211"/>
      <c r="N88" s="211"/>
      <c r="O88" s="212">
        <f t="shared" si="4"/>
        <v>0</v>
      </c>
      <c r="P88" s="213">
        <v>6</v>
      </c>
      <c r="Q88" s="21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15</v>
      </c>
      <c r="I89" s="210">
        <v>8</v>
      </c>
      <c r="J89" s="210">
        <v>9</v>
      </c>
      <c r="K89" s="209">
        <v>10</v>
      </c>
      <c r="L89" s="210">
        <v>9</v>
      </c>
      <c r="M89" s="211">
        <f>2874.33+1509.2+1943+315.81</f>
        <v>6642.34</v>
      </c>
      <c r="N89" s="211">
        <f>2874.33+1509.2+1943+315.81</f>
        <v>6642.34</v>
      </c>
      <c r="O89" s="212">
        <f t="shared" si="4"/>
        <v>0</v>
      </c>
      <c r="P89" s="213">
        <v>6</v>
      </c>
      <c r="Q89" s="214">
        <v>7</v>
      </c>
      <c r="R89" s="215">
        <v>6</v>
      </c>
      <c r="S89" s="97">
        <f>8161.92+1118.75+3779.58+1127.2</f>
        <v>14187.45</v>
      </c>
      <c r="T89" s="97">
        <f>8161.92+1118.75+3779.58+1127.2</f>
        <v>14187.45</v>
      </c>
      <c r="U89" s="97">
        <f t="shared" si="5"/>
        <v>0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48</v>
      </c>
      <c r="I90" s="210">
        <v>37</v>
      </c>
      <c r="J90" s="210">
        <v>67</v>
      </c>
      <c r="K90" s="209">
        <v>66</v>
      </c>
      <c r="L90" s="210">
        <v>66</v>
      </c>
      <c r="M90" s="211">
        <f>14303.46+6714.67+1828.05+13505.93+582.9+8733.75+358.88</f>
        <v>46027.64</v>
      </c>
      <c r="N90" s="211">
        <f>14303.46+6714.67+1828.05+13505.93+582.9+8733.75+358.88</f>
        <v>46027.64</v>
      </c>
      <c r="O90" s="212">
        <f t="shared" si="4"/>
        <v>0</v>
      </c>
      <c r="P90" s="213">
        <v>8</v>
      </c>
      <c r="Q90" s="214">
        <v>8</v>
      </c>
      <c r="R90" s="215">
        <v>8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30</v>
      </c>
      <c r="I91" s="210">
        <v>17</v>
      </c>
      <c r="J91" s="210">
        <v>24</v>
      </c>
      <c r="K91" s="209">
        <v>20</v>
      </c>
      <c r="L91" s="210">
        <v>18</v>
      </c>
      <c r="M91" s="211">
        <f>5384.83+3572.76+8100.09</f>
        <v>17057.68</v>
      </c>
      <c r="N91" s="211">
        <f>5384.83+3572.76+8100.09</f>
        <v>17057.68</v>
      </c>
      <c r="O91" s="212">
        <f t="shared" si="4"/>
        <v>0</v>
      </c>
      <c r="P91" s="213">
        <v>7</v>
      </c>
      <c r="Q91" s="214">
        <v>7</v>
      </c>
      <c r="R91" s="215">
        <v>7</v>
      </c>
      <c r="S91" s="97">
        <f>6219.66+748.35+1502.94</f>
        <v>8470.9500000000007</v>
      </c>
      <c r="T91" s="97">
        <f>6219.66+748.35+1502.94</f>
        <v>8470.9500000000007</v>
      </c>
      <c r="U91" s="97">
        <f t="shared" si="5"/>
        <v>0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23</v>
      </c>
      <c r="I92" s="210">
        <v>15</v>
      </c>
      <c r="J92" s="210">
        <v>21</v>
      </c>
      <c r="K92" s="209">
        <v>21</v>
      </c>
      <c r="L92" s="210">
        <v>19</v>
      </c>
      <c r="M92" s="211">
        <f>2301.54+4352.56+3555.69+1798.94+1481.14+763.69+2342.6</f>
        <v>16596.16</v>
      </c>
      <c r="N92" s="211">
        <f>2301.54+4352.56+3555.69+1798.94+1481.14+763.69+2342.6</f>
        <v>16596.16</v>
      </c>
      <c r="O92" s="212">
        <f t="shared" si="4"/>
        <v>0</v>
      </c>
      <c r="P92" s="213">
        <v>1</v>
      </c>
      <c r="Q92" s="21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106</v>
      </c>
      <c r="I93" s="210">
        <v>83</v>
      </c>
      <c r="J93" s="210">
        <v>98</v>
      </c>
      <c r="K93" s="209">
        <v>74</v>
      </c>
      <c r="L93" s="210">
        <v>63</v>
      </c>
      <c r="M93" s="211">
        <f>14656.12+3543.47+2420.25+2112.66+1299.21+2099.6+145</f>
        <v>26276.309999999998</v>
      </c>
      <c r="N93" s="211">
        <f>14656.12+3543.47+2420.25+2112.66+1299.21+2099.6+145-10054.69</f>
        <v>16221.619999999997</v>
      </c>
      <c r="O93" s="212">
        <f t="shared" si="4"/>
        <v>10054.69</v>
      </c>
      <c r="P93" s="213">
        <v>10</v>
      </c>
      <c r="Q93" s="214">
        <v>10</v>
      </c>
      <c r="R93" s="215">
        <v>10</v>
      </c>
      <c r="S93" s="97">
        <f>11083.64+344.5</f>
        <v>11428.14</v>
      </c>
      <c r="T93" s="97">
        <f>11083.64+344.5</f>
        <v>11428.14</v>
      </c>
      <c r="U93" s="97">
        <f t="shared" si="5"/>
        <v>0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41</v>
      </c>
      <c r="I94" s="210">
        <v>22</v>
      </c>
      <c r="J94" s="210">
        <v>26</v>
      </c>
      <c r="K94" s="210">
        <v>25</v>
      </c>
      <c r="L94" s="210">
        <v>21</v>
      </c>
      <c r="M94" s="211">
        <f>6576.32+217.5+2898.52+939.6+1008.45+1200.17</f>
        <v>12840.560000000001</v>
      </c>
      <c r="N94" s="211">
        <f>6576.32+217.5+2898.52+939.6+1008.45+1200.17</f>
        <v>12840.560000000001</v>
      </c>
      <c r="O94" s="212">
        <f t="shared" si="4"/>
        <v>0</v>
      </c>
      <c r="P94" s="213">
        <v>24</v>
      </c>
      <c r="Q94" s="215">
        <v>24</v>
      </c>
      <c r="R94" s="215">
        <v>24</v>
      </c>
      <c r="S94" s="97">
        <f>18253.04+4245.2+858.65+1546.26+14802.65</f>
        <v>39705.800000000003</v>
      </c>
      <c r="T94" s="97">
        <f>18253.04+4245.2+858.65+1546.26+14802.65</f>
        <v>39705.800000000003</v>
      </c>
      <c r="U94" s="97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30</v>
      </c>
      <c r="I95" s="210">
        <v>15</v>
      </c>
      <c r="J95" s="210">
        <v>22</v>
      </c>
      <c r="K95" s="209">
        <v>21</v>
      </c>
      <c r="L95" s="210">
        <v>18</v>
      </c>
      <c r="M95" s="211">
        <f>2362.32+22110.36+455.21+2039.58+953.22+699.73+275.6+9654.91</f>
        <v>38550.93</v>
      </c>
      <c r="N95" s="211">
        <f>2362.32+22110.36+455.21+2039.58+953.22+699.73+275.6+9654.91</f>
        <v>38550.93</v>
      </c>
      <c r="O95" s="212">
        <f t="shared" si="4"/>
        <v>0</v>
      </c>
      <c r="P95" s="213">
        <v>16</v>
      </c>
      <c r="Q95" s="214">
        <v>16</v>
      </c>
      <c r="R95" s="215">
        <v>16</v>
      </c>
      <c r="S95" s="97">
        <f>24552.24+1001.28+122.46+1729.98-1</f>
        <v>27404.959999999999</v>
      </c>
      <c r="T95" s="97">
        <f>24552.24+1001.28+122.46+1729.98-1</f>
        <v>27404.959999999999</v>
      </c>
      <c r="U95" s="97">
        <f t="shared" si="5"/>
        <v>0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10</v>
      </c>
      <c r="I96" s="210">
        <v>7</v>
      </c>
      <c r="J96" s="210">
        <v>11</v>
      </c>
      <c r="K96" s="209">
        <v>10</v>
      </c>
      <c r="L96" s="210">
        <v>10</v>
      </c>
      <c r="M96" s="211">
        <f>826.8+2786.41+2401.3</f>
        <v>6014.51</v>
      </c>
      <c r="N96" s="211">
        <f>826.8+2786.41+2401.3</f>
        <v>6014.51</v>
      </c>
      <c r="O96" s="212">
        <f t="shared" si="4"/>
        <v>0</v>
      </c>
      <c r="P96" s="213"/>
      <c r="Q96" s="214"/>
      <c r="R96" s="215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210">
        <v>7</v>
      </c>
      <c r="J97" s="210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3171.93+1457.25+380.63</f>
        <v>5009.8100000000004</v>
      </c>
      <c r="O97" s="212">
        <f t="shared" si="4"/>
        <v>0</v>
      </c>
      <c r="P97" s="213">
        <v>4</v>
      </c>
      <c r="Q97" s="21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18</v>
      </c>
      <c r="I98" s="210">
        <v>9</v>
      </c>
      <c r="J98" s="210">
        <v>11</v>
      </c>
      <c r="K98" s="209">
        <v>11</v>
      </c>
      <c r="L98" s="210">
        <v>11</v>
      </c>
      <c r="M98" s="211">
        <f>757.9+551.2+895.7+290+725</f>
        <v>3219.8</v>
      </c>
      <c r="N98" s="211">
        <f>757.9+551.2+895.7+290+725</f>
        <v>3219.8</v>
      </c>
      <c r="O98" s="212">
        <f t="shared" si="4"/>
        <v>0</v>
      </c>
      <c r="P98" s="213">
        <v>13</v>
      </c>
      <c r="Q98" s="214">
        <v>13</v>
      </c>
      <c r="R98" s="215">
        <v>13</v>
      </c>
      <c r="S98" s="97">
        <f>8034.56+3466.13+4060.73</f>
        <v>15561.42</v>
      </c>
      <c r="T98" s="97">
        <f>8034.56+3466.13+4060.73</f>
        <v>15561.42</v>
      </c>
      <c r="U98" s="97">
        <f t="shared" si="5"/>
        <v>0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28</v>
      </c>
      <c r="I99" s="210">
        <v>16</v>
      </c>
      <c r="J99" s="210">
        <v>19</v>
      </c>
      <c r="K99" s="209">
        <v>21</v>
      </c>
      <c r="L99" s="210">
        <v>17</v>
      </c>
      <c r="M99" s="211">
        <f>4782.23+1353.89+2195.41+1197.7+1340.79+681.5</f>
        <v>11551.52</v>
      </c>
      <c r="N99" s="211">
        <f>4782.23+1353.89+2195.41+1197.7+1340.79+681.5</f>
        <v>11551.52</v>
      </c>
      <c r="O99" s="212">
        <f t="shared" si="4"/>
        <v>0</v>
      </c>
      <c r="P99" s="213">
        <v>11</v>
      </c>
      <c r="Q99" s="214">
        <v>11</v>
      </c>
      <c r="R99" s="215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26</v>
      </c>
      <c r="I100" s="210">
        <v>12</v>
      </c>
      <c r="J100" s="210">
        <v>20</v>
      </c>
      <c r="K100" s="209">
        <v>21</v>
      </c>
      <c r="L100" s="210">
        <v>19</v>
      </c>
      <c r="M100" s="211">
        <f>10862.96+2375.03+5632.11+356.47</f>
        <v>19226.57</v>
      </c>
      <c r="N100" s="211">
        <f>10862.96+2375.03+5632.11+356.47</f>
        <v>19226.57</v>
      </c>
      <c r="O100" s="212">
        <f t="shared" si="4"/>
        <v>0</v>
      </c>
      <c r="P100" s="213">
        <v>10</v>
      </c>
      <c r="Q100" s="214">
        <v>10</v>
      </c>
      <c r="R100" s="215">
        <v>10</v>
      </c>
      <c r="S100" s="97">
        <f>4780.1+2135.9</f>
        <v>6916</v>
      </c>
      <c r="T100" s="97">
        <f>4780.1+2135.9</f>
        <v>6916</v>
      </c>
      <c r="U100" s="97">
        <f t="shared" si="5"/>
        <v>0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90</v>
      </c>
      <c r="I101" s="210">
        <v>65</v>
      </c>
      <c r="J101" s="210">
        <v>74</v>
      </c>
      <c r="K101" s="209">
        <v>54</v>
      </c>
      <c r="L101" s="210">
        <v>45</v>
      </c>
      <c r="M101" s="211">
        <f>16276.16+4466.66+1078.5+4011.53+435+1493.5+2243.15</f>
        <v>30004.5</v>
      </c>
      <c r="N101" s="211">
        <f>16276.16+4466.66+1078.5+4011.53+435+1493.5+2243.15</f>
        <v>30004.5</v>
      </c>
      <c r="O101" s="212">
        <f t="shared" si="4"/>
        <v>0</v>
      </c>
      <c r="P101" s="213">
        <v>35</v>
      </c>
      <c r="Q101" s="214">
        <v>35</v>
      </c>
      <c r="R101" s="215">
        <v>34</v>
      </c>
      <c r="S101" s="97">
        <f>21329.45-2252.12+532.3+345.99+26455.28+1.67+3039.85-3960.98</f>
        <v>45491.439999999995</v>
      </c>
      <c r="T101" s="97">
        <f>21329.45-2252.12+532.3+345.99+26455.28+1.67+3039.85-3960.98</f>
        <v>45491.439999999995</v>
      </c>
      <c r="U101" s="97">
        <f t="shared" si="5"/>
        <v>0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10</v>
      </c>
      <c r="I102" s="217">
        <v>8</v>
      </c>
      <c r="J102" s="217">
        <v>11</v>
      </c>
      <c r="K102" s="216">
        <v>11</v>
      </c>
      <c r="L102" s="217">
        <v>11</v>
      </c>
      <c r="M102" s="218">
        <f>3259.83+1328.19+2964.21+8477.2</f>
        <v>16029.43</v>
      </c>
      <c r="N102" s="218">
        <f>3259.83+1328.19+2964.21+8477.2</f>
        <v>16029.43</v>
      </c>
      <c r="O102" s="212">
        <f t="shared" si="4"/>
        <v>0</v>
      </c>
      <c r="P102" s="219">
        <v>4</v>
      </c>
      <c r="Q102" s="220">
        <v>4</v>
      </c>
      <c r="R102" s="221">
        <v>4</v>
      </c>
      <c r="S102" s="147">
        <f>1193.3+5843.89</f>
        <v>7037.1900000000005</v>
      </c>
      <c r="T102" s="147">
        <f>1193.3+5843.89</f>
        <v>7037.1900000000005</v>
      </c>
      <c r="U102" s="147">
        <f t="shared" si="5"/>
        <v>0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22</v>
      </c>
      <c r="I103" s="210">
        <v>6</v>
      </c>
      <c r="J103" s="210">
        <v>8</v>
      </c>
      <c r="K103" s="209">
        <v>8</v>
      </c>
      <c r="L103" s="210">
        <v>8</v>
      </c>
      <c r="M103" s="211">
        <f>699.33+580</f>
        <v>1279.33</v>
      </c>
      <c r="N103" s="211">
        <f>699.33+580</f>
        <v>1279.33</v>
      </c>
      <c r="O103" s="212">
        <f t="shared" si="4"/>
        <v>0</v>
      </c>
      <c r="P103" s="215"/>
      <c r="Q103" s="214"/>
      <c r="R103" s="215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210">
        <v>2</v>
      </c>
      <c r="J104" s="210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214"/>
      <c r="R104" s="215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2368</v>
      </c>
      <c r="I105" s="223">
        <f t="shared" si="7"/>
        <v>1514</v>
      </c>
      <c r="J105" s="223">
        <f t="shared" si="7"/>
        <v>2031</v>
      </c>
      <c r="K105" s="222">
        <f t="shared" si="7"/>
        <v>1930</v>
      </c>
      <c r="L105" s="223">
        <f t="shared" si="7"/>
        <v>1794</v>
      </c>
      <c r="M105" s="224">
        <f t="shared" si="7"/>
        <v>1408891.1000000003</v>
      </c>
      <c r="N105" s="224">
        <f t="shared" si="7"/>
        <v>1387172.1700000004</v>
      </c>
      <c r="O105" s="224">
        <f t="shared" si="7"/>
        <v>21718.93</v>
      </c>
      <c r="P105" s="225">
        <f t="shared" si="7"/>
        <v>737</v>
      </c>
      <c r="Q105" s="226">
        <f>SUM(Q10:Q104)</f>
        <v>740</v>
      </c>
      <c r="R105" s="225">
        <f>SUM(R11:R104)</f>
        <v>718</v>
      </c>
      <c r="S105" s="151">
        <f>SUM(S10:S104)</f>
        <v>1011209.8299999997</v>
      </c>
      <c r="T105" s="151">
        <f>SUM(T10:T104)</f>
        <v>1011209.8299999997</v>
      </c>
      <c r="U105" s="151">
        <f>SUM(U10:U104)</f>
        <v>0</v>
      </c>
      <c r="V105" s="161"/>
      <c r="W105" s="159"/>
      <c r="X105" s="160"/>
      <c r="Y105" s="159"/>
      <c r="Z105" s="160"/>
      <c r="AA105" s="159"/>
      <c r="AB105" s="160"/>
      <c r="AC105" s="160"/>
      <c r="AD105" s="160"/>
      <c r="AE105" s="160"/>
      <c r="AF105" s="236"/>
      <c r="AG105" s="236"/>
      <c r="AH105" s="236"/>
    </row>
    <row r="106" spans="1:35" x14ac:dyDescent="0.25">
      <c r="V106" s="160"/>
      <c r="W106" s="159"/>
      <c r="X106" s="160"/>
      <c r="Y106" s="160"/>
      <c r="Z106" s="160"/>
      <c r="AA106" s="160"/>
      <c r="AB106" s="160"/>
      <c r="AC106" s="160"/>
      <c r="AD106" s="160"/>
      <c r="AE106" s="160"/>
      <c r="AF106" s="234"/>
      <c r="AG106" s="235"/>
      <c r="AH106" s="235"/>
    </row>
    <row r="107" spans="1:35" x14ac:dyDescent="0.25">
      <c r="V107" s="145"/>
      <c r="W107" s="145"/>
      <c r="AF107" s="234"/>
      <c r="AG107" s="234"/>
      <c r="AH107" s="234"/>
      <c r="AI107" s="145"/>
    </row>
    <row r="108" spans="1:35" x14ac:dyDescent="0.25">
      <c r="W108" s="145"/>
      <c r="AF108" s="234"/>
      <c r="AG108" s="235"/>
      <c r="AH108" s="235"/>
    </row>
    <row r="109" spans="1:35" x14ac:dyDescent="0.25">
      <c r="AF109" s="235"/>
      <c r="AG109" s="235"/>
      <c r="AH109" s="234"/>
    </row>
    <row r="110" spans="1:35" x14ac:dyDescent="0.25">
      <c r="AF110" s="235"/>
      <c r="AG110" s="235"/>
      <c r="AH110" s="234"/>
    </row>
    <row r="111" spans="1:35" x14ac:dyDescent="0.25">
      <c r="AF111" s="235"/>
      <c r="AG111" s="235"/>
      <c r="AH111" s="235"/>
    </row>
    <row r="112" spans="1:35" x14ac:dyDescent="0.25">
      <c r="AF112" s="235"/>
      <c r="AG112" s="235"/>
      <c r="AH112" s="235"/>
    </row>
    <row r="113" spans="32:34" x14ac:dyDescent="0.25">
      <c r="AF113" s="235"/>
      <c r="AG113" s="235"/>
      <c r="AH113" s="235"/>
    </row>
    <row r="114" spans="32:34" x14ac:dyDescent="0.25">
      <c r="AF114" s="235"/>
      <c r="AG114" s="235"/>
      <c r="AH114" s="23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268" priority="11" stopIfTrue="1" operator="equal">
      <formula>0</formula>
    </cfRule>
  </conditionalFormatting>
  <conditionalFormatting sqref="AL45">
    <cfRule type="cellIs" dxfId="267" priority="10" stopIfTrue="1" operator="equal">
      <formula>0</formula>
    </cfRule>
  </conditionalFormatting>
  <conditionalFormatting sqref="T45">
    <cfRule type="cellIs" dxfId="266" priority="9" stopIfTrue="1" operator="equal">
      <formula>0</formula>
    </cfRule>
  </conditionalFormatting>
  <conditionalFormatting sqref="T45">
    <cfRule type="cellIs" dxfId="265" priority="8" stopIfTrue="1" operator="equal">
      <formula>0</formula>
    </cfRule>
  </conditionalFormatting>
  <conditionalFormatting sqref="T45">
    <cfRule type="cellIs" dxfId="264" priority="7" stopIfTrue="1" operator="equal">
      <formula>0</formula>
    </cfRule>
  </conditionalFormatting>
  <conditionalFormatting sqref="T45">
    <cfRule type="cellIs" dxfId="263" priority="6" stopIfTrue="1" operator="equal">
      <formula>0</formula>
    </cfRule>
  </conditionalFormatting>
  <conditionalFormatting sqref="T45">
    <cfRule type="cellIs" dxfId="262" priority="5" stopIfTrue="1" operator="equal">
      <formula>0</formula>
    </cfRule>
  </conditionalFormatting>
  <conditionalFormatting sqref="T45">
    <cfRule type="cellIs" dxfId="261" priority="4" stopIfTrue="1" operator="equal">
      <formula>0</formula>
    </cfRule>
  </conditionalFormatting>
  <conditionalFormatting sqref="T45">
    <cfRule type="cellIs" dxfId="260" priority="3" stopIfTrue="1" operator="equal">
      <formula>0</formula>
    </cfRule>
  </conditionalFormatting>
  <conditionalFormatting sqref="T45">
    <cfRule type="cellIs" dxfId="259" priority="2" stopIfTrue="1" operator="equal">
      <formula>0</formula>
    </cfRule>
  </conditionalFormatting>
  <conditionalFormatting sqref="T45">
    <cfRule type="cellIs" dxfId="258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9"/>
  <sheetViews>
    <sheetView topLeftCell="D58" workbookViewId="0">
      <selection activeCell="A70" sqref="A70:IV70"/>
    </sheetView>
  </sheetViews>
  <sheetFormatPr defaultRowHeight="15" x14ac:dyDescent="0.25"/>
  <cols>
    <col min="2" max="2" width="42.7109375" customWidth="1"/>
    <col min="3" max="3" width="25.5703125" customWidth="1"/>
    <col min="4" max="4" width="9.140625" customWidth="1"/>
    <col min="5" max="5" width="31.85546875" customWidth="1"/>
    <col min="6" max="14" width="9.140625" customWidth="1"/>
  </cols>
  <sheetData>
    <row r="1" spans="1:20" ht="15.75" thickBot="1" x14ac:dyDescent="0.3">
      <c r="A1" s="310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2"/>
      <c r="R1" s="304" t="s">
        <v>17</v>
      </c>
      <c r="S1" s="304"/>
      <c r="T1" s="304"/>
    </row>
    <row r="2" spans="1:20" x14ac:dyDescent="0.25">
      <c r="A2" s="295" t="s">
        <v>248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7"/>
    </row>
    <row r="3" spans="1:20" x14ac:dyDescent="0.25">
      <c r="A3" s="298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300"/>
    </row>
    <row r="4" spans="1:20" x14ac:dyDescent="0.25">
      <c r="A4" s="298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300"/>
    </row>
    <row r="5" spans="1:20" x14ac:dyDescent="0.25">
      <c r="A5" s="298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300"/>
    </row>
    <row r="6" spans="1:20" ht="15.75" thickBot="1" x14ac:dyDescent="0.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3"/>
    </row>
    <row r="7" spans="1:20" ht="63" customHeight="1" thickBot="1" x14ac:dyDescent="0.3">
      <c r="A7" s="305" t="s">
        <v>0</v>
      </c>
      <c r="B7" s="307" t="s">
        <v>1</v>
      </c>
      <c r="C7" s="308"/>
      <c r="D7" s="308"/>
      <c r="E7" s="308"/>
      <c r="F7" s="309"/>
      <c r="G7" s="307" t="s">
        <v>2</v>
      </c>
      <c r="H7" s="308"/>
      <c r="I7" s="308"/>
      <c r="J7" s="308"/>
      <c r="K7" s="308"/>
      <c r="L7" s="308"/>
      <c r="M7" s="308"/>
      <c r="N7" s="309"/>
      <c r="O7" s="307" t="s">
        <v>251</v>
      </c>
      <c r="P7" s="308"/>
      <c r="Q7" s="308"/>
      <c r="R7" s="308"/>
      <c r="S7" s="308"/>
      <c r="T7" s="309"/>
    </row>
    <row r="8" spans="1:20" ht="242.25" x14ac:dyDescent="0.25">
      <c r="A8" s="306"/>
      <c r="B8" s="8" t="s">
        <v>4</v>
      </c>
      <c r="C8" s="8" t="s">
        <v>5</v>
      </c>
      <c r="D8" s="8" t="s">
        <v>6</v>
      </c>
      <c r="E8" s="8" t="s">
        <v>7</v>
      </c>
      <c r="F8" s="9" t="s">
        <v>8</v>
      </c>
      <c r="G8" s="7" t="s">
        <v>9</v>
      </c>
      <c r="H8" s="8" t="s">
        <v>10</v>
      </c>
      <c r="I8" s="8" t="s">
        <v>11</v>
      </c>
      <c r="J8" s="8" t="s">
        <v>12</v>
      </c>
      <c r="K8" s="8" t="s">
        <v>13</v>
      </c>
      <c r="L8" s="8" t="s">
        <v>14</v>
      </c>
      <c r="M8" s="8" t="s">
        <v>15</v>
      </c>
      <c r="N8" s="9" t="s">
        <v>16</v>
      </c>
      <c r="O8" s="7" t="s">
        <v>11</v>
      </c>
      <c r="P8" s="8" t="s">
        <v>12</v>
      </c>
      <c r="Q8" s="8" t="s">
        <v>13</v>
      </c>
      <c r="R8" s="8" t="s">
        <v>14</v>
      </c>
      <c r="S8" s="8" t="s">
        <v>15</v>
      </c>
      <c r="T8" s="9" t="s">
        <v>16</v>
      </c>
    </row>
    <row r="9" spans="1:20" x14ac:dyDescent="0.25">
      <c r="A9" s="4">
        <v>1</v>
      </c>
      <c r="B9" s="1">
        <v>2</v>
      </c>
      <c r="C9" s="1">
        <v>3</v>
      </c>
      <c r="D9" s="1">
        <v>4</v>
      </c>
      <c r="E9" s="1">
        <v>5</v>
      </c>
      <c r="F9" s="5">
        <v>6</v>
      </c>
      <c r="G9" s="4">
        <f>F9+1</f>
        <v>7</v>
      </c>
      <c r="H9" s="1">
        <f t="shared" ref="H9:T9" si="0">G9+1</f>
        <v>8</v>
      </c>
      <c r="I9" s="1">
        <f t="shared" si="0"/>
        <v>9</v>
      </c>
      <c r="J9" s="1">
        <f t="shared" si="0"/>
        <v>10</v>
      </c>
      <c r="K9" s="1">
        <f t="shared" si="0"/>
        <v>11</v>
      </c>
      <c r="L9" s="1">
        <f t="shared" si="0"/>
        <v>12</v>
      </c>
      <c r="M9" s="1">
        <f t="shared" si="0"/>
        <v>13</v>
      </c>
      <c r="N9" s="5">
        <f t="shared" si="0"/>
        <v>14</v>
      </c>
      <c r="O9" s="4">
        <f t="shared" si="0"/>
        <v>15</v>
      </c>
      <c r="P9" s="1">
        <f t="shared" si="0"/>
        <v>16</v>
      </c>
      <c r="Q9" s="1">
        <f t="shared" si="0"/>
        <v>17</v>
      </c>
      <c r="R9" s="1">
        <f t="shared" si="0"/>
        <v>18</v>
      </c>
      <c r="S9" s="1">
        <f t="shared" si="0"/>
        <v>19</v>
      </c>
      <c r="T9" s="5">
        <f t="shared" si="0"/>
        <v>20</v>
      </c>
    </row>
    <row r="10" spans="1:20" ht="15.75" x14ac:dyDescent="0.25">
      <c r="A10" s="3">
        <v>1</v>
      </c>
      <c r="B10" s="10" t="s">
        <v>18</v>
      </c>
      <c r="C10" s="15" t="s">
        <v>124</v>
      </c>
      <c r="D10" s="2"/>
      <c r="E10" s="16" t="s">
        <v>105</v>
      </c>
      <c r="F10" s="6"/>
      <c r="G10" s="26">
        <v>4</v>
      </c>
      <c r="H10" s="24"/>
      <c r="I10" s="24"/>
      <c r="J10" s="24"/>
      <c r="K10" s="24"/>
      <c r="L10" s="24"/>
      <c r="M10" s="24"/>
      <c r="N10" s="25">
        <f xml:space="preserve"> (L10-M10)</f>
        <v>0</v>
      </c>
      <c r="O10" s="26"/>
      <c r="P10" s="24"/>
      <c r="Q10" s="24"/>
      <c r="R10" s="24"/>
      <c r="S10" s="24"/>
      <c r="T10" s="25">
        <f xml:space="preserve"> (R10-S10)</f>
        <v>0</v>
      </c>
    </row>
    <row r="11" spans="1:20" ht="15.75" x14ac:dyDescent="0.25">
      <c r="A11" s="3">
        <f>A10+1</f>
        <v>2</v>
      </c>
      <c r="B11" s="10" t="s">
        <v>19</v>
      </c>
      <c r="C11" s="15" t="s">
        <v>124</v>
      </c>
      <c r="D11" s="2"/>
      <c r="E11" s="17" t="s">
        <v>106</v>
      </c>
      <c r="F11" s="6"/>
      <c r="G11" s="26"/>
      <c r="H11" s="24"/>
      <c r="I11" s="24"/>
      <c r="J11" s="24"/>
      <c r="K11" s="24"/>
      <c r="L11" s="24"/>
      <c r="M11" s="24"/>
      <c r="N11" s="25">
        <f t="shared" ref="N11:N75" si="1" xml:space="preserve"> (L11-M11)</f>
        <v>0</v>
      </c>
      <c r="O11" s="26">
        <v>1</v>
      </c>
      <c r="P11" s="24">
        <v>1</v>
      </c>
      <c r="Q11" s="24"/>
      <c r="R11" s="24"/>
      <c r="S11" s="24"/>
      <c r="T11" s="25">
        <f t="shared" ref="T11:T75" si="2" xml:space="preserve"> (R11-S11)</f>
        <v>0</v>
      </c>
    </row>
    <row r="12" spans="1:20" ht="15.75" x14ac:dyDescent="0.25">
      <c r="A12" s="3">
        <f t="shared" ref="A12:A75" si="3">A11+1</f>
        <v>3</v>
      </c>
      <c r="B12" s="11" t="s">
        <v>20</v>
      </c>
      <c r="C12" s="15" t="s">
        <v>124</v>
      </c>
      <c r="D12" s="2"/>
      <c r="E12" s="17" t="s">
        <v>107</v>
      </c>
      <c r="F12" s="6"/>
      <c r="G12" s="26"/>
      <c r="H12" s="24"/>
      <c r="I12" s="24"/>
      <c r="J12" s="24"/>
      <c r="K12" s="24"/>
      <c r="L12" s="24"/>
      <c r="M12" s="24"/>
      <c r="N12" s="25">
        <f t="shared" si="1"/>
        <v>0</v>
      </c>
      <c r="O12" s="26"/>
      <c r="P12" s="24"/>
      <c r="Q12" s="24"/>
      <c r="R12" s="24"/>
      <c r="S12" s="24"/>
      <c r="T12" s="25">
        <f t="shared" si="2"/>
        <v>0</v>
      </c>
    </row>
    <row r="13" spans="1:20" ht="15.75" x14ac:dyDescent="0.25">
      <c r="A13" s="3">
        <f t="shared" si="3"/>
        <v>4</v>
      </c>
      <c r="B13" s="11" t="s">
        <v>21</v>
      </c>
      <c r="C13" s="15" t="s">
        <v>124</v>
      </c>
      <c r="D13" s="2"/>
      <c r="E13" s="17" t="s">
        <v>108</v>
      </c>
      <c r="F13" s="6"/>
      <c r="G13" s="26">
        <v>2</v>
      </c>
      <c r="H13" s="24"/>
      <c r="I13" s="24"/>
      <c r="J13" s="24"/>
      <c r="K13" s="24"/>
      <c r="L13" s="24"/>
      <c r="M13" s="24"/>
      <c r="N13" s="25">
        <f t="shared" si="1"/>
        <v>0</v>
      </c>
      <c r="O13" s="26">
        <v>1</v>
      </c>
      <c r="P13" s="24"/>
      <c r="Q13" s="24"/>
      <c r="R13" s="24"/>
      <c r="S13" s="24"/>
      <c r="T13" s="25">
        <f t="shared" si="2"/>
        <v>0</v>
      </c>
    </row>
    <row r="14" spans="1:20" ht="15.75" x14ac:dyDescent="0.25">
      <c r="A14" s="3">
        <f t="shared" si="3"/>
        <v>5</v>
      </c>
      <c r="B14" s="10" t="s">
        <v>22</v>
      </c>
      <c r="C14" s="15" t="s">
        <v>124</v>
      </c>
      <c r="D14" s="2"/>
      <c r="E14" s="17" t="s">
        <v>106</v>
      </c>
      <c r="F14" s="6"/>
      <c r="G14" s="26">
        <v>2</v>
      </c>
      <c r="H14" s="24"/>
      <c r="I14" s="24"/>
      <c r="J14" s="24"/>
      <c r="K14" s="24"/>
      <c r="L14" s="24"/>
      <c r="M14" s="24"/>
      <c r="N14" s="25">
        <f t="shared" si="1"/>
        <v>0</v>
      </c>
      <c r="O14" s="26"/>
      <c r="P14" s="24"/>
      <c r="Q14" s="24"/>
      <c r="R14" s="24"/>
      <c r="S14" s="24"/>
      <c r="T14" s="25">
        <f t="shared" si="2"/>
        <v>0</v>
      </c>
    </row>
    <row r="15" spans="1:20" ht="15.75" x14ac:dyDescent="0.25">
      <c r="A15" s="3">
        <f t="shared" si="3"/>
        <v>6</v>
      </c>
      <c r="B15" s="10" t="s">
        <v>23</v>
      </c>
      <c r="C15" s="15" t="s">
        <v>124</v>
      </c>
      <c r="D15" s="2"/>
      <c r="E15" s="17" t="s">
        <v>106</v>
      </c>
      <c r="F15" s="6"/>
      <c r="G15" s="26">
        <v>4</v>
      </c>
      <c r="H15" s="24"/>
      <c r="I15" s="24"/>
      <c r="J15" s="24"/>
      <c r="K15" s="24"/>
      <c r="L15" s="24"/>
      <c r="M15" s="24"/>
      <c r="N15" s="25">
        <f t="shared" si="1"/>
        <v>0</v>
      </c>
      <c r="O15" s="26">
        <v>4</v>
      </c>
      <c r="P15" s="24">
        <v>4</v>
      </c>
      <c r="Q15" s="24"/>
      <c r="R15" s="24"/>
      <c r="S15" s="24"/>
      <c r="T15" s="25">
        <f t="shared" si="2"/>
        <v>0</v>
      </c>
    </row>
    <row r="16" spans="1:20" ht="15.75" x14ac:dyDescent="0.25">
      <c r="A16" s="3">
        <f t="shared" si="3"/>
        <v>7</v>
      </c>
      <c r="B16" s="10" t="s">
        <v>24</v>
      </c>
      <c r="C16" s="15" t="s">
        <v>124</v>
      </c>
      <c r="D16" s="2"/>
      <c r="E16" s="17" t="s">
        <v>109</v>
      </c>
      <c r="F16" s="6"/>
      <c r="G16" s="26">
        <v>1</v>
      </c>
      <c r="H16" s="24"/>
      <c r="I16" s="24"/>
      <c r="J16" s="24"/>
      <c r="K16" s="24"/>
      <c r="L16" s="24"/>
      <c r="M16" s="24"/>
      <c r="N16" s="25">
        <f t="shared" si="1"/>
        <v>0</v>
      </c>
      <c r="O16" s="26"/>
      <c r="P16" s="24"/>
      <c r="Q16" s="24"/>
      <c r="R16" s="24"/>
      <c r="S16" s="24"/>
      <c r="T16" s="25">
        <f t="shared" si="2"/>
        <v>0</v>
      </c>
    </row>
    <row r="17" spans="1:20" ht="15.75" x14ac:dyDescent="0.25">
      <c r="A17" s="3">
        <f t="shared" si="3"/>
        <v>8</v>
      </c>
      <c r="B17" s="10" t="s">
        <v>25</v>
      </c>
      <c r="C17" s="15" t="s">
        <v>124</v>
      </c>
      <c r="D17" s="2"/>
      <c r="E17" s="18" t="s">
        <v>110</v>
      </c>
      <c r="F17" s="6"/>
      <c r="G17" s="26"/>
      <c r="H17" s="24"/>
      <c r="I17" s="24"/>
      <c r="J17" s="24"/>
      <c r="K17" s="24"/>
      <c r="L17" s="24"/>
      <c r="M17" s="24"/>
      <c r="N17" s="25">
        <f t="shared" si="1"/>
        <v>0</v>
      </c>
      <c r="O17" s="26">
        <v>1</v>
      </c>
      <c r="P17" s="24"/>
      <c r="Q17" s="24"/>
      <c r="R17" s="24"/>
      <c r="S17" s="24"/>
      <c r="T17" s="25">
        <f t="shared" si="2"/>
        <v>0</v>
      </c>
    </row>
    <row r="18" spans="1:20" ht="15.75" x14ac:dyDescent="0.25">
      <c r="A18" s="3">
        <f t="shared" si="3"/>
        <v>9</v>
      </c>
      <c r="B18" s="12" t="s">
        <v>26</v>
      </c>
      <c r="C18" s="15" t="s">
        <v>124</v>
      </c>
      <c r="D18" s="2"/>
      <c r="E18" s="19" t="s">
        <v>107</v>
      </c>
      <c r="F18" s="6"/>
      <c r="G18" s="26">
        <v>5</v>
      </c>
      <c r="H18" s="24">
        <v>1</v>
      </c>
      <c r="I18" s="24">
        <v>1</v>
      </c>
      <c r="J18" s="24"/>
      <c r="K18" s="24"/>
      <c r="L18" s="24"/>
      <c r="M18" s="24"/>
      <c r="N18" s="25">
        <f t="shared" si="1"/>
        <v>0</v>
      </c>
      <c r="O18" s="26">
        <v>5</v>
      </c>
      <c r="P18" s="24">
        <v>5</v>
      </c>
      <c r="Q18" s="24"/>
      <c r="R18" s="24"/>
      <c r="S18" s="24"/>
      <c r="T18" s="25">
        <f t="shared" si="2"/>
        <v>0</v>
      </c>
    </row>
    <row r="19" spans="1:20" ht="15.75" x14ac:dyDescent="0.25">
      <c r="A19" s="3">
        <f t="shared" si="3"/>
        <v>10</v>
      </c>
      <c r="B19" s="11" t="s">
        <v>27</v>
      </c>
      <c r="C19" s="15" t="s">
        <v>124</v>
      </c>
      <c r="D19" s="2"/>
      <c r="E19" s="17" t="s">
        <v>111</v>
      </c>
      <c r="F19" s="6"/>
      <c r="G19" s="26">
        <v>3</v>
      </c>
      <c r="H19" s="24"/>
      <c r="I19" s="24"/>
      <c r="J19" s="24"/>
      <c r="K19" s="24"/>
      <c r="L19" s="24"/>
      <c r="M19" s="24"/>
      <c r="N19" s="25">
        <f t="shared" si="1"/>
        <v>0</v>
      </c>
      <c r="O19" s="26">
        <v>9</v>
      </c>
      <c r="P19" s="24">
        <v>9</v>
      </c>
      <c r="Q19" s="24"/>
      <c r="R19" s="24"/>
      <c r="S19" s="24"/>
      <c r="T19" s="25">
        <f t="shared" si="2"/>
        <v>0</v>
      </c>
    </row>
    <row r="20" spans="1:20" ht="15.75" x14ac:dyDescent="0.25">
      <c r="A20" s="3">
        <f t="shared" si="3"/>
        <v>11</v>
      </c>
      <c r="B20" s="10" t="s">
        <v>28</v>
      </c>
      <c r="C20" s="15" t="s">
        <v>124</v>
      </c>
      <c r="D20" s="2"/>
      <c r="E20" s="17" t="s">
        <v>106</v>
      </c>
      <c r="F20" s="6"/>
      <c r="G20" s="26">
        <v>1</v>
      </c>
      <c r="H20" s="24"/>
      <c r="I20" s="24"/>
      <c r="J20" s="24"/>
      <c r="K20" s="24"/>
      <c r="L20" s="24"/>
      <c r="M20" s="24"/>
      <c r="N20" s="25">
        <f t="shared" si="1"/>
        <v>0</v>
      </c>
      <c r="O20" s="26"/>
      <c r="P20" s="24"/>
      <c r="Q20" s="24"/>
      <c r="R20" s="24"/>
      <c r="S20" s="24"/>
      <c r="T20" s="25">
        <f t="shared" si="2"/>
        <v>0</v>
      </c>
    </row>
    <row r="21" spans="1:20" ht="15.75" x14ac:dyDescent="0.25">
      <c r="A21" s="3">
        <f t="shared" si="3"/>
        <v>12</v>
      </c>
      <c r="B21" s="10" t="s">
        <v>29</v>
      </c>
      <c r="C21" s="15" t="s">
        <v>124</v>
      </c>
      <c r="D21" s="2"/>
      <c r="E21" s="20" t="s">
        <v>112</v>
      </c>
      <c r="F21" s="6"/>
      <c r="G21" s="26">
        <v>7</v>
      </c>
      <c r="H21" s="24">
        <v>1</v>
      </c>
      <c r="I21" s="24">
        <v>1</v>
      </c>
      <c r="J21" s="24"/>
      <c r="K21" s="24"/>
      <c r="L21" s="24"/>
      <c r="M21" s="24"/>
      <c r="N21" s="25">
        <f t="shared" si="1"/>
        <v>0</v>
      </c>
      <c r="O21" s="26">
        <v>13</v>
      </c>
      <c r="P21" s="24"/>
      <c r="Q21" s="24"/>
      <c r="R21" s="24"/>
      <c r="S21" s="24"/>
      <c r="T21" s="25">
        <f t="shared" si="2"/>
        <v>0</v>
      </c>
    </row>
    <row r="22" spans="1:20" ht="15.75" x14ac:dyDescent="0.25">
      <c r="A22" s="3">
        <f t="shared" si="3"/>
        <v>13</v>
      </c>
      <c r="B22" s="12" t="s">
        <v>30</v>
      </c>
      <c r="C22" s="15" t="s">
        <v>124</v>
      </c>
      <c r="D22" s="2"/>
      <c r="E22" s="19" t="s">
        <v>111</v>
      </c>
      <c r="F22" s="6"/>
      <c r="G22" s="26">
        <v>3</v>
      </c>
      <c r="H22" s="24"/>
      <c r="I22" s="24"/>
      <c r="J22" s="24"/>
      <c r="K22" s="24"/>
      <c r="L22" s="24"/>
      <c r="M22" s="24"/>
      <c r="N22" s="25">
        <f t="shared" si="1"/>
        <v>0</v>
      </c>
      <c r="O22" s="26">
        <v>8</v>
      </c>
      <c r="P22" s="24">
        <v>5</v>
      </c>
      <c r="Q22" s="24"/>
      <c r="R22" s="24"/>
      <c r="S22" s="24"/>
      <c r="T22" s="25">
        <f t="shared" si="2"/>
        <v>0</v>
      </c>
    </row>
    <row r="23" spans="1:20" ht="15.75" x14ac:dyDescent="0.25">
      <c r="A23" s="3">
        <f t="shared" si="3"/>
        <v>14</v>
      </c>
      <c r="B23" s="10" t="s">
        <v>31</v>
      </c>
      <c r="C23" s="15" t="s">
        <v>124</v>
      </c>
      <c r="D23" s="2"/>
      <c r="E23" s="21" t="s">
        <v>107</v>
      </c>
      <c r="F23" s="6"/>
      <c r="G23" s="26">
        <v>3</v>
      </c>
      <c r="H23" s="24">
        <v>1</v>
      </c>
      <c r="I23" s="24">
        <v>1</v>
      </c>
      <c r="J23" s="24"/>
      <c r="K23" s="24"/>
      <c r="L23" s="24"/>
      <c r="M23" s="24"/>
      <c r="N23" s="25">
        <f t="shared" si="1"/>
        <v>0</v>
      </c>
      <c r="O23" s="26">
        <v>5</v>
      </c>
      <c r="P23" s="24">
        <v>5</v>
      </c>
      <c r="Q23" s="24"/>
      <c r="R23" s="24"/>
      <c r="S23" s="24"/>
      <c r="T23" s="25">
        <f t="shared" si="2"/>
        <v>0</v>
      </c>
    </row>
    <row r="24" spans="1:20" ht="15.75" x14ac:dyDescent="0.25">
      <c r="A24" s="3">
        <f t="shared" si="3"/>
        <v>15</v>
      </c>
      <c r="B24" s="13" t="s">
        <v>32</v>
      </c>
      <c r="C24" s="15" t="s">
        <v>124</v>
      </c>
      <c r="D24" s="2"/>
      <c r="E24" s="17" t="s">
        <v>106</v>
      </c>
      <c r="F24" s="6"/>
      <c r="G24" s="26">
        <v>3</v>
      </c>
      <c r="H24" s="24"/>
      <c r="I24" s="24"/>
      <c r="J24" s="24"/>
      <c r="K24" s="24"/>
      <c r="L24" s="24"/>
      <c r="M24" s="24"/>
      <c r="N24" s="25">
        <f t="shared" si="1"/>
        <v>0</v>
      </c>
      <c r="O24" s="26"/>
      <c r="P24" s="24"/>
      <c r="Q24" s="24"/>
      <c r="R24" s="24"/>
      <c r="S24" s="24"/>
      <c r="T24" s="25">
        <f t="shared" si="2"/>
        <v>0</v>
      </c>
    </row>
    <row r="25" spans="1:20" ht="15.75" x14ac:dyDescent="0.25">
      <c r="A25" s="3">
        <f t="shared" si="3"/>
        <v>16</v>
      </c>
      <c r="B25" s="10" t="s">
        <v>33</v>
      </c>
      <c r="C25" s="15" t="s">
        <v>124</v>
      </c>
      <c r="D25" s="2"/>
      <c r="E25" s="17" t="s">
        <v>106</v>
      </c>
      <c r="F25" s="6"/>
      <c r="G25" s="26">
        <v>2</v>
      </c>
      <c r="H25" s="24"/>
      <c r="I25" s="24"/>
      <c r="J25" s="24"/>
      <c r="K25" s="24"/>
      <c r="L25" s="24"/>
      <c r="M25" s="24"/>
      <c r="N25" s="25">
        <f t="shared" si="1"/>
        <v>0</v>
      </c>
      <c r="O25" s="26"/>
      <c r="P25" s="24"/>
      <c r="Q25" s="24"/>
      <c r="R25" s="24"/>
      <c r="S25" s="24"/>
      <c r="T25" s="25">
        <f t="shared" si="2"/>
        <v>0</v>
      </c>
    </row>
    <row r="26" spans="1:20" ht="15.75" x14ac:dyDescent="0.25">
      <c r="A26" s="3">
        <f t="shared" si="3"/>
        <v>17</v>
      </c>
      <c r="B26" s="10" t="s">
        <v>34</v>
      </c>
      <c r="C26" s="15" t="s">
        <v>124</v>
      </c>
      <c r="D26" s="2"/>
      <c r="E26" s="17" t="s">
        <v>113</v>
      </c>
      <c r="F26" s="6"/>
      <c r="G26" s="26">
        <v>4</v>
      </c>
      <c r="H26" s="24"/>
      <c r="I26" s="24"/>
      <c r="J26" s="24"/>
      <c r="K26" s="24"/>
      <c r="L26" s="24"/>
      <c r="M26" s="24"/>
      <c r="N26" s="25">
        <f t="shared" si="1"/>
        <v>0</v>
      </c>
      <c r="O26" s="26"/>
      <c r="P26" s="24"/>
      <c r="Q26" s="24"/>
      <c r="R26" s="24"/>
      <c r="S26" s="24"/>
      <c r="T26" s="25">
        <f t="shared" si="2"/>
        <v>0</v>
      </c>
    </row>
    <row r="27" spans="1:20" ht="15.75" x14ac:dyDescent="0.25">
      <c r="A27" s="3">
        <f t="shared" si="3"/>
        <v>18</v>
      </c>
      <c r="B27" s="10" t="s">
        <v>35</v>
      </c>
      <c r="C27" s="15" t="s">
        <v>124</v>
      </c>
      <c r="D27" s="2"/>
      <c r="E27" s="17" t="s">
        <v>105</v>
      </c>
      <c r="F27" s="6"/>
      <c r="G27" s="26"/>
      <c r="H27" s="24"/>
      <c r="I27" s="24"/>
      <c r="J27" s="24"/>
      <c r="K27" s="24"/>
      <c r="L27" s="24"/>
      <c r="M27" s="24"/>
      <c r="N27" s="25">
        <f t="shared" si="1"/>
        <v>0</v>
      </c>
      <c r="O27" s="26"/>
      <c r="P27" s="24"/>
      <c r="Q27" s="24"/>
      <c r="R27" s="24"/>
      <c r="S27" s="24"/>
      <c r="T27" s="25">
        <f t="shared" si="2"/>
        <v>0</v>
      </c>
    </row>
    <row r="28" spans="1:20" ht="15.75" x14ac:dyDescent="0.25">
      <c r="A28" s="3">
        <f t="shared" si="3"/>
        <v>19</v>
      </c>
      <c r="B28" s="12" t="s">
        <v>36</v>
      </c>
      <c r="C28" s="15" t="s">
        <v>124</v>
      </c>
      <c r="D28" s="2"/>
      <c r="E28" s="19" t="s">
        <v>114</v>
      </c>
      <c r="F28" s="6"/>
      <c r="G28" s="26">
        <v>3</v>
      </c>
      <c r="H28" s="24"/>
      <c r="I28" s="24"/>
      <c r="J28" s="24"/>
      <c r="K28" s="24"/>
      <c r="L28" s="24"/>
      <c r="M28" s="24"/>
      <c r="N28" s="25">
        <f t="shared" si="1"/>
        <v>0</v>
      </c>
      <c r="O28" s="26">
        <v>9</v>
      </c>
      <c r="P28" s="24">
        <v>9</v>
      </c>
      <c r="Q28" s="24"/>
      <c r="R28" s="24"/>
      <c r="S28" s="24"/>
      <c r="T28" s="25">
        <f t="shared" si="2"/>
        <v>0</v>
      </c>
    </row>
    <row r="29" spans="1:20" ht="15.75" x14ac:dyDescent="0.25">
      <c r="A29" s="3">
        <f t="shared" si="3"/>
        <v>20</v>
      </c>
      <c r="B29" s="11" t="s">
        <v>37</v>
      </c>
      <c r="C29" s="15" t="s">
        <v>124</v>
      </c>
      <c r="D29" s="2"/>
      <c r="E29" s="17" t="s">
        <v>108</v>
      </c>
      <c r="F29" s="6"/>
      <c r="G29" s="26">
        <v>3</v>
      </c>
      <c r="H29" s="24"/>
      <c r="I29" s="24"/>
      <c r="J29" s="24"/>
      <c r="K29" s="24"/>
      <c r="L29" s="24"/>
      <c r="M29" s="24"/>
      <c r="N29" s="25">
        <f t="shared" si="1"/>
        <v>0</v>
      </c>
      <c r="O29" s="26">
        <v>6</v>
      </c>
      <c r="P29" s="24">
        <v>6</v>
      </c>
      <c r="Q29" s="24"/>
      <c r="R29" s="24"/>
      <c r="S29" s="24"/>
      <c r="T29" s="25">
        <f t="shared" si="2"/>
        <v>0</v>
      </c>
    </row>
    <row r="30" spans="1:20" ht="15.75" x14ac:dyDescent="0.25">
      <c r="A30" s="3">
        <f t="shared" si="3"/>
        <v>21</v>
      </c>
      <c r="B30" s="11" t="s">
        <v>38</v>
      </c>
      <c r="C30" s="15" t="s">
        <v>124</v>
      </c>
      <c r="D30" s="2"/>
      <c r="E30" s="17" t="s">
        <v>106</v>
      </c>
      <c r="F30" s="6"/>
      <c r="G30" s="26">
        <v>3</v>
      </c>
      <c r="H30" s="24"/>
      <c r="I30" s="24"/>
      <c r="J30" s="24"/>
      <c r="K30" s="24"/>
      <c r="L30" s="24"/>
      <c r="M30" s="24"/>
      <c r="N30" s="25">
        <f t="shared" si="1"/>
        <v>0</v>
      </c>
      <c r="O30" s="26">
        <v>1</v>
      </c>
      <c r="P30" s="24">
        <v>1</v>
      </c>
      <c r="Q30" s="24"/>
      <c r="R30" s="24"/>
      <c r="S30" s="24"/>
      <c r="T30" s="25">
        <f t="shared" si="2"/>
        <v>0</v>
      </c>
    </row>
    <row r="31" spans="1:20" ht="15.75" x14ac:dyDescent="0.25">
      <c r="A31" s="3">
        <f t="shared" si="3"/>
        <v>22</v>
      </c>
      <c r="B31" s="10" t="s">
        <v>39</v>
      </c>
      <c r="C31" s="15" t="s">
        <v>124</v>
      </c>
      <c r="D31" s="2"/>
      <c r="E31" s="10" t="s">
        <v>105</v>
      </c>
      <c r="F31" s="6"/>
      <c r="G31" s="26"/>
      <c r="H31" s="24"/>
      <c r="I31" s="24"/>
      <c r="J31" s="24"/>
      <c r="K31" s="24"/>
      <c r="L31" s="24"/>
      <c r="M31" s="24"/>
      <c r="N31" s="25">
        <f t="shared" si="1"/>
        <v>0</v>
      </c>
      <c r="O31" s="26"/>
      <c r="P31" s="24"/>
      <c r="Q31" s="24"/>
      <c r="R31" s="24"/>
      <c r="S31" s="24"/>
      <c r="T31" s="25">
        <f t="shared" si="2"/>
        <v>0</v>
      </c>
    </row>
    <row r="32" spans="1:20" ht="15.75" x14ac:dyDescent="0.25">
      <c r="A32" s="3">
        <f t="shared" si="3"/>
        <v>23</v>
      </c>
      <c r="B32" s="12" t="s">
        <v>40</v>
      </c>
      <c r="C32" s="15" t="s">
        <v>124</v>
      </c>
      <c r="D32" s="2"/>
      <c r="E32" s="19" t="s">
        <v>115</v>
      </c>
      <c r="F32" s="6"/>
      <c r="G32" s="26">
        <v>2</v>
      </c>
      <c r="H32" s="24">
        <v>2</v>
      </c>
      <c r="I32" s="24">
        <v>3</v>
      </c>
      <c r="J32" s="24">
        <v>3</v>
      </c>
      <c r="K32" s="24"/>
      <c r="L32" s="24"/>
      <c r="M32" s="24"/>
      <c r="N32" s="25">
        <f t="shared" si="1"/>
        <v>0</v>
      </c>
      <c r="O32" s="26">
        <v>2</v>
      </c>
      <c r="P32" s="24">
        <v>2</v>
      </c>
      <c r="Q32" s="24"/>
      <c r="R32" s="24"/>
      <c r="S32" s="24"/>
      <c r="T32" s="25">
        <f t="shared" si="2"/>
        <v>0</v>
      </c>
    </row>
    <row r="33" spans="1:20" ht="15.75" x14ac:dyDescent="0.25">
      <c r="A33" s="3">
        <f t="shared" si="3"/>
        <v>24</v>
      </c>
      <c r="B33" s="11" t="s">
        <v>41</v>
      </c>
      <c r="C33" s="15" t="s">
        <v>124</v>
      </c>
      <c r="D33" s="2"/>
      <c r="E33" s="17" t="s">
        <v>106</v>
      </c>
      <c r="F33" s="6"/>
      <c r="G33" s="26">
        <v>1</v>
      </c>
      <c r="H33" s="24"/>
      <c r="I33" s="24"/>
      <c r="J33" s="24"/>
      <c r="K33" s="24"/>
      <c r="L33" s="24"/>
      <c r="M33" s="24"/>
      <c r="N33" s="25">
        <f t="shared" si="1"/>
        <v>0</v>
      </c>
      <c r="O33" s="26"/>
      <c r="P33" s="24"/>
      <c r="Q33" s="24"/>
      <c r="R33" s="24"/>
      <c r="S33" s="24"/>
      <c r="T33" s="25">
        <f t="shared" si="2"/>
        <v>0</v>
      </c>
    </row>
    <row r="34" spans="1:20" ht="15.75" x14ac:dyDescent="0.25">
      <c r="A34" s="3">
        <f t="shared" si="3"/>
        <v>25</v>
      </c>
      <c r="B34" s="13" t="s">
        <v>42</v>
      </c>
      <c r="C34" s="15" t="s">
        <v>124</v>
      </c>
      <c r="D34" s="2"/>
      <c r="E34" s="17" t="s">
        <v>106</v>
      </c>
      <c r="F34" s="6"/>
      <c r="G34" s="26"/>
      <c r="H34" s="24"/>
      <c r="I34" s="24"/>
      <c r="J34" s="24"/>
      <c r="K34" s="24"/>
      <c r="L34" s="24"/>
      <c r="M34" s="24"/>
      <c r="N34" s="25">
        <f t="shared" si="1"/>
        <v>0</v>
      </c>
      <c r="O34" s="26">
        <v>3</v>
      </c>
      <c r="P34" s="24">
        <v>3</v>
      </c>
      <c r="Q34" s="24"/>
      <c r="R34" s="24"/>
      <c r="S34" s="24"/>
      <c r="T34" s="25">
        <f t="shared" si="2"/>
        <v>0</v>
      </c>
    </row>
    <row r="35" spans="1:20" ht="15.75" x14ac:dyDescent="0.25">
      <c r="A35" s="3">
        <f t="shared" si="3"/>
        <v>26</v>
      </c>
      <c r="B35" s="13" t="s">
        <v>43</v>
      </c>
      <c r="C35" s="15" t="s">
        <v>124</v>
      </c>
      <c r="D35" s="2"/>
      <c r="E35" s="17" t="s">
        <v>106</v>
      </c>
      <c r="F35" s="6"/>
      <c r="G35" s="26">
        <v>1</v>
      </c>
      <c r="H35" s="24"/>
      <c r="I35" s="24"/>
      <c r="J35" s="24"/>
      <c r="K35" s="24"/>
      <c r="L35" s="24"/>
      <c r="M35" s="24"/>
      <c r="N35" s="25">
        <f t="shared" si="1"/>
        <v>0</v>
      </c>
      <c r="O35" s="26"/>
      <c r="P35" s="24"/>
      <c r="Q35" s="24"/>
      <c r="R35" s="24"/>
      <c r="S35" s="24"/>
      <c r="T35" s="25">
        <f t="shared" si="2"/>
        <v>0</v>
      </c>
    </row>
    <row r="36" spans="1:20" ht="15.75" x14ac:dyDescent="0.25">
      <c r="A36" s="3">
        <f t="shared" si="3"/>
        <v>27</v>
      </c>
      <c r="B36" s="11" t="s">
        <v>44</v>
      </c>
      <c r="C36" s="15" t="s">
        <v>124</v>
      </c>
      <c r="D36" s="2"/>
      <c r="E36" s="17" t="s">
        <v>105</v>
      </c>
      <c r="F36" s="6"/>
      <c r="G36" s="26">
        <v>4</v>
      </c>
      <c r="H36" s="24"/>
      <c r="I36" s="24"/>
      <c r="J36" s="24"/>
      <c r="K36" s="24"/>
      <c r="L36" s="24"/>
      <c r="M36" s="24"/>
      <c r="N36" s="25">
        <f t="shared" si="1"/>
        <v>0</v>
      </c>
      <c r="O36" s="26">
        <v>11</v>
      </c>
      <c r="P36" s="24">
        <v>11</v>
      </c>
      <c r="Q36" s="24"/>
      <c r="R36" s="24"/>
      <c r="S36" s="24"/>
      <c r="T36" s="25">
        <f t="shared" si="2"/>
        <v>0</v>
      </c>
    </row>
    <row r="37" spans="1:20" ht="15.75" x14ac:dyDescent="0.25">
      <c r="A37" s="3">
        <f t="shared" si="3"/>
        <v>28</v>
      </c>
      <c r="B37" s="11" t="s">
        <v>45</v>
      </c>
      <c r="C37" s="15" t="s">
        <v>124</v>
      </c>
      <c r="D37" s="2"/>
      <c r="E37" s="17" t="s">
        <v>111</v>
      </c>
      <c r="F37" s="6"/>
      <c r="G37" s="26">
        <v>2</v>
      </c>
      <c r="H37" s="24"/>
      <c r="I37" s="24"/>
      <c r="J37" s="24"/>
      <c r="K37" s="24"/>
      <c r="L37" s="24"/>
      <c r="M37" s="24"/>
      <c r="N37" s="25">
        <f t="shared" si="1"/>
        <v>0</v>
      </c>
      <c r="O37" s="26"/>
      <c r="P37" s="24"/>
      <c r="Q37" s="24"/>
      <c r="R37" s="24"/>
      <c r="S37" s="24"/>
      <c r="T37" s="25">
        <f t="shared" si="2"/>
        <v>0</v>
      </c>
    </row>
    <row r="38" spans="1:20" ht="15.75" x14ac:dyDescent="0.25">
      <c r="A38" s="3">
        <f>A37+1</f>
        <v>29</v>
      </c>
      <c r="B38" s="10" t="s">
        <v>46</v>
      </c>
      <c r="C38" s="15" t="s">
        <v>124</v>
      </c>
      <c r="D38" s="2"/>
      <c r="E38" s="17" t="s">
        <v>106</v>
      </c>
      <c r="F38" s="6"/>
      <c r="G38" s="26"/>
      <c r="H38" s="24"/>
      <c r="I38" s="24"/>
      <c r="J38" s="24"/>
      <c r="K38" s="24"/>
      <c r="L38" s="24"/>
      <c r="M38" s="24"/>
      <c r="N38" s="25">
        <f t="shared" si="1"/>
        <v>0</v>
      </c>
      <c r="O38" s="26">
        <v>2</v>
      </c>
      <c r="P38" s="24">
        <v>2</v>
      </c>
      <c r="Q38" s="24"/>
      <c r="R38" s="24"/>
      <c r="S38" s="24"/>
      <c r="T38" s="25">
        <f t="shared" si="2"/>
        <v>0</v>
      </c>
    </row>
    <row r="39" spans="1:20" ht="15.75" x14ac:dyDescent="0.25">
      <c r="A39" s="3">
        <f t="shared" si="3"/>
        <v>30</v>
      </c>
      <c r="B39" s="10" t="s">
        <v>47</v>
      </c>
      <c r="C39" s="15" t="s">
        <v>124</v>
      </c>
      <c r="D39" s="2"/>
      <c r="E39" s="17" t="s">
        <v>116</v>
      </c>
      <c r="F39" s="6"/>
      <c r="G39" s="26">
        <v>3</v>
      </c>
      <c r="H39" s="24">
        <v>1</v>
      </c>
      <c r="I39" s="24">
        <v>1</v>
      </c>
      <c r="J39" s="24"/>
      <c r="K39" s="24"/>
      <c r="L39" s="24"/>
      <c r="M39" s="24"/>
      <c r="N39" s="25">
        <f t="shared" si="1"/>
        <v>0</v>
      </c>
      <c r="O39" s="26">
        <v>2</v>
      </c>
      <c r="P39" s="24"/>
      <c r="Q39" s="24"/>
      <c r="R39" s="24"/>
      <c r="S39" s="24"/>
      <c r="T39" s="25">
        <f t="shared" si="2"/>
        <v>0</v>
      </c>
    </row>
    <row r="40" spans="1:20" ht="15.75" x14ac:dyDescent="0.25">
      <c r="A40" s="3">
        <f t="shared" si="3"/>
        <v>31</v>
      </c>
      <c r="B40" s="13" t="s">
        <v>48</v>
      </c>
      <c r="C40" s="15" t="s">
        <v>124</v>
      </c>
      <c r="D40" s="2"/>
      <c r="E40" s="17" t="s">
        <v>106</v>
      </c>
      <c r="F40" s="6"/>
      <c r="G40" s="26">
        <v>1</v>
      </c>
      <c r="H40" s="24"/>
      <c r="I40" s="24"/>
      <c r="J40" s="24"/>
      <c r="K40" s="24"/>
      <c r="L40" s="24"/>
      <c r="M40" s="24"/>
      <c r="N40" s="25">
        <f t="shared" si="1"/>
        <v>0</v>
      </c>
      <c r="O40" s="26">
        <v>1</v>
      </c>
      <c r="P40" s="24">
        <v>1</v>
      </c>
      <c r="Q40" s="24"/>
      <c r="R40" s="24"/>
      <c r="S40" s="24"/>
      <c r="T40" s="25">
        <f t="shared" si="2"/>
        <v>0</v>
      </c>
    </row>
    <row r="41" spans="1:20" ht="15.75" x14ac:dyDescent="0.25">
      <c r="A41" s="3">
        <f t="shared" si="3"/>
        <v>32</v>
      </c>
      <c r="B41" s="10" t="s">
        <v>49</v>
      </c>
      <c r="C41" s="15" t="s">
        <v>124</v>
      </c>
      <c r="D41" s="2"/>
      <c r="E41" s="17" t="s">
        <v>106</v>
      </c>
      <c r="F41" s="6"/>
      <c r="G41" s="26">
        <v>1</v>
      </c>
      <c r="H41" s="24"/>
      <c r="I41" s="24"/>
      <c r="J41" s="24"/>
      <c r="K41" s="24"/>
      <c r="L41" s="24"/>
      <c r="M41" s="24"/>
      <c r="N41" s="25">
        <f t="shared" si="1"/>
        <v>0</v>
      </c>
      <c r="O41" s="26">
        <v>2</v>
      </c>
      <c r="P41" s="24">
        <v>2</v>
      </c>
      <c r="Q41" s="24"/>
      <c r="R41" s="24"/>
      <c r="S41" s="24"/>
      <c r="T41" s="25">
        <f t="shared" si="2"/>
        <v>0</v>
      </c>
    </row>
    <row r="42" spans="1:20" ht="15.75" x14ac:dyDescent="0.25">
      <c r="A42" s="3">
        <f t="shared" si="3"/>
        <v>33</v>
      </c>
      <c r="B42" s="13" t="s">
        <v>50</v>
      </c>
      <c r="C42" s="15" t="s">
        <v>124</v>
      </c>
      <c r="D42" s="2"/>
      <c r="E42" s="17" t="s">
        <v>106</v>
      </c>
      <c r="F42" s="6"/>
      <c r="G42" s="26">
        <v>2</v>
      </c>
      <c r="H42" s="24"/>
      <c r="I42" s="24"/>
      <c r="J42" s="24"/>
      <c r="K42" s="24"/>
      <c r="L42" s="24"/>
      <c r="M42" s="24"/>
      <c r="N42" s="25">
        <f t="shared" si="1"/>
        <v>0</v>
      </c>
      <c r="O42" s="26"/>
      <c r="P42" s="24"/>
      <c r="Q42" s="24"/>
      <c r="R42" s="24"/>
      <c r="S42" s="24"/>
      <c r="T42" s="25">
        <f t="shared" si="2"/>
        <v>0</v>
      </c>
    </row>
    <row r="43" spans="1:20" ht="15.75" x14ac:dyDescent="0.25">
      <c r="A43" s="3">
        <f t="shared" si="3"/>
        <v>34</v>
      </c>
      <c r="B43" s="11" t="s">
        <v>51</v>
      </c>
      <c r="C43" s="15" t="s">
        <v>124</v>
      </c>
      <c r="D43" s="2"/>
      <c r="E43" s="22" t="s">
        <v>112</v>
      </c>
      <c r="F43" s="6"/>
      <c r="G43" s="26"/>
      <c r="H43" s="24"/>
      <c r="I43" s="24"/>
      <c r="J43" s="24"/>
      <c r="K43" s="24"/>
      <c r="L43" s="24"/>
      <c r="M43" s="24"/>
      <c r="N43" s="25">
        <f t="shared" si="1"/>
        <v>0</v>
      </c>
      <c r="O43" s="26"/>
      <c r="P43" s="24"/>
      <c r="Q43" s="24"/>
      <c r="R43" s="24"/>
      <c r="S43" s="24"/>
      <c r="T43" s="25">
        <f t="shared" si="2"/>
        <v>0</v>
      </c>
    </row>
    <row r="44" spans="1:20" ht="15.75" x14ac:dyDescent="0.25">
      <c r="A44" s="3">
        <f t="shared" si="3"/>
        <v>35</v>
      </c>
      <c r="B44" s="11" t="s">
        <v>131</v>
      </c>
      <c r="C44" s="15" t="s">
        <v>124</v>
      </c>
      <c r="D44" s="2"/>
      <c r="E44" s="22" t="s">
        <v>106</v>
      </c>
      <c r="F44" s="6"/>
      <c r="G44" s="26"/>
      <c r="H44" s="24"/>
      <c r="I44" s="24"/>
      <c r="J44" s="24"/>
      <c r="K44" s="24"/>
      <c r="L44" s="24"/>
      <c r="M44" s="24"/>
      <c r="N44" s="25">
        <f t="shared" si="1"/>
        <v>0</v>
      </c>
      <c r="O44" s="26">
        <v>1</v>
      </c>
      <c r="P44" s="24">
        <v>1</v>
      </c>
      <c r="Q44" s="24">
        <v>1</v>
      </c>
      <c r="R44" s="39">
        <v>11787.49</v>
      </c>
      <c r="S44" s="39">
        <v>11787.49</v>
      </c>
      <c r="T44" s="25">
        <f t="shared" si="2"/>
        <v>0</v>
      </c>
    </row>
    <row r="45" spans="1:20" ht="15.75" x14ac:dyDescent="0.25">
      <c r="A45" s="3">
        <f t="shared" si="3"/>
        <v>36</v>
      </c>
      <c r="B45" s="13" t="s">
        <v>52</v>
      </c>
      <c r="C45" s="15" t="s">
        <v>124</v>
      </c>
      <c r="D45" s="2"/>
      <c r="E45" s="17" t="s">
        <v>106</v>
      </c>
      <c r="F45" s="6"/>
      <c r="G45" s="26">
        <v>2</v>
      </c>
      <c r="H45" s="24"/>
      <c r="I45" s="24"/>
      <c r="J45" s="24"/>
      <c r="K45" s="24"/>
      <c r="L45" s="24"/>
      <c r="M45" s="24"/>
      <c r="N45" s="25">
        <f t="shared" si="1"/>
        <v>0</v>
      </c>
      <c r="O45" s="26"/>
      <c r="P45" s="24"/>
      <c r="Q45" s="24"/>
      <c r="R45" s="24"/>
      <c r="S45" s="24"/>
      <c r="T45" s="25">
        <f t="shared" si="2"/>
        <v>0</v>
      </c>
    </row>
    <row r="46" spans="1:20" ht="15.75" x14ac:dyDescent="0.25">
      <c r="A46" s="3">
        <f t="shared" si="3"/>
        <v>37</v>
      </c>
      <c r="B46" s="10" t="s">
        <v>53</v>
      </c>
      <c r="C46" s="15" t="s">
        <v>124</v>
      </c>
      <c r="D46" s="2"/>
      <c r="E46" s="17" t="s">
        <v>105</v>
      </c>
      <c r="F46" s="6"/>
      <c r="G46" s="26">
        <v>3</v>
      </c>
      <c r="H46" s="24"/>
      <c r="I46" s="24"/>
      <c r="J46" s="24"/>
      <c r="K46" s="24"/>
      <c r="L46" s="24"/>
      <c r="M46" s="24"/>
      <c r="N46" s="25">
        <f t="shared" si="1"/>
        <v>0</v>
      </c>
      <c r="O46" s="26">
        <v>1</v>
      </c>
      <c r="P46" s="24">
        <v>1</v>
      </c>
      <c r="Q46" s="24"/>
      <c r="R46" s="24"/>
      <c r="S46" s="24"/>
      <c r="T46" s="25">
        <f t="shared" si="2"/>
        <v>0</v>
      </c>
    </row>
    <row r="47" spans="1:20" ht="15.75" x14ac:dyDescent="0.25">
      <c r="A47" s="3">
        <f t="shared" si="3"/>
        <v>38</v>
      </c>
      <c r="B47" s="10" t="s">
        <v>54</v>
      </c>
      <c r="C47" s="15" t="s">
        <v>124</v>
      </c>
      <c r="D47" s="2"/>
      <c r="E47" s="17" t="s">
        <v>106</v>
      </c>
      <c r="F47" s="6"/>
      <c r="G47" s="26">
        <v>1</v>
      </c>
      <c r="H47" s="24"/>
      <c r="I47" s="24"/>
      <c r="J47" s="24"/>
      <c r="K47" s="24"/>
      <c r="L47" s="24"/>
      <c r="M47" s="24"/>
      <c r="N47" s="25">
        <f t="shared" si="1"/>
        <v>0</v>
      </c>
      <c r="O47" s="26">
        <v>2</v>
      </c>
      <c r="P47" s="24">
        <v>2</v>
      </c>
      <c r="Q47" s="24"/>
      <c r="R47" s="24"/>
      <c r="S47" s="24"/>
      <c r="T47" s="25">
        <f t="shared" si="2"/>
        <v>0</v>
      </c>
    </row>
    <row r="48" spans="1:20" ht="15.75" x14ac:dyDescent="0.25">
      <c r="A48" s="3">
        <f t="shared" si="3"/>
        <v>39</v>
      </c>
      <c r="B48" s="10" t="s">
        <v>55</v>
      </c>
      <c r="C48" s="15" t="s">
        <v>124</v>
      </c>
      <c r="D48" s="2"/>
      <c r="E48" s="17" t="s">
        <v>106</v>
      </c>
      <c r="F48" s="6"/>
      <c r="G48" s="26">
        <v>4</v>
      </c>
      <c r="H48" s="24"/>
      <c r="I48" s="24"/>
      <c r="J48" s="24"/>
      <c r="K48" s="24"/>
      <c r="L48" s="24"/>
      <c r="M48" s="24"/>
      <c r="N48" s="25">
        <f t="shared" si="1"/>
        <v>0</v>
      </c>
      <c r="O48" s="26">
        <v>2</v>
      </c>
      <c r="P48" s="24">
        <v>2</v>
      </c>
      <c r="Q48" s="24"/>
      <c r="R48" s="24"/>
      <c r="S48" s="24"/>
      <c r="T48" s="25">
        <f t="shared" si="2"/>
        <v>0</v>
      </c>
    </row>
    <row r="49" spans="1:20" ht="15.75" x14ac:dyDescent="0.25">
      <c r="A49" s="3">
        <f t="shared" si="3"/>
        <v>40</v>
      </c>
      <c r="B49" s="10" t="s">
        <v>56</v>
      </c>
      <c r="C49" s="15" t="s">
        <v>124</v>
      </c>
      <c r="D49" s="2"/>
      <c r="E49" s="17" t="s">
        <v>106</v>
      </c>
      <c r="F49" s="6"/>
      <c r="G49" s="26">
        <v>2</v>
      </c>
      <c r="H49" s="24"/>
      <c r="I49" s="24"/>
      <c r="J49" s="24"/>
      <c r="K49" s="24"/>
      <c r="L49" s="24"/>
      <c r="M49" s="24"/>
      <c r="N49" s="25">
        <f t="shared" si="1"/>
        <v>0</v>
      </c>
      <c r="O49" s="26"/>
      <c r="P49" s="24"/>
      <c r="Q49" s="24"/>
      <c r="R49" s="24"/>
      <c r="S49" s="24"/>
      <c r="T49" s="25">
        <f t="shared" si="2"/>
        <v>0</v>
      </c>
    </row>
    <row r="50" spans="1:20" ht="15.75" x14ac:dyDescent="0.25">
      <c r="A50" s="3">
        <f t="shared" si="3"/>
        <v>41</v>
      </c>
      <c r="B50" s="13" t="s">
        <v>57</v>
      </c>
      <c r="C50" s="15" t="s">
        <v>124</v>
      </c>
      <c r="D50" s="2"/>
      <c r="E50" s="17" t="s">
        <v>106</v>
      </c>
      <c r="F50" s="6"/>
      <c r="G50" s="26">
        <v>1</v>
      </c>
      <c r="H50" s="24">
        <v>1</v>
      </c>
      <c r="I50" s="24">
        <v>1</v>
      </c>
      <c r="J50" s="24">
        <v>1</v>
      </c>
      <c r="K50" s="24"/>
      <c r="L50" s="24"/>
      <c r="M50" s="24"/>
      <c r="N50" s="25">
        <f t="shared" si="1"/>
        <v>0</v>
      </c>
      <c r="O50" s="26">
        <v>1</v>
      </c>
      <c r="P50" s="24">
        <v>1</v>
      </c>
      <c r="Q50" s="24"/>
      <c r="R50" s="24"/>
      <c r="S50" s="24"/>
      <c r="T50" s="25">
        <f t="shared" si="2"/>
        <v>0</v>
      </c>
    </row>
    <row r="51" spans="1:20" ht="15.75" x14ac:dyDescent="0.25">
      <c r="A51" s="3">
        <f t="shared" si="3"/>
        <v>42</v>
      </c>
      <c r="B51" s="13" t="s">
        <v>58</v>
      </c>
      <c r="C51" s="15" t="s">
        <v>124</v>
      </c>
      <c r="D51" s="2"/>
      <c r="E51" s="17" t="s">
        <v>106</v>
      </c>
      <c r="F51" s="6"/>
      <c r="G51" s="26"/>
      <c r="H51" s="24"/>
      <c r="I51" s="24"/>
      <c r="J51" s="24"/>
      <c r="K51" s="24"/>
      <c r="L51" s="24"/>
      <c r="M51" s="24"/>
      <c r="N51" s="25">
        <f t="shared" si="1"/>
        <v>0</v>
      </c>
      <c r="O51" s="26"/>
      <c r="P51" s="24"/>
      <c r="Q51" s="24"/>
      <c r="R51" s="24"/>
      <c r="S51" s="24"/>
      <c r="T51" s="25">
        <f t="shared" si="2"/>
        <v>0</v>
      </c>
    </row>
    <row r="52" spans="1:20" ht="15.75" x14ac:dyDescent="0.25">
      <c r="A52" s="3">
        <f t="shared" si="3"/>
        <v>43</v>
      </c>
      <c r="B52" s="13" t="s">
        <v>59</v>
      </c>
      <c r="C52" s="15" t="s">
        <v>124</v>
      </c>
      <c r="D52" s="2"/>
      <c r="E52" s="17" t="s">
        <v>112</v>
      </c>
      <c r="F52" s="6"/>
      <c r="G52" s="26">
        <v>7</v>
      </c>
      <c r="H52" s="24"/>
      <c r="I52" s="24"/>
      <c r="J52" s="24"/>
      <c r="K52" s="24"/>
      <c r="L52" s="24"/>
      <c r="M52" s="24"/>
      <c r="N52" s="25">
        <f t="shared" si="1"/>
        <v>0</v>
      </c>
      <c r="O52" s="26">
        <v>7</v>
      </c>
      <c r="P52" s="24">
        <v>6</v>
      </c>
      <c r="Q52" s="24"/>
      <c r="R52" s="24"/>
      <c r="S52" s="24"/>
      <c r="T52" s="25">
        <f t="shared" si="2"/>
        <v>0</v>
      </c>
    </row>
    <row r="53" spans="1:20" ht="25.5" x14ac:dyDescent="0.25">
      <c r="A53" s="3">
        <f t="shared" si="3"/>
        <v>44</v>
      </c>
      <c r="B53" s="13" t="s">
        <v>60</v>
      </c>
      <c r="C53" s="15" t="s">
        <v>125</v>
      </c>
      <c r="D53" s="38" t="s">
        <v>126</v>
      </c>
      <c r="E53" s="17" t="s">
        <v>106</v>
      </c>
      <c r="F53" s="6"/>
      <c r="G53" s="26">
        <v>1</v>
      </c>
      <c r="H53" s="24"/>
      <c r="I53" s="24"/>
      <c r="J53" s="24"/>
      <c r="K53" s="24"/>
      <c r="L53" s="24"/>
      <c r="M53" s="24"/>
      <c r="N53" s="25">
        <f t="shared" si="1"/>
        <v>0</v>
      </c>
      <c r="O53" s="26"/>
      <c r="P53" s="24"/>
      <c r="Q53" s="24"/>
      <c r="R53" s="24"/>
      <c r="S53" s="24"/>
      <c r="T53" s="25">
        <f t="shared" si="2"/>
        <v>0</v>
      </c>
    </row>
    <row r="54" spans="1:20" ht="15.75" x14ac:dyDescent="0.25">
      <c r="A54" s="3">
        <f t="shared" si="3"/>
        <v>45</v>
      </c>
      <c r="B54" s="11" t="s">
        <v>61</v>
      </c>
      <c r="C54" s="15" t="s">
        <v>124</v>
      </c>
      <c r="D54" s="2"/>
      <c r="E54" s="17" t="s">
        <v>107</v>
      </c>
      <c r="F54" s="6"/>
      <c r="G54" s="26">
        <v>5</v>
      </c>
      <c r="H54" s="24">
        <v>1</v>
      </c>
      <c r="I54" s="24">
        <v>1</v>
      </c>
      <c r="J54" s="24"/>
      <c r="K54" s="24"/>
      <c r="L54" s="24"/>
      <c r="M54" s="24"/>
      <c r="N54" s="25">
        <f t="shared" si="1"/>
        <v>0</v>
      </c>
      <c r="O54" s="26">
        <v>5</v>
      </c>
      <c r="P54" s="24">
        <v>5</v>
      </c>
      <c r="Q54" s="24"/>
      <c r="R54" s="24"/>
      <c r="S54" s="24"/>
      <c r="T54" s="25">
        <f t="shared" si="2"/>
        <v>0</v>
      </c>
    </row>
    <row r="55" spans="1:20" ht="15.75" x14ac:dyDescent="0.25">
      <c r="A55" s="3">
        <f t="shared" si="3"/>
        <v>46</v>
      </c>
      <c r="B55" s="11" t="s">
        <v>62</v>
      </c>
      <c r="C55" s="15" t="s">
        <v>124</v>
      </c>
      <c r="D55" s="2"/>
      <c r="E55" s="17" t="s">
        <v>106</v>
      </c>
      <c r="F55" s="6"/>
      <c r="G55" s="26"/>
      <c r="H55" s="24"/>
      <c r="I55" s="24"/>
      <c r="J55" s="24"/>
      <c r="K55" s="24"/>
      <c r="L55" s="24"/>
      <c r="M55" s="24"/>
      <c r="N55" s="25">
        <f t="shared" si="1"/>
        <v>0</v>
      </c>
      <c r="O55" s="26"/>
      <c r="P55" s="24"/>
      <c r="Q55" s="24"/>
      <c r="R55" s="24"/>
      <c r="S55" s="24"/>
      <c r="T55" s="25">
        <f t="shared" si="2"/>
        <v>0</v>
      </c>
    </row>
    <row r="56" spans="1:20" ht="15.75" x14ac:dyDescent="0.25">
      <c r="A56" s="3">
        <f t="shared" si="3"/>
        <v>47</v>
      </c>
      <c r="B56" s="11" t="s">
        <v>63</v>
      </c>
      <c r="C56" s="15" t="s">
        <v>124</v>
      </c>
      <c r="D56" s="2"/>
      <c r="E56" s="22" t="s">
        <v>112</v>
      </c>
      <c r="F56" s="6"/>
      <c r="G56" s="26"/>
      <c r="H56" s="24"/>
      <c r="I56" s="24"/>
      <c r="J56" s="24"/>
      <c r="K56" s="24"/>
      <c r="L56" s="24"/>
      <c r="M56" s="24"/>
      <c r="N56" s="25">
        <f t="shared" si="1"/>
        <v>0</v>
      </c>
      <c r="O56" s="26"/>
      <c r="P56" s="24"/>
      <c r="Q56" s="24"/>
      <c r="R56" s="24"/>
      <c r="S56" s="24"/>
      <c r="T56" s="25">
        <f t="shared" si="2"/>
        <v>0</v>
      </c>
    </row>
    <row r="57" spans="1:20" ht="15.75" x14ac:dyDescent="0.25">
      <c r="A57" s="3">
        <f t="shared" si="3"/>
        <v>48</v>
      </c>
      <c r="B57" s="11" t="s">
        <v>64</v>
      </c>
      <c r="C57" s="15" t="s">
        <v>124</v>
      </c>
      <c r="D57" s="2"/>
      <c r="E57" s="22" t="s">
        <v>107</v>
      </c>
      <c r="F57" s="6"/>
      <c r="G57" s="26">
        <v>9</v>
      </c>
      <c r="H57" s="24"/>
      <c r="I57" s="24"/>
      <c r="J57" s="24"/>
      <c r="K57" s="24"/>
      <c r="L57" s="24"/>
      <c r="M57" s="24"/>
      <c r="N57" s="25">
        <f t="shared" si="1"/>
        <v>0</v>
      </c>
      <c r="O57" s="26">
        <v>3</v>
      </c>
      <c r="P57" s="24">
        <v>1</v>
      </c>
      <c r="Q57" s="24"/>
      <c r="R57" s="24"/>
      <c r="S57" s="24"/>
      <c r="T57" s="25">
        <f t="shared" si="2"/>
        <v>0</v>
      </c>
    </row>
    <row r="58" spans="1:20" ht="15.75" x14ac:dyDescent="0.25">
      <c r="A58" s="3">
        <f t="shared" si="3"/>
        <v>49</v>
      </c>
      <c r="B58" s="13" t="s">
        <v>65</v>
      </c>
      <c r="C58" s="15" t="s">
        <v>124</v>
      </c>
      <c r="D58" s="2"/>
      <c r="E58" s="17" t="s">
        <v>106</v>
      </c>
      <c r="F58" s="6"/>
      <c r="G58" s="26">
        <v>2</v>
      </c>
      <c r="H58" s="24"/>
      <c r="I58" s="24"/>
      <c r="J58" s="24"/>
      <c r="K58" s="24"/>
      <c r="L58" s="24"/>
      <c r="M58" s="24"/>
      <c r="N58" s="25">
        <f t="shared" si="1"/>
        <v>0</v>
      </c>
      <c r="O58" s="26"/>
      <c r="P58" s="24"/>
      <c r="Q58" s="24"/>
      <c r="R58" s="24"/>
      <c r="S58" s="24"/>
      <c r="T58" s="25">
        <f t="shared" si="2"/>
        <v>0</v>
      </c>
    </row>
    <row r="59" spans="1:20" ht="15.75" x14ac:dyDescent="0.25">
      <c r="A59" s="3">
        <f t="shared" si="3"/>
        <v>50</v>
      </c>
      <c r="B59" s="13" t="s">
        <v>66</v>
      </c>
      <c r="C59" s="15" t="s">
        <v>124</v>
      </c>
      <c r="D59" s="2"/>
      <c r="E59" s="17" t="s">
        <v>112</v>
      </c>
      <c r="F59" s="6"/>
      <c r="G59" s="26"/>
      <c r="H59" s="24"/>
      <c r="I59" s="24"/>
      <c r="J59" s="24"/>
      <c r="K59" s="24"/>
      <c r="L59" s="24"/>
      <c r="M59" s="24"/>
      <c r="N59" s="25">
        <f t="shared" si="1"/>
        <v>0</v>
      </c>
      <c r="O59" s="26">
        <v>8</v>
      </c>
      <c r="P59" s="24">
        <v>6</v>
      </c>
      <c r="Q59" s="24"/>
      <c r="R59" s="24"/>
      <c r="S59" s="24"/>
      <c r="T59" s="25">
        <f t="shared" si="2"/>
        <v>0</v>
      </c>
    </row>
    <row r="60" spans="1:20" ht="15.75" x14ac:dyDescent="0.25">
      <c r="A60" s="3">
        <f t="shared" si="3"/>
        <v>51</v>
      </c>
      <c r="B60" s="10" t="s">
        <v>67</v>
      </c>
      <c r="C60" s="15" t="s">
        <v>124</v>
      </c>
      <c r="D60" s="2"/>
      <c r="E60" s="17" t="s">
        <v>106</v>
      </c>
      <c r="F60" s="6"/>
      <c r="G60" s="26">
        <v>2</v>
      </c>
      <c r="H60" s="24"/>
      <c r="I60" s="24"/>
      <c r="J60" s="24"/>
      <c r="K60" s="24"/>
      <c r="L60" s="24"/>
      <c r="M60" s="24"/>
      <c r="N60" s="25">
        <f t="shared" si="1"/>
        <v>0</v>
      </c>
      <c r="O60" s="26"/>
      <c r="P60" s="24"/>
      <c r="Q60" s="24"/>
      <c r="R60" s="24"/>
      <c r="S60" s="24"/>
      <c r="T60" s="25">
        <f t="shared" si="2"/>
        <v>0</v>
      </c>
    </row>
    <row r="61" spans="1:20" ht="15.75" x14ac:dyDescent="0.25">
      <c r="A61" s="3">
        <f t="shared" si="3"/>
        <v>52</v>
      </c>
      <c r="B61" s="10" t="s">
        <v>68</v>
      </c>
      <c r="C61" s="15" t="s">
        <v>124</v>
      </c>
      <c r="D61" s="2"/>
      <c r="E61" s="17" t="s">
        <v>111</v>
      </c>
      <c r="F61" s="6"/>
      <c r="G61" s="26">
        <v>1</v>
      </c>
      <c r="H61" s="24"/>
      <c r="I61" s="24"/>
      <c r="J61" s="24"/>
      <c r="K61" s="24"/>
      <c r="L61" s="24"/>
      <c r="M61" s="24"/>
      <c r="N61" s="25">
        <f t="shared" si="1"/>
        <v>0</v>
      </c>
      <c r="O61" s="26">
        <v>4</v>
      </c>
      <c r="P61" s="24">
        <v>3</v>
      </c>
      <c r="Q61" s="24"/>
      <c r="R61" s="24"/>
      <c r="S61" s="24"/>
      <c r="T61" s="25">
        <f t="shared" si="2"/>
        <v>0</v>
      </c>
    </row>
    <row r="62" spans="1:20" ht="15.75" x14ac:dyDescent="0.25">
      <c r="A62" s="3">
        <f t="shared" si="3"/>
        <v>53</v>
      </c>
      <c r="B62" s="13" t="s">
        <v>69</v>
      </c>
      <c r="C62" s="15" t="s">
        <v>124</v>
      </c>
      <c r="D62" s="2"/>
      <c r="E62" s="17" t="s">
        <v>106</v>
      </c>
      <c r="F62" s="6"/>
      <c r="G62" s="26">
        <v>1</v>
      </c>
      <c r="H62" s="24"/>
      <c r="I62" s="24"/>
      <c r="J62" s="24"/>
      <c r="K62" s="24"/>
      <c r="L62" s="24"/>
      <c r="M62" s="24"/>
      <c r="N62" s="25">
        <f t="shared" si="1"/>
        <v>0</v>
      </c>
      <c r="O62" s="26">
        <v>3</v>
      </c>
      <c r="P62" s="24">
        <v>3</v>
      </c>
      <c r="Q62" s="24"/>
      <c r="R62" s="24"/>
      <c r="S62" s="24"/>
      <c r="T62" s="25">
        <f t="shared" si="2"/>
        <v>0</v>
      </c>
    </row>
    <row r="63" spans="1:20" ht="15.75" x14ac:dyDescent="0.25">
      <c r="A63" s="3">
        <f t="shared" si="3"/>
        <v>54</v>
      </c>
      <c r="B63" s="11" t="s">
        <v>70</v>
      </c>
      <c r="C63" s="15" t="s">
        <v>124</v>
      </c>
      <c r="D63" s="2"/>
      <c r="E63" s="17" t="s">
        <v>107</v>
      </c>
      <c r="F63" s="6"/>
      <c r="G63" s="26">
        <v>7</v>
      </c>
      <c r="H63" s="24"/>
      <c r="I63" s="24"/>
      <c r="J63" s="24"/>
      <c r="K63" s="24"/>
      <c r="L63" s="24"/>
      <c r="M63" s="24"/>
      <c r="N63" s="25">
        <f t="shared" si="1"/>
        <v>0</v>
      </c>
      <c r="O63" s="26">
        <v>3</v>
      </c>
      <c r="P63" s="24">
        <v>1</v>
      </c>
      <c r="Q63" s="24"/>
      <c r="R63" s="24"/>
      <c r="S63" s="24"/>
      <c r="T63" s="25">
        <f t="shared" si="2"/>
        <v>0</v>
      </c>
    </row>
    <row r="64" spans="1:20" ht="15.75" x14ac:dyDescent="0.25">
      <c r="A64" s="3">
        <f t="shared" si="3"/>
        <v>55</v>
      </c>
      <c r="B64" s="11" t="s">
        <v>71</v>
      </c>
      <c r="C64" s="15" t="s">
        <v>124</v>
      </c>
      <c r="D64" s="2"/>
      <c r="E64" s="17" t="s">
        <v>117</v>
      </c>
      <c r="F64" s="6"/>
      <c r="G64" s="26">
        <v>5</v>
      </c>
      <c r="H64" s="24"/>
      <c r="I64" s="24"/>
      <c r="J64" s="24"/>
      <c r="K64" s="24"/>
      <c r="L64" s="24"/>
      <c r="M64" s="24"/>
      <c r="N64" s="25">
        <f t="shared" si="1"/>
        <v>0</v>
      </c>
      <c r="O64" s="26">
        <v>3</v>
      </c>
      <c r="P64" s="24">
        <v>3</v>
      </c>
      <c r="Q64" s="24"/>
      <c r="R64" s="24"/>
      <c r="S64" s="24"/>
      <c r="T64" s="25">
        <f t="shared" si="2"/>
        <v>0</v>
      </c>
    </row>
    <row r="65" spans="1:20" ht="25.5" x14ac:dyDescent="0.25">
      <c r="A65" s="3">
        <f t="shared" si="3"/>
        <v>56</v>
      </c>
      <c r="B65" s="11" t="s">
        <v>72</v>
      </c>
      <c r="C65" s="15" t="s">
        <v>125</v>
      </c>
      <c r="D65" s="38" t="s">
        <v>126</v>
      </c>
      <c r="E65" s="17" t="s">
        <v>106</v>
      </c>
      <c r="F65" s="6"/>
      <c r="G65" s="26">
        <v>1</v>
      </c>
      <c r="H65" s="24"/>
      <c r="I65" s="24"/>
      <c r="J65" s="24"/>
      <c r="K65" s="24"/>
      <c r="L65" s="24"/>
      <c r="M65" s="24"/>
      <c r="N65" s="25">
        <f t="shared" si="1"/>
        <v>0</v>
      </c>
      <c r="O65" s="26"/>
      <c r="P65" s="24"/>
      <c r="Q65" s="24"/>
      <c r="R65" s="24"/>
      <c r="S65" s="24"/>
      <c r="T65" s="25">
        <f t="shared" si="2"/>
        <v>0</v>
      </c>
    </row>
    <row r="66" spans="1:20" ht="15.75" x14ac:dyDescent="0.25">
      <c r="A66" s="3">
        <f t="shared" si="3"/>
        <v>57</v>
      </c>
      <c r="B66" s="10" t="s">
        <v>73</v>
      </c>
      <c r="C66" s="15" t="s">
        <v>124</v>
      </c>
      <c r="D66" s="2"/>
      <c r="E66" s="17" t="s">
        <v>106</v>
      </c>
      <c r="F66" s="6"/>
      <c r="G66" s="26"/>
      <c r="H66" s="24"/>
      <c r="I66" s="24"/>
      <c r="J66" s="24"/>
      <c r="K66" s="24"/>
      <c r="L66" s="24"/>
      <c r="M66" s="24"/>
      <c r="N66" s="25">
        <f t="shared" si="1"/>
        <v>0</v>
      </c>
      <c r="O66" s="26"/>
      <c r="P66" s="24"/>
      <c r="Q66" s="24"/>
      <c r="R66" s="24"/>
      <c r="S66" s="24"/>
      <c r="T66" s="25">
        <f t="shared" si="2"/>
        <v>0</v>
      </c>
    </row>
    <row r="67" spans="1:20" ht="15.75" x14ac:dyDescent="0.25">
      <c r="A67" s="3">
        <f t="shared" si="3"/>
        <v>58</v>
      </c>
      <c r="B67" s="11" t="s">
        <v>74</v>
      </c>
      <c r="C67" s="15" t="s">
        <v>124</v>
      </c>
      <c r="D67" s="2"/>
      <c r="E67" s="17" t="s">
        <v>111</v>
      </c>
      <c r="F67" s="6"/>
      <c r="G67" s="26">
        <v>2</v>
      </c>
      <c r="H67" s="24"/>
      <c r="I67" s="24"/>
      <c r="J67" s="24"/>
      <c r="K67" s="24"/>
      <c r="L67" s="24"/>
      <c r="M67" s="24"/>
      <c r="N67" s="25">
        <f t="shared" si="1"/>
        <v>0</v>
      </c>
      <c r="O67" s="26">
        <v>9</v>
      </c>
      <c r="P67" s="24">
        <v>9</v>
      </c>
      <c r="Q67" s="24"/>
      <c r="R67" s="24"/>
      <c r="S67" s="24"/>
      <c r="T67" s="25">
        <f t="shared" si="2"/>
        <v>0</v>
      </c>
    </row>
    <row r="68" spans="1:20" ht="15.75" x14ac:dyDescent="0.25">
      <c r="A68" s="3">
        <f t="shared" si="3"/>
        <v>59</v>
      </c>
      <c r="B68" s="11" t="s">
        <v>75</v>
      </c>
      <c r="C68" s="15" t="s">
        <v>124</v>
      </c>
      <c r="D68" s="2"/>
      <c r="E68" s="17" t="s">
        <v>118</v>
      </c>
      <c r="F68" s="6"/>
      <c r="G68" s="26">
        <v>2</v>
      </c>
      <c r="H68" s="24"/>
      <c r="I68" s="24"/>
      <c r="J68" s="24"/>
      <c r="K68" s="24"/>
      <c r="L68" s="24"/>
      <c r="M68" s="24"/>
      <c r="N68" s="25">
        <f t="shared" si="1"/>
        <v>0</v>
      </c>
      <c r="O68" s="26">
        <v>3</v>
      </c>
      <c r="P68" s="24">
        <v>3</v>
      </c>
      <c r="Q68" s="24"/>
      <c r="R68" s="24"/>
      <c r="S68" s="24"/>
      <c r="T68" s="25">
        <f t="shared" si="2"/>
        <v>0</v>
      </c>
    </row>
    <row r="69" spans="1:20" ht="15.75" x14ac:dyDescent="0.25">
      <c r="A69" s="3">
        <f t="shared" si="3"/>
        <v>60</v>
      </c>
      <c r="B69" s="10" t="s">
        <v>76</v>
      </c>
      <c r="C69" s="15" t="s">
        <v>124</v>
      </c>
      <c r="D69" s="2"/>
      <c r="E69" s="10" t="s">
        <v>105</v>
      </c>
      <c r="F69" s="6"/>
      <c r="G69" s="26">
        <v>1</v>
      </c>
      <c r="H69" s="24"/>
      <c r="I69" s="24"/>
      <c r="J69" s="24"/>
      <c r="K69" s="24"/>
      <c r="L69" s="24"/>
      <c r="M69" s="24"/>
      <c r="N69" s="25">
        <f t="shared" si="1"/>
        <v>0</v>
      </c>
      <c r="O69" s="26">
        <v>2</v>
      </c>
      <c r="P69" s="24">
        <v>2</v>
      </c>
      <c r="Q69" s="24"/>
      <c r="R69" s="24"/>
      <c r="S69" s="24"/>
      <c r="T69" s="25">
        <f t="shared" si="2"/>
        <v>0</v>
      </c>
    </row>
    <row r="70" spans="1:20" ht="15.75" x14ac:dyDescent="0.25">
      <c r="A70" s="3">
        <f t="shared" si="3"/>
        <v>61</v>
      </c>
      <c r="B70" s="11" t="s">
        <v>77</v>
      </c>
      <c r="C70" s="15" t="s">
        <v>124</v>
      </c>
      <c r="D70" s="2"/>
      <c r="E70" s="10" t="s">
        <v>111</v>
      </c>
      <c r="F70" s="6"/>
      <c r="G70" s="26"/>
      <c r="H70" s="24"/>
      <c r="I70" s="24"/>
      <c r="J70" s="24"/>
      <c r="K70" s="24"/>
      <c r="L70" s="24"/>
      <c r="M70" s="24"/>
      <c r="N70" s="25">
        <f t="shared" si="1"/>
        <v>0</v>
      </c>
      <c r="O70" s="26">
        <v>1</v>
      </c>
      <c r="P70" s="24">
        <v>1</v>
      </c>
      <c r="Q70" s="24"/>
      <c r="R70" s="24"/>
      <c r="S70" s="24"/>
      <c r="T70" s="25">
        <f t="shared" si="2"/>
        <v>0</v>
      </c>
    </row>
    <row r="71" spans="1:20" ht="15.75" x14ac:dyDescent="0.25">
      <c r="A71" s="3">
        <f t="shared" si="3"/>
        <v>62</v>
      </c>
      <c r="B71" s="10" t="s">
        <v>78</v>
      </c>
      <c r="C71" s="15" t="s">
        <v>124</v>
      </c>
      <c r="D71" s="2"/>
      <c r="E71" s="23" t="s">
        <v>119</v>
      </c>
      <c r="F71" s="6"/>
      <c r="G71" s="26"/>
      <c r="H71" s="24"/>
      <c r="I71" s="24"/>
      <c r="J71" s="24"/>
      <c r="K71" s="24"/>
      <c r="L71" s="24"/>
      <c r="M71" s="24"/>
      <c r="N71" s="25">
        <f t="shared" si="1"/>
        <v>0</v>
      </c>
      <c r="O71" s="26"/>
      <c r="P71" s="24"/>
      <c r="Q71" s="24"/>
      <c r="R71" s="24"/>
      <c r="S71" s="24"/>
      <c r="T71" s="25">
        <f t="shared" si="2"/>
        <v>0</v>
      </c>
    </row>
    <row r="72" spans="1:20" ht="15.75" x14ac:dyDescent="0.25">
      <c r="A72" s="3">
        <f t="shared" si="3"/>
        <v>63</v>
      </c>
      <c r="B72" s="11" t="s">
        <v>79</v>
      </c>
      <c r="C72" s="15" t="s">
        <v>124</v>
      </c>
      <c r="D72" s="2"/>
      <c r="E72" s="17" t="s">
        <v>106</v>
      </c>
      <c r="F72" s="6"/>
      <c r="G72" s="26">
        <v>1</v>
      </c>
      <c r="H72" s="24">
        <v>1</v>
      </c>
      <c r="I72" s="24">
        <v>1</v>
      </c>
      <c r="J72" s="24">
        <v>1</v>
      </c>
      <c r="K72" s="24"/>
      <c r="L72" s="24"/>
      <c r="M72" s="24"/>
      <c r="N72" s="25">
        <f t="shared" si="1"/>
        <v>0</v>
      </c>
      <c r="O72" s="26">
        <v>1</v>
      </c>
      <c r="P72" s="24">
        <v>1</v>
      </c>
      <c r="Q72" s="24"/>
      <c r="R72" s="24"/>
      <c r="S72" s="24"/>
      <c r="T72" s="25">
        <f t="shared" si="2"/>
        <v>0</v>
      </c>
    </row>
    <row r="73" spans="1:20" ht="15.75" x14ac:dyDescent="0.25">
      <c r="A73" s="3">
        <f t="shared" si="3"/>
        <v>64</v>
      </c>
      <c r="B73" s="11" t="s">
        <v>80</v>
      </c>
      <c r="C73" s="15" t="s">
        <v>124</v>
      </c>
      <c r="D73" s="2"/>
      <c r="E73" s="17" t="s">
        <v>106</v>
      </c>
      <c r="F73" s="6"/>
      <c r="G73" s="26">
        <v>1</v>
      </c>
      <c r="H73" s="24"/>
      <c r="I73" s="24"/>
      <c r="J73" s="24"/>
      <c r="K73" s="24"/>
      <c r="L73" s="24"/>
      <c r="M73" s="24"/>
      <c r="N73" s="25">
        <f t="shared" si="1"/>
        <v>0</v>
      </c>
      <c r="O73" s="26"/>
      <c r="P73" s="24"/>
      <c r="Q73" s="24"/>
      <c r="R73" s="24"/>
      <c r="S73" s="24"/>
      <c r="T73" s="25">
        <f t="shared" si="2"/>
        <v>0</v>
      </c>
    </row>
    <row r="74" spans="1:20" ht="15.75" x14ac:dyDescent="0.25">
      <c r="A74" s="3">
        <f t="shared" si="3"/>
        <v>65</v>
      </c>
      <c r="B74" s="14" t="s">
        <v>81</v>
      </c>
      <c r="C74" s="15" t="s">
        <v>124</v>
      </c>
      <c r="D74" s="2"/>
      <c r="E74" s="10" t="s">
        <v>106</v>
      </c>
      <c r="F74" s="6"/>
      <c r="G74" s="26"/>
      <c r="H74" s="24"/>
      <c r="I74" s="24"/>
      <c r="J74" s="24"/>
      <c r="K74" s="24"/>
      <c r="L74" s="24"/>
      <c r="M74" s="24"/>
      <c r="N74" s="25">
        <f t="shared" si="1"/>
        <v>0</v>
      </c>
      <c r="O74" s="26">
        <v>4</v>
      </c>
      <c r="P74" s="24">
        <v>4</v>
      </c>
      <c r="Q74" s="24"/>
      <c r="R74" s="24"/>
      <c r="S74" s="24"/>
      <c r="T74" s="25">
        <f t="shared" si="2"/>
        <v>0</v>
      </c>
    </row>
    <row r="75" spans="1:20" ht="15.75" x14ac:dyDescent="0.25">
      <c r="A75" s="3">
        <f t="shared" si="3"/>
        <v>66</v>
      </c>
      <c r="B75" s="14" t="s">
        <v>82</v>
      </c>
      <c r="C75" s="15" t="s">
        <v>124</v>
      </c>
      <c r="D75" s="2"/>
      <c r="E75" s="10" t="s">
        <v>106</v>
      </c>
      <c r="F75" s="6"/>
      <c r="G75" s="26">
        <v>1</v>
      </c>
      <c r="H75" s="24"/>
      <c r="I75" s="24"/>
      <c r="J75" s="24"/>
      <c r="K75" s="24"/>
      <c r="L75" s="24"/>
      <c r="M75" s="24"/>
      <c r="N75" s="25">
        <f t="shared" si="1"/>
        <v>0</v>
      </c>
      <c r="O75" s="26"/>
      <c r="P75" s="24"/>
      <c r="Q75" s="24"/>
      <c r="R75" s="24"/>
      <c r="S75" s="24"/>
      <c r="T75" s="25">
        <f t="shared" si="2"/>
        <v>0</v>
      </c>
    </row>
    <row r="76" spans="1:20" ht="15.75" x14ac:dyDescent="0.25">
      <c r="A76" s="3">
        <f t="shared" ref="A76:A98" si="4">A75+1</f>
        <v>67</v>
      </c>
      <c r="B76" s="14" t="s">
        <v>83</v>
      </c>
      <c r="C76" s="15" t="s">
        <v>124</v>
      </c>
      <c r="D76" s="2"/>
      <c r="E76" s="10" t="s">
        <v>106</v>
      </c>
      <c r="F76" s="6"/>
      <c r="G76" s="26">
        <v>2</v>
      </c>
      <c r="H76" s="24">
        <v>1</v>
      </c>
      <c r="I76" s="24">
        <v>1</v>
      </c>
      <c r="J76" s="24">
        <v>1</v>
      </c>
      <c r="K76" s="24"/>
      <c r="L76" s="24"/>
      <c r="M76" s="24"/>
      <c r="N76" s="25">
        <f t="shared" ref="N76:N98" si="5" xml:space="preserve"> (L76-M76)</f>
        <v>0</v>
      </c>
      <c r="O76" s="26">
        <v>5</v>
      </c>
      <c r="P76" s="24">
        <v>5</v>
      </c>
      <c r="Q76" s="24"/>
      <c r="R76" s="24"/>
      <c r="S76" s="24"/>
      <c r="T76" s="25">
        <f t="shared" ref="T76:T98" si="6" xml:space="preserve"> (R76-S76)</f>
        <v>0</v>
      </c>
    </row>
    <row r="77" spans="1:20" ht="15.75" x14ac:dyDescent="0.25">
      <c r="A77" s="3">
        <f t="shared" si="4"/>
        <v>68</v>
      </c>
      <c r="B77" s="11" t="s">
        <v>84</v>
      </c>
      <c r="C77" s="15" t="s">
        <v>124</v>
      </c>
      <c r="D77" s="2"/>
      <c r="E77" s="10" t="s">
        <v>120</v>
      </c>
      <c r="F77" s="6"/>
      <c r="G77" s="26"/>
      <c r="H77" s="24"/>
      <c r="I77" s="24"/>
      <c r="J77" s="24"/>
      <c r="K77" s="24"/>
      <c r="L77" s="24"/>
      <c r="M77" s="24"/>
      <c r="N77" s="25">
        <f t="shared" si="5"/>
        <v>0</v>
      </c>
      <c r="O77" s="26"/>
      <c r="P77" s="24"/>
      <c r="Q77" s="24"/>
      <c r="R77" s="24"/>
      <c r="S77" s="24"/>
      <c r="T77" s="25">
        <f t="shared" si="6"/>
        <v>0</v>
      </c>
    </row>
    <row r="78" spans="1:20" ht="15.75" x14ac:dyDescent="0.25">
      <c r="A78" s="3">
        <f t="shared" si="4"/>
        <v>69</v>
      </c>
      <c r="B78" s="13" t="s">
        <v>85</v>
      </c>
      <c r="C78" s="15" t="s">
        <v>124</v>
      </c>
      <c r="D78" s="2"/>
      <c r="E78" s="19" t="s">
        <v>106</v>
      </c>
      <c r="F78" s="6"/>
      <c r="G78" s="26">
        <v>3</v>
      </c>
      <c r="H78" s="24"/>
      <c r="I78" s="24"/>
      <c r="J78" s="24"/>
      <c r="K78" s="24"/>
      <c r="L78" s="24"/>
      <c r="M78" s="24"/>
      <c r="N78" s="25">
        <f t="shared" si="5"/>
        <v>0</v>
      </c>
      <c r="O78" s="26"/>
      <c r="P78" s="24"/>
      <c r="Q78" s="24"/>
      <c r="R78" s="24"/>
      <c r="S78" s="24"/>
      <c r="T78" s="25">
        <f t="shared" si="6"/>
        <v>0</v>
      </c>
    </row>
    <row r="79" spans="1:20" ht="15.75" x14ac:dyDescent="0.25">
      <c r="A79" s="3">
        <f t="shared" si="4"/>
        <v>70</v>
      </c>
      <c r="B79" s="10" t="s">
        <v>86</v>
      </c>
      <c r="C79" s="15" t="s">
        <v>124</v>
      </c>
      <c r="D79" s="2"/>
      <c r="E79" s="22" t="s">
        <v>118</v>
      </c>
      <c r="F79" s="6"/>
      <c r="G79" s="26">
        <v>4</v>
      </c>
      <c r="H79" s="24"/>
      <c r="I79" s="24"/>
      <c r="J79" s="24"/>
      <c r="K79" s="24"/>
      <c r="L79" s="24"/>
      <c r="M79" s="24"/>
      <c r="N79" s="25">
        <f t="shared" si="5"/>
        <v>0</v>
      </c>
      <c r="O79" s="26"/>
      <c r="P79" s="24"/>
      <c r="Q79" s="24"/>
      <c r="R79" s="24"/>
      <c r="S79" s="24"/>
      <c r="T79" s="25">
        <f t="shared" si="6"/>
        <v>0</v>
      </c>
    </row>
    <row r="80" spans="1:20" ht="15.75" x14ac:dyDescent="0.25">
      <c r="A80" s="3">
        <f t="shared" si="4"/>
        <v>71</v>
      </c>
      <c r="B80" s="10" t="s">
        <v>87</v>
      </c>
      <c r="C80" s="15" t="s">
        <v>124</v>
      </c>
      <c r="D80" s="2"/>
      <c r="E80" s="22" t="s">
        <v>115</v>
      </c>
      <c r="F80" s="6"/>
      <c r="G80" s="26">
        <v>1</v>
      </c>
      <c r="H80" s="24"/>
      <c r="I80" s="24"/>
      <c r="J80" s="24"/>
      <c r="K80" s="24"/>
      <c r="L80" s="24"/>
      <c r="M80" s="24"/>
      <c r="N80" s="25">
        <f t="shared" si="5"/>
        <v>0</v>
      </c>
      <c r="O80" s="26"/>
      <c r="P80" s="24"/>
      <c r="Q80" s="24"/>
      <c r="R80" s="24"/>
      <c r="S80" s="24"/>
      <c r="T80" s="25">
        <f t="shared" si="6"/>
        <v>0</v>
      </c>
    </row>
    <row r="81" spans="1:20" ht="15.75" x14ac:dyDescent="0.25">
      <c r="A81" s="3">
        <f t="shared" si="4"/>
        <v>72</v>
      </c>
      <c r="B81" s="11" t="s">
        <v>88</v>
      </c>
      <c r="C81" s="15" t="s">
        <v>124</v>
      </c>
      <c r="D81" s="2"/>
      <c r="E81" s="17" t="s">
        <v>121</v>
      </c>
      <c r="F81" s="6"/>
      <c r="G81" s="26">
        <v>5</v>
      </c>
      <c r="H81" s="24"/>
      <c r="I81" s="24"/>
      <c r="J81" s="24"/>
      <c r="K81" s="24"/>
      <c r="L81" s="24"/>
      <c r="M81" s="24"/>
      <c r="N81" s="25">
        <f t="shared" si="5"/>
        <v>0</v>
      </c>
      <c r="O81" s="26">
        <v>4</v>
      </c>
      <c r="P81" s="24"/>
      <c r="Q81" s="24"/>
      <c r="R81" s="24"/>
      <c r="S81" s="24"/>
      <c r="T81" s="25">
        <f t="shared" si="6"/>
        <v>0</v>
      </c>
    </row>
    <row r="82" spans="1:20" ht="15.75" x14ac:dyDescent="0.25">
      <c r="A82" s="3">
        <f t="shared" si="4"/>
        <v>73</v>
      </c>
      <c r="B82" s="14" t="s">
        <v>89</v>
      </c>
      <c r="C82" s="15" t="s">
        <v>124</v>
      </c>
      <c r="D82" s="2"/>
      <c r="E82" s="19" t="s">
        <v>106</v>
      </c>
      <c r="F82" s="6"/>
      <c r="G82" s="26"/>
      <c r="H82" s="24"/>
      <c r="I82" s="24"/>
      <c r="J82" s="24"/>
      <c r="K82" s="24"/>
      <c r="L82" s="24"/>
      <c r="M82" s="24"/>
      <c r="N82" s="25">
        <f t="shared" si="5"/>
        <v>0</v>
      </c>
      <c r="O82" s="26"/>
      <c r="P82" s="24"/>
      <c r="Q82" s="24"/>
      <c r="R82" s="24"/>
      <c r="S82" s="24"/>
      <c r="T82" s="25">
        <f t="shared" si="6"/>
        <v>0</v>
      </c>
    </row>
    <row r="83" spans="1:20" ht="15.75" x14ac:dyDescent="0.25">
      <c r="A83" s="3">
        <f t="shared" si="4"/>
        <v>74</v>
      </c>
      <c r="B83" s="14" t="s">
        <v>90</v>
      </c>
      <c r="C83" s="15" t="s">
        <v>124</v>
      </c>
      <c r="D83" s="2"/>
      <c r="E83" s="19" t="s">
        <v>106</v>
      </c>
      <c r="F83" s="6"/>
      <c r="G83" s="26"/>
      <c r="H83" s="24"/>
      <c r="I83" s="24"/>
      <c r="J83" s="24"/>
      <c r="K83" s="24"/>
      <c r="L83" s="24"/>
      <c r="M83" s="24"/>
      <c r="N83" s="25">
        <f t="shared" si="5"/>
        <v>0</v>
      </c>
      <c r="O83" s="26"/>
      <c r="P83" s="24"/>
      <c r="Q83" s="24"/>
      <c r="R83" s="24"/>
      <c r="S83" s="24"/>
      <c r="T83" s="25">
        <f t="shared" si="6"/>
        <v>0</v>
      </c>
    </row>
    <row r="84" spans="1:20" ht="15.75" x14ac:dyDescent="0.25">
      <c r="A84" s="3">
        <f t="shared" si="4"/>
        <v>75</v>
      </c>
      <c r="B84" s="10" t="s">
        <v>91</v>
      </c>
      <c r="C84" s="15" t="s">
        <v>124</v>
      </c>
      <c r="D84" s="2"/>
      <c r="E84" s="17" t="s">
        <v>111</v>
      </c>
      <c r="F84" s="6"/>
      <c r="G84" s="26">
        <v>1</v>
      </c>
      <c r="H84" s="24"/>
      <c r="I84" s="24"/>
      <c r="J84" s="24"/>
      <c r="K84" s="24"/>
      <c r="L84" s="24"/>
      <c r="M84" s="24"/>
      <c r="N84" s="25">
        <f t="shared" si="5"/>
        <v>0</v>
      </c>
      <c r="O84" s="26">
        <v>4</v>
      </c>
      <c r="P84" s="24">
        <v>3</v>
      </c>
      <c r="Q84" s="24"/>
      <c r="R84" s="24"/>
      <c r="S84" s="24"/>
      <c r="T84" s="25">
        <f t="shared" si="6"/>
        <v>0</v>
      </c>
    </row>
    <row r="85" spans="1:20" ht="15.75" x14ac:dyDescent="0.25">
      <c r="A85" s="3">
        <f t="shared" si="4"/>
        <v>76</v>
      </c>
      <c r="B85" s="10" t="s">
        <v>92</v>
      </c>
      <c r="C85" s="15" t="s">
        <v>124</v>
      </c>
      <c r="D85" s="2"/>
      <c r="E85" s="19" t="s">
        <v>106</v>
      </c>
      <c r="F85" s="6"/>
      <c r="G85" s="26">
        <v>1</v>
      </c>
      <c r="H85" s="24"/>
      <c r="I85" s="24"/>
      <c r="J85" s="24"/>
      <c r="K85" s="24"/>
      <c r="L85" s="24"/>
      <c r="M85" s="24"/>
      <c r="N85" s="25">
        <f t="shared" si="5"/>
        <v>0</v>
      </c>
      <c r="O85" s="26">
        <v>1</v>
      </c>
      <c r="P85" s="24">
        <v>1</v>
      </c>
      <c r="Q85" s="24"/>
      <c r="R85" s="24"/>
      <c r="S85" s="24"/>
      <c r="T85" s="25">
        <f t="shared" si="6"/>
        <v>0</v>
      </c>
    </row>
    <row r="86" spans="1:20" ht="15.75" x14ac:dyDescent="0.25">
      <c r="A86" s="3">
        <f t="shared" si="4"/>
        <v>77</v>
      </c>
      <c r="B86" s="11" t="s">
        <v>93</v>
      </c>
      <c r="C86" s="15" t="s">
        <v>124</v>
      </c>
      <c r="D86" s="2"/>
      <c r="E86" s="17" t="s">
        <v>122</v>
      </c>
      <c r="F86" s="6"/>
      <c r="G86" s="26">
        <v>1</v>
      </c>
      <c r="H86" s="24"/>
      <c r="I86" s="24"/>
      <c r="J86" s="24"/>
      <c r="K86" s="24"/>
      <c r="L86" s="24"/>
      <c r="M86" s="24"/>
      <c r="N86" s="25">
        <f t="shared" si="5"/>
        <v>0</v>
      </c>
      <c r="O86" s="26"/>
      <c r="P86" s="24"/>
      <c r="Q86" s="24"/>
      <c r="R86" s="24"/>
      <c r="S86" s="24"/>
      <c r="T86" s="25">
        <f t="shared" si="6"/>
        <v>0</v>
      </c>
    </row>
    <row r="87" spans="1:20" ht="15.75" x14ac:dyDescent="0.25">
      <c r="A87" s="3">
        <f t="shared" si="4"/>
        <v>78</v>
      </c>
      <c r="B87" s="11" t="s">
        <v>94</v>
      </c>
      <c r="C87" s="15" t="s">
        <v>124</v>
      </c>
      <c r="D87" s="2"/>
      <c r="E87" s="19" t="s">
        <v>106</v>
      </c>
      <c r="F87" s="6"/>
      <c r="G87" s="26">
        <v>1</v>
      </c>
      <c r="H87" s="24"/>
      <c r="I87" s="24"/>
      <c r="J87" s="24"/>
      <c r="K87" s="24"/>
      <c r="L87" s="24"/>
      <c r="M87" s="24"/>
      <c r="N87" s="25">
        <f t="shared" si="5"/>
        <v>0</v>
      </c>
      <c r="O87" s="26"/>
      <c r="P87" s="24"/>
      <c r="Q87" s="24"/>
      <c r="R87" s="24"/>
      <c r="S87" s="24"/>
      <c r="T87" s="25">
        <f t="shared" si="6"/>
        <v>0</v>
      </c>
    </row>
    <row r="88" spans="1:20" ht="15.75" x14ac:dyDescent="0.25">
      <c r="A88" s="3">
        <f t="shared" si="4"/>
        <v>79</v>
      </c>
      <c r="B88" s="11" t="s">
        <v>95</v>
      </c>
      <c r="C88" s="15" t="s">
        <v>124</v>
      </c>
      <c r="D88" s="2"/>
      <c r="E88" s="19" t="s">
        <v>123</v>
      </c>
      <c r="F88" s="6"/>
      <c r="G88" s="26">
        <v>2</v>
      </c>
      <c r="H88" s="24"/>
      <c r="I88" s="24"/>
      <c r="J88" s="24"/>
      <c r="K88" s="24"/>
      <c r="L88" s="24"/>
      <c r="M88" s="24"/>
      <c r="N88" s="25">
        <f t="shared" si="5"/>
        <v>0</v>
      </c>
      <c r="O88" s="26">
        <v>1</v>
      </c>
      <c r="P88" s="24">
        <v>1</v>
      </c>
      <c r="Q88" s="24"/>
      <c r="R88" s="24"/>
      <c r="S88" s="24"/>
      <c r="T88" s="25">
        <f t="shared" si="6"/>
        <v>0</v>
      </c>
    </row>
    <row r="89" spans="1:20" ht="15.75" x14ac:dyDescent="0.25">
      <c r="A89" s="3">
        <f t="shared" si="4"/>
        <v>80</v>
      </c>
      <c r="B89" s="11" t="s">
        <v>96</v>
      </c>
      <c r="C89" s="15" t="s">
        <v>124</v>
      </c>
      <c r="D89" s="2"/>
      <c r="E89" s="22" t="s">
        <v>112</v>
      </c>
      <c r="F89" s="6"/>
      <c r="G89" s="26">
        <v>7</v>
      </c>
      <c r="H89" s="24"/>
      <c r="I89" s="24"/>
      <c r="J89" s="24"/>
      <c r="K89" s="24"/>
      <c r="L89" s="24"/>
      <c r="M89" s="24"/>
      <c r="N89" s="25">
        <f t="shared" si="5"/>
        <v>0</v>
      </c>
      <c r="O89" s="26">
        <v>3</v>
      </c>
      <c r="P89" s="24"/>
      <c r="Q89" s="24"/>
      <c r="R89" s="24"/>
      <c r="S89" s="24"/>
      <c r="T89" s="25">
        <f t="shared" si="6"/>
        <v>0</v>
      </c>
    </row>
    <row r="90" spans="1:20" ht="15.75" x14ac:dyDescent="0.25">
      <c r="A90" s="3">
        <f t="shared" si="4"/>
        <v>81</v>
      </c>
      <c r="B90" s="11" t="s">
        <v>97</v>
      </c>
      <c r="C90" s="15" t="s">
        <v>124</v>
      </c>
      <c r="D90" s="2"/>
      <c r="E90" s="17" t="s">
        <v>111</v>
      </c>
      <c r="F90" s="6"/>
      <c r="G90" s="26">
        <v>3</v>
      </c>
      <c r="H90" s="24"/>
      <c r="I90" s="24"/>
      <c r="J90" s="24"/>
      <c r="K90" s="24"/>
      <c r="L90" s="24"/>
      <c r="M90" s="24"/>
      <c r="N90" s="25">
        <f t="shared" si="5"/>
        <v>0</v>
      </c>
      <c r="O90" s="26">
        <v>11</v>
      </c>
      <c r="P90" s="24">
        <v>7</v>
      </c>
      <c r="Q90" s="24"/>
      <c r="R90" s="24"/>
      <c r="S90" s="24"/>
      <c r="T90" s="25">
        <f t="shared" si="6"/>
        <v>0</v>
      </c>
    </row>
    <row r="91" spans="1:20" ht="15.75" x14ac:dyDescent="0.25">
      <c r="A91" s="3">
        <f t="shared" si="4"/>
        <v>82</v>
      </c>
      <c r="B91" s="10" t="s">
        <v>98</v>
      </c>
      <c r="C91" s="15" t="s">
        <v>124</v>
      </c>
      <c r="D91" s="2"/>
      <c r="E91" s="19" t="s">
        <v>106</v>
      </c>
      <c r="F91" s="6"/>
      <c r="G91" s="26">
        <v>5</v>
      </c>
      <c r="H91" s="24"/>
      <c r="I91" s="24"/>
      <c r="J91" s="24"/>
      <c r="K91" s="24"/>
      <c r="L91" s="24"/>
      <c r="M91" s="24"/>
      <c r="N91" s="25">
        <f t="shared" si="5"/>
        <v>0</v>
      </c>
      <c r="O91" s="26">
        <v>1</v>
      </c>
      <c r="P91" s="24">
        <v>1</v>
      </c>
      <c r="Q91" s="24"/>
      <c r="R91" s="24"/>
      <c r="S91" s="24"/>
      <c r="T91" s="25">
        <f t="shared" si="6"/>
        <v>0</v>
      </c>
    </row>
    <row r="92" spans="1:20" ht="15.75" x14ac:dyDescent="0.25">
      <c r="A92" s="3">
        <f t="shared" si="4"/>
        <v>83</v>
      </c>
      <c r="B92" s="10" t="s">
        <v>129</v>
      </c>
      <c r="C92" s="15" t="s">
        <v>124</v>
      </c>
      <c r="D92" s="2"/>
      <c r="E92" s="19" t="s">
        <v>106</v>
      </c>
      <c r="F92" s="6"/>
      <c r="G92" s="26">
        <v>1</v>
      </c>
      <c r="H92" s="24"/>
      <c r="I92" s="24"/>
      <c r="J92" s="24"/>
      <c r="K92" s="24"/>
      <c r="L92" s="24"/>
      <c r="M92" s="24"/>
      <c r="N92" s="25">
        <f t="shared" si="5"/>
        <v>0</v>
      </c>
      <c r="O92" s="26"/>
      <c r="P92" s="24"/>
      <c r="Q92" s="24"/>
      <c r="R92" s="24"/>
      <c r="S92" s="24"/>
      <c r="T92" s="25">
        <f t="shared" si="6"/>
        <v>0</v>
      </c>
    </row>
    <row r="93" spans="1:20" ht="15.75" x14ac:dyDescent="0.25">
      <c r="A93" s="3">
        <f t="shared" si="4"/>
        <v>84</v>
      </c>
      <c r="B93" s="10" t="s">
        <v>99</v>
      </c>
      <c r="C93" s="15" t="s">
        <v>124</v>
      </c>
      <c r="D93" s="2"/>
      <c r="E93" s="19" t="s">
        <v>106</v>
      </c>
      <c r="F93" s="6"/>
      <c r="G93" s="26">
        <v>3</v>
      </c>
      <c r="H93" s="24">
        <v>1</v>
      </c>
      <c r="I93" s="24">
        <v>1</v>
      </c>
      <c r="J93" s="24">
        <v>1</v>
      </c>
      <c r="K93" s="24"/>
      <c r="L93" s="24"/>
      <c r="M93" s="24"/>
      <c r="N93" s="25">
        <f t="shared" si="5"/>
        <v>0</v>
      </c>
      <c r="O93" s="26">
        <v>2</v>
      </c>
      <c r="P93" s="24">
        <v>2</v>
      </c>
      <c r="Q93" s="24"/>
      <c r="R93" s="24"/>
      <c r="S93" s="24"/>
      <c r="T93" s="25">
        <f t="shared" si="6"/>
        <v>0</v>
      </c>
    </row>
    <row r="94" spans="1:20" ht="15.75" x14ac:dyDescent="0.25">
      <c r="A94" s="3">
        <f t="shared" si="4"/>
        <v>85</v>
      </c>
      <c r="B94" s="13" t="s">
        <v>100</v>
      </c>
      <c r="C94" s="15" t="s">
        <v>124</v>
      </c>
      <c r="D94" s="2"/>
      <c r="E94" s="19" t="s">
        <v>106</v>
      </c>
      <c r="F94" s="6"/>
      <c r="G94" s="26">
        <v>2</v>
      </c>
      <c r="H94" s="24"/>
      <c r="I94" s="24"/>
      <c r="J94" s="24"/>
      <c r="K94" s="24"/>
      <c r="L94" s="24"/>
      <c r="M94" s="24"/>
      <c r="N94" s="25">
        <f t="shared" si="5"/>
        <v>0</v>
      </c>
      <c r="O94" s="26"/>
      <c r="P94" s="24"/>
      <c r="Q94" s="24"/>
      <c r="R94" s="24"/>
      <c r="S94" s="24"/>
      <c r="T94" s="25">
        <f t="shared" si="6"/>
        <v>0</v>
      </c>
    </row>
    <row r="95" spans="1:20" ht="15.75" x14ac:dyDescent="0.25">
      <c r="A95" s="3">
        <f t="shared" si="4"/>
        <v>86</v>
      </c>
      <c r="B95" s="13" t="s">
        <v>101</v>
      </c>
      <c r="C95" s="15" t="s">
        <v>124</v>
      </c>
      <c r="D95" s="2"/>
      <c r="E95" s="17" t="s">
        <v>106</v>
      </c>
      <c r="F95" s="6"/>
      <c r="G95" s="26">
        <v>1</v>
      </c>
      <c r="H95" s="24"/>
      <c r="I95" s="24"/>
      <c r="J95" s="24"/>
      <c r="K95" s="24"/>
      <c r="L95" s="24"/>
      <c r="M95" s="24"/>
      <c r="N95" s="25">
        <f t="shared" si="5"/>
        <v>0</v>
      </c>
      <c r="O95" s="26"/>
      <c r="P95" s="24"/>
      <c r="Q95" s="24"/>
      <c r="R95" s="24"/>
      <c r="S95" s="24"/>
      <c r="T95" s="25">
        <f t="shared" si="6"/>
        <v>0</v>
      </c>
    </row>
    <row r="96" spans="1:20" ht="15.75" x14ac:dyDescent="0.25">
      <c r="A96" s="3">
        <f t="shared" si="4"/>
        <v>87</v>
      </c>
      <c r="B96" s="13" t="s">
        <v>102</v>
      </c>
      <c r="C96" s="15" t="s">
        <v>124</v>
      </c>
      <c r="D96" s="2"/>
      <c r="E96" s="17" t="s">
        <v>106</v>
      </c>
      <c r="F96" s="6"/>
      <c r="G96" s="26">
        <v>4</v>
      </c>
      <c r="H96" s="24"/>
      <c r="I96" s="24"/>
      <c r="J96" s="24"/>
      <c r="K96" s="24"/>
      <c r="L96" s="24"/>
      <c r="M96" s="24"/>
      <c r="N96" s="25">
        <f t="shared" si="5"/>
        <v>0</v>
      </c>
      <c r="O96" s="26">
        <v>4</v>
      </c>
      <c r="P96" s="24">
        <v>4</v>
      </c>
      <c r="Q96" s="24"/>
      <c r="R96" s="24"/>
      <c r="S96" s="24"/>
      <c r="T96" s="25">
        <f t="shared" si="6"/>
        <v>0</v>
      </c>
    </row>
    <row r="97" spans="1:20" ht="15.75" x14ac:dyDescent="0.25">
      <c r="A97" s="3">
        <f t="shared" si="4"/>
        <v>88</v>
      </c>
      <c r="B97" s="11" t="s">
        <v>103</v>
      </c>
      <c r="C97" s="15" t="s">
        <v>124</v>
      </c>
      <c r="D97" s="2"/>
      <c r="E97" s="22" t="s">
        <v>112</v>
      </c>
      <c r="F97" s="6"/>
      <c r="G97" s="26">
        <v>4</v>
      </c>
      <c r="H97" s="24"/>
      <c r="I97" s="24"/>
      <c r="J97" s="24"/>
      <c r="K97" s="24"/>
      <c r="L97" s="24"/>
      <c r="M97" s="24"/>
      <c r="N97" s="25">
        <f t="shared" si="5"/>
        <v>0</v>
      </c>
      <c r="O97" s="26">
        <v>6</v>
      </c>
      <c r="P97" s="24"/>
      <c r="Q97" s="24"/>
      <c r="R97" s="24"/>
      <c r="S97" s="24"/>
      <c r="T97" s="25">
        <f t="shared" si="6"/>
        <v>0</v>
      </c>
    </row>
    <row r="98" spans="1:20" ht="16.5" thickBot="1" x14ac:dyDescent="0.3">
      <c r="A98" s="3">
        <f t="shared" si="4"/>
        <v>89</v>
      </c>
      <c r="B98" s="30" t="s">
        <v>104</v>
      </c>
      <c r="C98" s="31" t="s">
        <v>124</v>
      </c>
      <c r="D98" s="32"/>
      <c r="E98" s="33" t="s">
        <v>106</v>
      </c>
      <c r="F98" s="34"/>
      <c r="G98" s="35">
        <v>2</v>
      </c>
      <c r="H98" s="36"/>
      <c r="I98" s="36"/>
      <c r="J98" s="36"/>
      <c r="K98" s="36"/>
      <c r="L98" s="36"/>
      <c r="M98" s="36"/>
      <c r="N98" s="37">
        <f t="shared" si="5"/>
        <v>0</v>
      </c>
      <c r="O98" s="35"/>
      <c r="P98" s="36"/>
      <c r="Q98" s="36"/>
      <c r="R98" s="36"/>
      <c r="S98" s="36"/>
      <c r="T98" s="37">
        <f t="shared" si="6"/>
        <v>0</v>
      </c>
    </row>
    <row r="99" spans="1:20" x14ac:dyDescent="0.25">
      <c r="A99" s="294"/>
      <c r="B99" s="294"/>
      <c r="C99" s="294"/>
      <c r="D99" s="294"/>
      <c r="E99" s="294"/>
      <c r="F99" s="294"/>
      <c r="G99" s="27">
        <f>SUM(G10:G98)</f>
        <v>185</v>
      </c>
      <c r="H99" s="27">
        <f>SUM(H18:H98)</f>
        <v>11</v>
      </c>
      <c r="I99" s="27">
        <f>SUM(I18:I98)</f>
        <v>12</v>
      </c>
      <c r="J99" s="27">
        <f>SUM(J18:J98)</f>
        <v>7</v>
      </c>
      <c r="K99" s="27"/>
      <c r="L99" s="27"/>
      <c r="M99" s="27"/>
      <c r="N99" s="27"/>
      <c r="O99" s="27">
        <f>SUM(O11:O98)</f>
        <v>191</v>
      </c>
      <c r="P99" s="27">
        <f>SUM(P11:P98)</f>
        <v>145</v>
      </c>
      <c r="Q99" s="27">
        <f>SUM(Q11:Q98)</f>
        <v>1</v>
      </c>
      <c r="R99" s="27"/>
      <c r="S99" s="28"/>
      <c r="T99" s="28"/>
    </row>
  </sheetData>
  <mergeCells count="8">
    <mergeCell ref="A99:F99"/>
    <mergeCell ref="A1:Q1"/>
    <mergeCell ref="R1:T1"/>
    <mergeCell ref="A2:T6"/>
    <mergeCell ref="A7:A8"/>
    <mergeCell ref="B7:F7"/>
    <mergeCell ref="G7:N7"/>
    <mergeCell ref="O7:T7"/>
  </mergeCells>
  <phoneticPr fontId="0" type="noConversion"/>
  <conditionalFormatting sqref="R44">
    <cfRule type="cellIs" dxfId="448" priority="2" stopIfTrue="1" operator="equal">
      <formula>0</formula>
    </cfRule>
  </conditionalFormatting>
  <conditionalFormatting sqref="S44">
    <cfRule type="cellIs" dxfId="44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5"/>
  <sheetViews>
    <sheetView topLeftCell="B81" zoomScale="80" zoomScaleNormal="80" workbookViewId="0">
      <selection activeCell="V105" sqref="V105:AH106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5.140625" style="184" customWidth="1"/>
    <col min="7" max="7" width="18.5703125" style="184" customWidth="1"/>
    <col min="8" max="8" width="10.7109375" style="184" customWidth="1"/>
    <col min="9" max="10" width="9.140625" style="184" customWidth="1"/>
    <col min="11" max="12" width="9.140625" style="227" customWidth="1"/>
    <col min="13" max="13" width="14.5703125" style="228" customWidth="1"/>
    <col min="14" max="14" width="12.42578125" style="228" customWidth="1"/>
    <col min="15" max="15" width="12.28515625" style="228" customWidth="1"/>
    <col min="16" max="18" width="9.140625" style="228" customWidth="1"/>
    <col min="19" max="19" width="16.85546875" style="185" customWidth="1"/>
    <col min="20" max="20" width="12.7109375" style="185" customWidth="1"/>
    <col min="21" max="21" width="10.85546875" style="186" customWidth="1"/>
    <col min="22" max="22" width="15" style="134" customWidth="1"/>
    <col min="23" max="23" width="14" style="134" hidden="1" customWidth="1"/>
    <col min="24" max="24" width="9.140625" style="134" hidden="1" customWidth="1"/>
    <col min="25" max="25" width="9.5703125" style="134" hidden="1" customWidth="1"/>
    <col min="26" max="26" width="9.140625" style="134" hidden="1" customWidth="1"/>
    <col min="27" max="27" width="9.5703125" style="134" hidden="1" customWidth="1"/>
    <col min="28" max="30" width="9.140625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3" style="134" customWidth="1"/>
    <col min="35" max="42" width="9.140625" style="134" customWidth="1"/>
  </cols>
  <sheetData>
    <row r="1" spans="1:40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</row>
    <row r="2" spans="1:40" x14ac:dyDescent="0.25">
      <c r="B2" s="348" t="s">
        <v>312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</row>
    <row r="3" spans="1:40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</row>
    <row r="4" spans="1:40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</row>
    <row r="5" spans="1:40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</row>
    <row r="6" spans="1:40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</row>
    <row r="7" spans="1:40" ht="82.5" customHeight="1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311</v>
      </c>
      <c r="Q7" s="360"/>
      <c r="R7" s="360"/>
      <c r="S7" s="360"/>
      <c r="T7" s="360"/>
      <c r="U7" s="361"/>
    </row>
    <row r="8" spans="1:40" ht="311.25" customHeight="1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</row>
    <row r="9" spans="1:40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</row>
    <row r="10" spans="1:40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40</v>
      </c>
      <c r="I10" s="210">
        <v>27</v>
      </c>
      <c r="J10" s="210">
        <v>30</v>
      </c>
      <c r="K10" s="209">
        <v>30</v>
      </c>
      <c r="L10" s="210">
        <v>29</v>
      </c>
      <c r="M10" s="211">
        <f>8818.63+2629.32+1661.28+2228.94+580+2232.29</f>
        <v>18150.46</v>
      </c>
      <c r="N10" s="211">
        <f>8818.63+2629.32+1661.28+2228.94+580</f>
        <v>15918.17</v>
      </c>
      <c r="O10" s="212">
        <f xml:space="preserve"> (M10-N10)</f>
        <v>2232.2899999999991</v>
      </c>
      <c r="P10" s="213">
        <v>8</v>
      </c>
      <c r="Q10" s="214">
        <v>8</v>
      </c>
      <c r="R10" s="215">
        <v>8</v>
      </c>
      <c r="S10" s="97">
        <f>4246.75+895.7+2557.8</f>
        <v>7700.25</v>
      </c>
      <c r="T10" s="97">
        <f>4246.75+895.7+2557.8</f>
        <v>7700.25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14</v>
      </c>
      <c r="I11" s="210">
        <v>13</v>
      </c>
      <c r="J11" s="210">
        <v>13</v>
      </c>
      <c r="K11" s="209">
        <v>13</v>
      </c>
      <c r="L11" s="210">
        <v>13</v>
      </c>
      <c r="M11" s="211">
        <f>1778.86+580+1740+464+580</f>
        <v>5142.8599999999997</v>
      </c>
      <c r="N11" s="211">
        <f>1778.86+580+1740+464+580</f>
        <v>5142.8599999999997</v>
      </c>
      <c r="O11" s="212">
        <f t="shared" ref="O11:O74" si="1" xml:space="preserve"> (M11-N11)</f>
        <v>0</v>
      </c>
      <c r="P11" s="213">
        <v>2</v>
      </c>
      <c r="Q11" s="21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210"/>
      <c r="J12" s="210"/>
      <c r="K12" s="209"/>
      <c r="L12" s="210"/>
      <c r="M12" s="211"/>
      <c r="N12" s="211"/>
      <c r="O12" s="212">
        <f t="shared" si="1"/>
        <v>0</v>
      </c>
      <c r="P12" s="213">
        <v>3</v>
      </c>
      <c r="Q12" s="21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30</v>
      </c>
      <c r="I13" s="210">
        <v>20</v>
      </c>
      <c r="J13" s="210">
        <v>26</v>
      </c>
      <c r="K13" s="209">
        <v>21</v>
      </c>
      <c r="L13" s="210">
        <v>11</v>
      </c>
      <c r="M13" s="211">
        <f>272.84+2699.54+4096.17</f>
        <v>7068.55</v>
      </c>
      <c r="N13" s="211">
        <f>272.84+2699.54+4096.17</f>
        <v>7068.55</v>
      </c>
      <c r="O13" s="212">
        <f t="shared" si="1"/>
        <v>0</v>
      </c>
      <c r="P13" s="213">
        <v>5</v>
      </c>
      <c r="Q13" s="214">
        <v>5</v>
      </c>
      <c r="R13" s="215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33</v>
      </c>
      <c r="I14" s="210">
        <v>19</v>
      </c>
      <c r="J14" s="210">
        <v>27</v>
      </c>
      <c r="K14" s="209">
        <v>27</v>
      </c>
      <c r="L14" s="210">
        <v>22</v>
      </c>
      <c r="M14" s="211">
        <f>4932.74+3257.04+137+2487.39+344.5+725</f>
        <v>11883.669999999998</v>
      </c>
      <c r="N14" s="211">
        <f>4932.74+3257.04+137+2487.39+344.5+725</f>
        <v>11883.669999999998</v>
      </c>
      <c r="O14" s="212">
        <f t="shared" si="1"/>
        <v>0</v>
      </c>
      <c r="P14" s="213">
        <v>7</v>
      </c>
      <c r="Q14" s="214">
        <v>7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31</v>
      </c>
      <c r="I15" s="210">
        <v>23</v>
      </c>
      <c r="J15" s="210">
        <v>29</v>
      </c>
      <c r="K15" s="209">
        <v>28</v>
      </c>
      <c r="L15" s="210">
        <v>26</v>
      </c>
      <c r="M15" s="211">
        <f>16942.87+1278.76+580+108.75</f>
        <v>18910.379999999997</v>
      </c>
      <c r="N15" s="211">
        <f>16942.87+1278.76+580+108.75</f>
        <v>18910.379999999997</v>
      </c>
      <c r="O15" s="212">
        <f t="shared" si="1"/>
        <v>0</v>
      </c>
      <c r="P15" s="213">
        <v>14</v>
      </c>
      <c r="Q15" s="214">
        <v>14</v>
      </c>
      <c r="R15" s="215">
        <v>14</v>
      </c>
      <c r="S15" s="97">
        <f>13813.9+1491.1</f>
        <v>15305</v>
      </c>
      <c r="T15" s="97">
        <f>13813.9+1491.1</f>
        <v>15305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210"/>
      <c r="J16" s="210"/>
      <c r="K16" s="209"/>
      <c r="L16" s="210"/>
      <c r="M16" s="211"/>
      <c r="N16" s="211"/>
      <c r="O16" s="212">
        <f t="shared" si="1"/>
        <v>0</v>
      </c>
      <c r="P16" s="213"/>
      <c r="Q16" s="21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41</v>
      </c>
      <c r="I17" s="210">
        <v>14</v>
      </c>
      <c r="J17" s="210">
        <v>19</v>
      </c>
      <c r="K17" s="209">
        <v>18</v>
      </c>
      <c r="L17" s="210">
        <v>16</v>
      </c>
      <c r="M17" s="211">
        <f>7235.14+4416.12+1559.66+658.56+1087.5</f>
        <v>14956.98</v>
      </c>
      <c r="N17" s="211">
        <f>7235.14+4416.12+1559.66+658.56+1087.5</f>
        <v>14956.98</v>
      </c>
      <c r="O17" s="212">
        <f t="shared" si="1"/>
        <v>0</v>
      </c>
      <c r="P17" s="213">
        <v>1</v>
      </c>
      <c r="Q17" s="21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32</v>
      </c>
      <c r="I18" s="210">
        <v>24</v>
      </c>
      <c r="J18" s="210">
        <v>27</v>
      </c>
      <c r="K18" s="210">
        <v>27</v>
      </c>
      <c r="L18" s="210">
        <v>23</v>
      </c>
      <c r="M18" s="211">
        <f>2118.92+12936.58+4403.89+2411.49+2972.12+403.47</f>
        <v>25246.469999999998</v>
      </c>
      <c r="N18" s="211">
        <f>2118.92+12936.58+4403.89+2411.49+2972.12</f>
        <v>24842.999999999996</v>
      </c>
      <c r="O18" s="212">
        <f t="shared" si="1"/>
        <v>403.47000000000116</v>
      </c>
      <c r="P18" s="213">
        <v>7</v>
      </c>
      <c r="Q18" s="215">
        <v>6</v>
      </c>
      <c r="R18" s="215">
        <v>6</v>
      </c>
      <c r="S18" s="97">
        <f>14748.55+934.31</f>
        <v>15682.859999999999</v>
      </c>
      <c r="T18" s="97">
        <f>14748.55+934.31</f>
        <v>15682.859999999999</v>
      </c>
      <c r="U18" s="97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31</v>
      </c>
      <c r="I19" s="210">
        <v>17</v>
      </c>
      <c r="J19" s="210">
        <v>31</v>
      </c>
      <c r="K19" s="209">
        <v>26</v>
      </c>
      <c r="L19" s="210">
        <v>24</v>
      </c>
      <c r="M19" s="211">
        <f>5345.36+3385.2+4242.79+7468.83+387.77</f>
        <v>20829.95</v>
      </c>
      <c r="N19" s="211">
        <f>5345.36+3385.2+4242.79+7468.83+387.77</f>
        <v>20829.95</v>
      </c>
      <c r="O19" s="212">
        <f t="shared" si="1"/>
        <v>0</v>
      </c>
      <c r="P19" s="213">
        <v>15</v>
      </c>
      <c r="Q19" s="21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44</v>
      </c>
      <c r="I20" s="210">
        <v>22</v>
      </c>
      <c r="J20" s="210">
        <v>29</v>
      </c>
      <c r="K20" s="210">
        <v>27</v>
      </c>
      <c r="L20" s="210">
        <v>23</v>
      </c>
      <c r="M20" s="211">
        <f>5728.14+3727.02+315.94+2507.59+652.5+2191.47+1855.28+358.88</f>
        <v>17336.82</v>
      </c>
      <c r="N20" s="211">
        <f>5728.14+3727.02+315.94+2507.59+652.5+2191.47+1855.28</f>
        <v>16977.939999999999</v>
      </c>
      <c r="O20" s="212">
        <f t="shared" si="1"/>
        <v>358.88000000000102</v>
      </c>
      <c r="P20" s="213">
        <v>28</v>
      </c>
      <c r="Q20" s="215">
        <v>28</v>
      </c>
      <c r="R20" s="215">
        <v>27</v>
      </c>
      <c r="S20" s="97">
        <f>36404.57+1488.24+1902.09+2012.82</f>
        <v>41807.719999999994</v>
      </c>
      <c r="T20" s="97">
        <f>36404.57+1488.24+1902.09</f>
        <v>39794.899999999994</v>
      </c>
      <c r="U20" s="97">
        <f t="shared" si="2"/>
        <v>2012.8199999999997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21</v>
      </c>
      <c r="I21" s="210">
        <v>10</v>
      </c>
      <c r="J21" s="210">
        <v>18</v>
      </c>
      <c r="K21" s="209">
        <v>18</v>
      </c>
      <c r="L21" s="210">
        <v>15</v>
      </c>
      <c r="M21" s="211">
        <f>3586.84+1791.4+1337.88+413.4+1061.35+942.5+2425.9</f>
        <v>11559.269999999999</v>
      </c>
      <c r="N21" s="211">
        <f>3586.84+1791.4+1337.88+413.4+1061.35+942.5</f>
        <v>9133.369999999999</v>
      </c>
      <c r="O21" s="212">
        <f t="shared" si="1"/>
        <v>2425.8999999999996</v>
      </c>
      <c r="P21" s="213">
        <v>6</v>
      </c>
      <c r="Q21" s="214">
        <v>6</v>
      </c>
      <c r="R21" s="215">
        <v>6</v>
      </c>
      <c r="S21" s="97">
        <f>7288.02+447.62+2487.39</f>
        <v>10223.030000000001</v>
      </c>
      <c r="T21" s="97">
        <f>7288.02+447.62+2487.39</f>
        <v>10223.030000000001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115</v>
      </c>
      <c r="I22" s="210">
        <v>68</v>
      </c>
      <c r="J22" s="210">
        <v>83</v>
      </c>
      <c r="K22" s="210">
        <v>69</v>
      </c>
      <c r="L22" s="210">
        <v>69</v>
      </c>
      <c r="M22" s="211">
        <f>19787.02+2513.73+2255.05+12081.39+6786.96+4545.76</f>
        <v>47969.91</v>
      </c>
      <c r="N22" s="211">
        <f>19787.02+2513.73+2255.05+12081.39+6786.96</f>
        <v>43424.15</v>
      </c>
      <c r="O22" s="212">
        <f t="shared" si="1"/>
        <v>4545.760000000002</v>
      </c>
      <c r="P22" s="213">
        <v>23</v>
      </c>
      <c r="Q22" s="215">
        <v>23</v>
      </c>
      <c r="R22" s="215">
        <v>22</v>
      </c>
      <c r="S22" s="97">
        <f>24103.23+3334.5+1378</f>
        <v>28815.73</v>
      </c>
      <c r="T22" s="97">
        <f>24103.23+3334.5</f>
        <v>27437.73</v>
      </c>
      <c r="U22" s="97">
        <f t="shared" si="2"/>
        <v>1378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17</v>
      </c>
      <c r="I23" s="210">
        <v>11</v>
      </c>
      <c r="J23" s="210">
        <v>16</v>
      </c>
      <c r="K23" s="209">
        <v>16</v>
      </c>
      <c r="L23" s="210">
        <v>14</v>
      </c>
      <c r="M23" s="211">
        <f>5739.04+1828.05+1440.72+631.62+564.05+641.19+793.15</f>
        <v>11637.82</v>
      </c>
      <c r="N23" s="211">
        <f>5739.04+1828.05+1440.72+631.62+564.05+641.19+793.15</f>
        <v>11637.82</v>
      </c>
      <c r="O23" s="212">
        <f t="shared" si="1"/>
        <v>0</v>
      </c>
      <c r="P23" s="213">
        <v>12</v>
      </c>
      <c r="Q23" s="214">
        <v>11</v>
      </c>
      <c r="R23" s="215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22</v>
      </c>
      <c r="I24" s="210">
        <v>18</v>
      </c>
      <c r="J24" s="210">
        <v>21</v>
      </c>
      <c r="K24" s="209">
        <v>15</v>
      </c>
      <c r="L24" s="210">
        <v>15</v>
      </c>
      <c r="M24" s="211">
        <f>1515.11+3525.12</f>
        <v>5040.2299999999996</v>
      </c>
      <c r="N24" s="211">
        <f>1515.11+3525.12</f>
        <v>5040.2299999999996</v>
      </c>
      <c r="O24" s="212">
        <f t="shared" si="1"/>
        <v>0</v>
      </c>
      <c r="P24" s="213">
        <v>7</v>
      </c>
      <c r="Q24" s="21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37</v>
      </c>
      <c r="I25" s="210">
        <v>13</v>
      </c>
      <c r="J25" s="210">
        <v>32</v>
      </c>
      <c r="K25" s="210">
        <v>32</v>
      </c>
      <c r="L25" s="210">
        <v>32</v>
      </c>
      <c r="M25" s="211">
        <f>9005.69+15068.32+3714.72+1200.78</f>
        <v>28989.510000000002</v>
      </c>
      <c r="N25" s="211">
        <f>9005.69+15068.32+3714.72</f>
        <v>27788.730000000003</v>
      </c>
      <c r="O25" s="212">
        <f t="shared" si="1"/>
        <v>1200.7799999999988</v>
      </c>
      <c r="P25" s="213">
        <v>22</v>
      </c>
      <c r="Q25" s="215">
        <v>21</v>
      </c>
      <c r="R25" s="215">
        <v>21</v>
      </c>
      <c r="S25" s="97">
        <f>24213.05+6197.08+341.06</f>
        <v>30751.19</v>
      </c>
      <c r="T25" s="97">
        <f>24213.05+6197.08+341.06</f>
        <v>30751.19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210">
        <v>11</v>
      </c>
      <c r="J26" s="210">
        <v>18</v>
      </c>
      <c r="K26" s="209">
        <v>18</v>
      </c>
      <c r="L26" s="210">
        <v>18</v>
      </c>
      <c r="M26" s="211">
        <f>3777.1+6399.51+6251.64+358.88</f>
        <v>16787.13</v>
      </c>
      <c r="N26" s="211">
        <f>3777.1+6399.51+6251.64+358.88</f>
        <v>16787.13</v>
      </c>
      <c r="O26" s="212">
        <f t="shared" si="1"/>
        <v>0</v>
      </c>
      <c r="P26" s="213">
        <v>12</v>
      </c>
      <c r="Q26" s="214">
        <v>12</v>
      </c>
      <c r="R26" s="215">
        <v>12</v>
      </c>
      <c r="S26" s="97">
        <f>3386.7+2140.45</f>
        <v>5527.15</v>
      </c>
      <c r="T26" s="97">
        <f>3386.7+2140.45</f>
        <v>5527.15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30</v>
      </c>
      <c r="I27" s="210">
        <v>20</v>
      </c>
      <c r="J27" s="210">
        <v>36</v>
      </c>
      <c r="K27" s="209">
        <v>36</v>
      </c>
      <c r="L27" s="210">
        <v>36</v>
      </c>
      <c r="M27" s="211">
        <f>6801.73+4254.18+3948.81+757.9+1004.85+1005.5+5240.86</f>
        <v>23013.829999999998</v>
      </c>
      <c r="N27" s="211">
        <f>6801.73+4254.18+3948.81+757.9+1004.85+1005.5</f>
        <v>17772.969999999998</v>
      </c>
      <c r="O27" s="212">
        <f t="shared" si="1"/>
        <v>5240.8600000000006</v>
      </c>
      <c r="P27" s="213">
        <v>14</v>
      </c>
      <c r="Q27" s="21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210"/>
      <c r="J28" s="210"/>
      <c r="K28" s="209"/>
      <c r="L28" s="210"/>
      <c r="M28" s="211"/>
      <c r="N28" s="211"/>
      <c r="O28" s="212">
        <f t="shared" si="1"/>
        <v>0</v>
      </c>
      <c r="P28" s="213"/>
      <c r="Q28" s="21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25</v>
      </c>
      <c r="I29" s="210">
        <v>21</v>
      </c>
      <c r="J29" s="210">
        <v>31</v>
      </c>
      <c r="K29" s="209">
        <v>31</v>
      </c>
      <c r="L29" s="210">
        <v>28</v>
      </c>
      <c r="M29" s="211">
        <f>7765.28+1107.91+3282.4+1320.23+1580.98+622.05+447.4+992.16</f>
        <v>17118.41</v>
      </c>
      <c r="N29" s="211">
        <f>7765.28+1107.91+3282.4+1320.23+1580.98+622.05+447.4</f>
        <v>16126.249999999998</v>
      </c>
      <c r="O29" s="212">
        <f t="shared" si="1"/>
        <v>992.16000000000167</v>
      </c>
      <c r="P29" s="213">
        <v>14</v>
      </c>
      <c r="Q29" s="21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39</v>
      </c>
      <c r="I30" s="210">
        <v>29</v>
      </c>
      <c r="J30" s="210">
        <v>41</v>
      </c>
      <c r="K30" s="210">
        <v>41</v>
      </c>
      <c r="L30" s="210">
        <v>36</v>
      </c>
      <c r="M30" s="211">
        <f>5246.17+4965.96+1939.12+3762.43+2342.38+4011.61+2238.08</f>
        <v>24505.75</v>
      </c>
      <c r="N30" s="211">
        <f>5246.17+4965.96+1939.12+3762.43+2342.38+4011.61</f>
        <v>22267.670000000002</v>
      </c>
      <c r="O30" s="212">
        <f t="shared" si="1"/>
        <v>2238.0799999999981</v>
      </c>
      <c r="P30" s="213">
        <v>23</v>
      </c>
      <c r="Q30" s="215">
        <v>23</v>
      </c>
      <c r="R30" s="215">
        <v>23</v>
      </c>
      <c r="S30" s="97">
        <f>39414.6+4786.67+1562.33+638.43+2216.93+1293.2</f>
        <v>49912.159999999996</v>
      </c>
      <c r="T30" s="97">
        <f>39414.6+4786.67+1562.33+638.43+2216.93+1293.2</f>
        <v>49912.159999999996</v>
      </c>
      <c r="U30" s="97">
        <f t="shared" si="2"/>
        <v>0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210">
        <v>1</v>
      </c>
      <c r="J31" s="210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21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210"/>
      <c r="J32" s="210"/>
      <c r="K32" s="209"/>
      <c r="L32" s="210"/>
      <c r="M32" s="211"/>
      <c r="N32" s="211"/>
      <c r="O32" s="212">
        <f t="shared" si="1"/>
        <v>0</v>
      </c>
      <c r="P32" s="213"/>
      <c r="Q32" s="21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14</v>
      </c>
      <c r="I33" s="210">
        <v>9</v>
      </c>
      <c r="J33" s="210">
        <v>12</v>
      </c>
      <c r="K33" s="209">
        <v>12</v>
      </c>
      <c r="L33" s="210">
        <v>11</v>
      </c>
      <c r="M33" s="211">
        <f>4065+2226.4+2915.4+290</f>
        <v>9496.7999999999993</v>
      </c>
      <c r="N33" s="211">
        <f>4065+2226.4+2915.4+290</f>
        <v>9496.7999999999993</v>
      </c>
      <c r="O33" s="212">
        <f t="shared" si="1"/>
        <v>0</v>
      </c>
      <c r="P33" s="213"/>
      <c r="Q33" s="21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210">
        <v>14</v>
      </c>
      <c r="J34" s="210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12</v>
      </c>
      <c r="I35" s="210">
        <v>6</v>
      </c>
      <c r="J35" s="210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23</v>
      </c>
      <c r="I36" s="210">
        <v>13</v>
      </c>
      <c r="J36" s="210">
        <v>16</v>
      </c>
      <c r="K36" s="209">
        <v>16</v>
      </c>
      <c r="L36" s="210">
        <v>15</v>
      </c>
      <c r="M36" s="211">
        <f>2360+2665.25+2800.06+3488.89</f>
        <v>11314.199999999999</v>
      </c>
      <c r="N36" s="211">
        <f>2360+2665.25+2800.06+3488.89</f>
        <v>11314.199999999999</v>
      </c>
      <c r="O36" s="212">
        <f t="shared" si="1"/>
        <v>0</v>
      </c>
      <c r="P36" s="213">
        <v>6</v>
      </c>
      <c r="Q36" s="214">
        <v>6</v>
      </c>
      <c r="R36" s="215">
        <v>6</v>
      </c>
      <c r="S36" s="97">
        <f>1436.08+3433.93+5939.33+1723.52</f>
        <v>12532.86</v>
      </c>
      <c r="T36" s="97">
        <f>1436.08+3433.93+5939.33+1723.52</f>
        <v>12532.86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20</v>
      </c>
      <c r="I37" s="210">
        <v>12</v>
      </c>
      <c r="J37" s="210">
        <v>16</v>
      </c>
      <c r="K37" s="209">
        <v>16</v>
      </c>
      <c r="L37" s="210">
        <v>16</v>
      </c>
      <c r="M37" s="211">
        <f>4126.56+990.2+862.75+145+358.88+1424.06+2121.03</f>
        <v>10028.480000000001</v>
      </c>
      <c r="N37" s="211">
        <f>4126.56+990.2+862.75+145+358.88+1424.06</f>
        <v>7907.4500000000007</v>
      </c>
      <c r="O37" s="212">
        <f t="shared" si="1"/>
        <v>2121.0300000000007</v>
      </c>
      <c r="P37" s="213">
        <v>2</v>
      </c>
      <c r="Q37" s="214">
        <v>2</v>
      </c>
      <c r="R37" s="215">
        <v>2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76</v>
      </c>
      <c r="I38" s="210">
        <v>40</v>
      </c>
      <c r="J38" s="210">
        <v>55</v>
      </c>
      <c r="K38" s="209">
        <v>55</v>
      </c>
      <c r="L38" s="210">
        <v>51</v>
      </c>
      <c r="M38" s="211">
        <f>18043.85+1739.74+12219.36+4084.73+2867.69+2388.56+1377.5+2533.95</f>
        <v>45255.38</v>
      </c>
      <c r="N38" s="211">
        <f>18043.85+1739.74+12219.36+4084.73+2867.69+2388.56+1377.5+2533.95</f>
        <v>45255.38</v>
      </c>
      <c r="O38" s="212">
        <f t="shared" si="1"/>
        <v>0</v>
      </c>
      <c r="P38" s="213">
        <v>21</v>
      </c>
      <c r="Q38" s="214">
        <v>21</v>
      </c>
      <c r="R38" s="215">
        <v>20</v>
      </c>
      <c r="S38" s="97">
        <f>22326.77+417.74+1031.26</f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29</v>
      </c>
      <c r="I39" s="210">
        <v>15</v>
      </c>
      <c r="J39" s="210">
        <v>19</v>
      </c>
      <c r="K39" s="209">
        <v>16</v>
      </c>
      <c r="L39" s="210">
        <v>15</v>
      </c>
      <c r="M39" s="211">
        <f>4309.67+3353.38+84.05+2832.72+349.74+868</f>
        <v>11797.56</v>
      </c>
      <c r="N39" s="211">
        <f>4309.67+3353.38+84.05+2832.72+349.74+868</f>
        <v>11797.56</v>
      </c>
      <c r="O39" s="212">
        <f t="shared" si="1"/>
        <v>0</v>
      </c>
      <c r="P39" s="213">
        <v>3</v>
      </c>
      <c r="Q39" s="214">
        <v>3</v>
      </c>
      <c r="R39" s="215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9</v>
      </c>
      <c r="I40" s="210">
        <v>6</v>
      </c>
      <c r="J40" s="210">
        <v>7</v>
      </c>
      <c r="K40" s="209">
        <v>6</v>
      </c>
      <c r="L40" s="210">
        <v>5</v>
      </c>
      <c r="M40" s="211">
        <v>5430.01</v>
      </c>
      <c r="N40" s="211">
        <v>5430.01</v>
      </c>
      <c r="O40" s="212">
        <f t="shared" si="1"/>
        <v>0</v>
      </c>
      <c r="P40" s="213">
        <v>4</v>
      </c>
      <c r="Q40" s="214">
        <v>4</v>
      </c>
      <c r="R40" s="215">
        <v>3</v>
      </c>
      <c r="S40" s="97">
        <f>3996.7+1341.47</f>
        <v>5338.17</v>
      </c>
      <c r="T40" s="97">
        <f>3996.7+1341.47</f>
        <v>5338.17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21</v>
      </c>
      <c r="I41" s="210">
        <v>17</v>
      </c>
      <c r="J41" s="210">
        <v>19</v>
      </c>
      <c r="K41" s="209">
        <v>19</v>
      </c>
      <c r="L41" s="210">
        <v>11</v>
      </c>
      <c r="M41" s="211">
        <f>4892.78+1033.5+545.69+1551.08</f>
        <v>8023.0499999999993</v>
      </c>
      <c r="N41" s="211">
        <f>4892.78+1033.5+545.69+1551.08</f>
        <v>8023.0499999999993</v>
      </c>
      <c r="O41" s="212">
        <f t="shared" si="1"/>
        <v>0</v>
      </c>
      <c r="P41" s="213">
        <v>4</v>
      </c>
      <c r="Q41" s="214">
        <v>4</v>
      </c>
      <c r="R41" s="215">
        <v>4</v>
      </c>
      <c r="S41" s="97">
        <f>1842.88+373.68</f>
        <v>2216.56</v>
      </c>
      <c r="T41" s="97">
        <f>1842.88+373.68</f>
        <v>2216.56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ht="20.100000000000001" customHeight="1" x14ac:dyDescent="0.25">
      <c r="A42" s="155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15</v>
      </c>
      <c r="I42" s="210">
        <v>7</v>
      </c>
      <c r="J42" s="210">
        <v>12</v>
      </c>
      <c r="K42" s="209">
        <v>12</v>
      </c>
      <c r="L42" s="210">
        <v>10</v>
      </c>
      <c r="M42" s="211">
        <f>5095.29+1605.75+430.65+529.04</f>
        <v>7660.73</v>
      </c>
      <c r="N42" s="211">
        <f>5095.29+1605.75+430.65</f>
        <v>7131.69</v>
      </c>
      <c r="O42" s="212">
        <f t="shared" si="1"/>
        <v>529.04</v>
      </c>
      <c r="P42" s="213">
        <v>5</v>
      </c>
      <c r="Q42" s="21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21</v>
      </c>
      <c r="I43" s="210">
        <v>10</v>
      </c>
      <c r="J43" s="210">
        <v>18</v>
      </c>
      <c r="K43" s="209">
        <v>18</v>
      </c>
      <c r="L43" s="210">
        <v>15</v>
      </c>
      <c r="M43" s="211">
        <f>1949.94+11241.95+1670.56+979+622.78+145+551.2+2279.66</f>
        <v>19440.09</v>
      </c>
      <c r="N43" s="211">
        <f>1949.94+11241.95+1670.56+979+622.78+145+551.2</f>
        <v>17160.43</v>
      </c>
      <c r="O43" s="212">
        <f t="shared" si="1"/>
        <v>2279.66</v>
      </c>
      <c r="P43" s="213">
        <v>7</v>
      </c>
      <c r="Q43" s="214">
        <v>7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14</v>
      </c>
      <c r="I44" s="210">
        <v>6</v>
      </c>
      <c r="J44" s="210">
        <v>13</v>
      </c>
      <c r="K44" s="209">
        <v>13</v>
      </c>
      <c r="L44" s="210">
        <v>13</v>
      </c>
      <c r="M44" s="211">
        <f>9600.95+145+2182.75+7980.88+580+287.1</f>
        <v>20776.68</v>
      </c>
      <c r="N44" s="211">
        <f>9600.95+145+2182.75+7980.88+580+287.1</f>
        <v>20776.68</v>
      </c>
      <c r="O44" s="212">
        <f t="shared" si="1"/>
        <v>0</v>
      </c>
      <c r="P44" s="213">
        <v>8</v>
      </c>
      <c r="Q44" s="214">
        <v>8</v>
      </c>
      <c r="R44" s="215">
        <v>8</v>
      </c>
      <c r="S44" s="97">
        <f>3997.92+850.65+4367.7+2262.73+189.48</f>
        <v>11668.48</v>
      </c>
      <c r="T44" s="97">
        <f>3997.92+850.65+4367.7+2262.73+189.48</f>
        <v>11668.48</v>
      </c>
      <c r="U44" s="97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ht="20.100000000000001" customHeight="1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210"/>
      <c r="J45" s="210"/>
      <c r="K45" s="209"/>
      <c r="L45" s="210"/>
      <c r="M45" s="211"/>
      <c r="N45" s="211"/>
      <c r="O45" s="212">
        <f t="shared" si="1"/>
        <v>0</v>
      </c>
      <c r="P45" s="213"/>
      <c r="Q45" s="21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18</v>
      </c>
      <c r="I46" s="210">
        <v>11</v>
      </c>
      <c r="J46" s="210">
        <v>12</v>
      </c>
      <c r="K46" s="209">
        <v>12</v>
      </c>
      <c r="L46" s="210">
        <v>12</v>
      </c>
      <c r="M46" s="211">
        <f>1290.6+2343.84+935.25</f>
        <v>4569.6900000000005</v>
      </c>
      <c r="N46" s="211">
        <f>1290.6+2343.84+935.25</f>
        <v>4569.6900000000005</v>
      </c>
      <c r="O46" s="212">
        <f t="shared" si="1"/>
        <v>0</v>
      </c>
      <c r="P46" s="213">
        <v>2</v>
      </c>
      <c r="Q46" s="21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43</v>
      </c>
      <c r="I47" s="210">
        <v>23</v>
      </c>
      <c r="J47" s="210">
        <v>32</v>
      </c>
      <c r="K47" s="209">
        <v>32</v>
      </c>
      <c r="L47" s="210">
        <v>30</v>
      </c>
      <c r="M47" s="211">
        <f>9335.56+3507.6+826.8+2284.16+1015+1378</f>
        <v>18347.12</v>
      </c>
      <c r="N47" s="211">
        <f>9335.56+3507.6+826.8+2284.16+1015</f>
        <v>16969.12</v>
      </c>
      <c r="O47" s="212">
        <f t="shared" si="1"/>
        <v>1378</v>
      </c>
      <c r="P47" s="213">
        <v>2</v>
      </c>
      <c r="Q47" s="21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18</v>
      </c>
      <c r="I48" s="210">
        <v>6</v>
      </c>
      <c r="J48" s="210">
        <v>9</v>
      </c>
      <c r="K48" s="209">
        <v>9</v>
      </c>
      <c r="L48" s="210">
        <v>9</v>
      </c>
      <c r="M48" s="211">
        <f>8890.84+1828.05+435</f>
        <v>11153.89</v>
      </c>
      <c r="N48" s="211">
        <f>8890.84+1828.05+435</f>
        <v>11153.89</v>
      </c>
      <c r="O48" s="212">
        <f t="shared" si="1"/>
        <v>0</v>
      </c>
      <c r="P48" s="213">
        <v>3</v>
      </c>
      <c r="Q48" s="21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20</v>
      </c>
      <c r="I49" s="210">
        <v>10</v>
      </c>
      <c r="J49" s="210">
        <v>13</v>
      </c>
      <c r="K49" s="209">
        <v>13</v>
      </c>
      <c r="L49" s="210">
        <v>13</v>
      </c>
      <c r="M49" s="211">
        <f>1831.71+137.8+1816.78+290+420.6</f>
        <v>4496.8900000000003</v>
      </c>
      <c r="N49" s="211">
        <f>1831.71+137.8+1816.78+290</f>
        <v>4076.29</v>
      </c>
      <c r="O49" s="212">
        <f t="shared" si="1"/>
        <v>420.60000000000036</v>
      </c>
      <c r="P49" s="213">
        <v>9</v>
      </c>
      <c r="Q49" s="214">
        <v>9</v>
      </c>
      <c r="R49" s="215">
        <v>9</v>
      </c>
      <c r="S49" s="97">
        <f>8296.23+1378+5368</f>
        <v>15042.23</v>
      </c>
      <c r="T49" s="97">
        <f>8296.23+1378+5368</f>
        <v>15042.23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21</v>
      </c>
      <c r="I50" s="210">
        <v>17</v>
      </c>
      <c r="J50" s="210">
        <v>19</v>
      </c>
      <c r="K50" s="209">
        <v>19</v>
      </c>
      <c r="L50" s="210">
        <v>19</v>
      </c>
      <c r="M50" s="211">
        <f>8308.92+786.44+453+302+1256.5</f>
        <v>11106.86</v>
      </c>
      <c r="N50" s="211">
        <f>8308.92+786.44+453+302+1256.5</f>
        <v>11106.86</v>
      </c>
      <c r="O50" s="212">
        <f t="shared" si="1"/>
        <v>0</v>
      </c>
      <c r="P50" s="213">
        <v>6</v>
      </c>
      <c r="Q50" s="214">
        <v>6</v>
      </c>
      <c r="R50" s="215">
        <v>6</v>
      </c>
      <c r="S50" s="97">
        <f>2457.28+1725.6+5017.9+1584.7</f>
        <v>10785.48</v>
      </c>
      <c r="T50" s="97">
        <f>2457.28+1725.6+5017.9+1584.7</f>
        <v>10785.48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25</v>
      </c>
      <c r="I51" s="210">
        <v>12</v>
      </c>
      <c r="J51" s="210">
        <v>14</v>
      </c>
      <c r="K51" s="209">
        <v>14</v>
      </c>
      <c r="L51" s="210">
        <v>14</v>
      </c>
      <c r="M51" s="211">
        <f>5580.75+571.11+696.2+574.2+408.03+1234.53+1446.9</f>
        <v>10511.72</v>
      </c>
      <c r="N51" s="211">
        <f>5580.75+571.11+696.2+574.2+408.03+1234.53+1446.9</f>
        <v>10511.72</v>
      </c>
      <c r="O51" s="212">
        <f t="shared" si="1"/>
        <v>0</v>
      </c>
      <c r="P51" s="213">
        <v>1</v>
      </c>
      <c r="Q51" s="214">
        <v>1</v>
      </c>
      <c r="R51" s="215">
        <v>1</v>
      </c>
      <c r="S51" s="97">
        <f>728.15</f>
        <v>728.15</v>
      </c>
      <c r="T51" s="97">
        <f>728.15</f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22</v>
      </c>
      <c r="I52" s="210">
        <v>11</v>
      </c>
      <c r="J52" s="210">
        <v>15</v>
      </c>
      <c r="K52" s="209">
        <v>15</v>
      </c>
      <c r="L52" s="210">
        <v>13</v>
      </c>
      <c r="M52" s="211">
        <f>3782.6+430.65+1221.61+2194.55</f>
        <v>7629.41</v>
      </c>
      <c r="N52" s="211">
        <f>3782.6+430.65+1221.61+2194.55</f>
        <v>7629.41</v>
      </c>
      <c r="O52" s="212">
        <f t="shared" si="1"/>
        <v>0</v>
      </c>
      <c r="P52" s="213">
        <v>10</v>
      </c>
      <c r="Q52" s="214">
        <v>10</v>
      </c>
      <c r="R52" s="215">
        <v>9</v>
      </c>
      <c r="S52" s="97">
        <f>1535.39+1035.3+828.82+12756.45</f>
        <v>16155.960000000001</v>
      </c>
      <c r="T52" s="97">
        <f>1535.39+1035.3+828.82+12756.45</f>
        <v>16155.960000000001</v>
      </c>
      <c r="U52" s="97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8</v>
      </c>
      <c r="I53" s="210">
        <v>3</v>
      </c>
      <c r="J53" s="210">
        <v>3</v>
      </c>
      <c r="K53" s="209">
        <v>3</v>
      </c>
      <c r="L53" s="210">
        <v>3</v>
      </c>
      <c r="M53" s="211">
        <f>1102.4+328.37</f>
        <v>1430.77</v>
      </c>
      <c r="N53" s="211">
        <f>1102.4+328.37</f>
        <v>1430.77</v>
      </c>
      <c r="O53" s="212">
        <f t="shared" si="1"/>
        <v>0</v>
      </c>
      <c r="P53" s="213">
        <v>2</v>
      </c>
      <c r="Q53" s="21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106</v>
      </c>
      <c r="I54" s="210">
        <v>91</v>
      </c>
      <c r="J54" s="210">
        <v>106</v>
      </c>
      <c r="K54" s="209">
        <v>101</v>
      </c>
      <c r="L54" s="210">
        <v>89</v>
      </c>
      <c r="M54" s="211">
        <f>12031.27+4728.85+7137.01+1218+507+4175.93+5308.12+6184.37</f>
        <v>41290.55000000001</v>
      </c>
      <c r="N54" s="211">
        <f>12031.27+4728.85+7137.01+1218+507+4175.93+5308.12</f>
        <v>35106.180000000008</v>
      </c>
      <c r="O54" s="212">
        <f t="shared" si="1"/>
        <v>6184.3700000000026</v>
      </c>
      <c r="P54" s="213">
        <v>17</v>
      </c>
      <c r="Q54" s="21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8</v>
      </c>
      <c r="I55" s="210">
        <v>3</v>
      </c>
      <c r="J55" s="210">
        <v>4</v>
      </c>
      <c r="K55" s="209">
        <v>4</v>
      </c>
      <c r="L55" s="210">
        <v>4</v>
      </c>
      <c r="M55" s="211">
        <f>5677.4+870+2962.7</f>
        <v>9510.0999999999985</v>
      </c>
      <c r="N55" s="211">
        <f>5677.4+870-5307.82</f>
        <v>1239.58</v>
      </c>
      <c r="O55" s="212">
        <f t="shared" si="1"/>
        <v>8270.5199999999986</v>
      </c>
      <c r="P55" s="213">
        <v>3</v>
      </c>
      <c r="Q55" s="21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62</v>
      </c>
      <c r="I56" s="210">
        <v>37</v>
      </c>
      <c r="J56" s="210">
        <v>57</v>
      </c>
      <c r="K56" s="209">
        <v>57</v>
      </c>
      <c r="L56" s="210">
        <v>53</v>
      </c>
      <c r="M56" s="211">
        <f>13145.7+14183.3+726.22+3195.47+5181.98+1425.26+6804.83+1811+6356.42+2151.08</f>
        <v>54981.26</v>
      </c>
      <c r="N56" s="211">
        <f>13145.7+14183.3+726.22+3195.47+5181.98+1425.26+6804.83+1811+6356.42-6356.42</f>
        <v>46473.760000000002</v>
      </c>
      <c r="O56" s="212">
        <f t="shared" si="1"/>
        <v>8507.5</v>
      </c>
      <c r="P56" s="213">
        <v>35</v>
      </c>
      <c r="Q56" s="214">
        <v>35</v>
      </c>
      <c r="R56" s="215">
        <v>32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210">
        <v>4</v>
      </c>
      <c r="J57" s="210">
        <v>4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21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ht="20.100000000000001" customHeight="1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210"/>
      <c r="J58" s="210"/>
      <c r="K58" s="209"/>
      <c r="L58" s="210"/>
      <c r="M58" s="211"/>
      <c r="N58" s="211"/>
      <c r="O58" s="212">
        <f t="shared" si="1"/>
        <v>0</v>
      </c>
      <c r="P58" s="213">
        <v>1</v>
      </c>
      <c r="Q58" s="214">
        <v>1</v>
      </c>
      <c r="R58" s="215">
        <v>1</v>
      </c>
      <c r="S58" s="97">
        <v>548.1</v>
      </c>
      <c r="T58" s="97">
        <v>548.1</v>
      </c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ht="20.100000000000001" customHeight="1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210"/>
      <c r="J59" s="210"/>
      <c r="K59" s="209"/>
      <c r="L59" s="210"/>
      <c r="M59" s="211"/>
      <c r="N59" s="211"/>
      <c r="O59" s="212">
        <f t="shared" si="1"/>
        <v>0</v>
      </c>
      <c r="P59" s="213"/>
      <c r="Q59" s="21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54</v>
      </c>
      <c r="I60" s="210">
        <v>33</v>
      </c>
      <c r="J60" s="210">
        <v>47</v>
      </c>
      <c r="K60" s="209">
        <v>42</v>
      </c>
      <c r="L60" s="210">
        <v>41</v>
      </c>
      <c r="M60" s="211">
        <f>19657.67+3859.57+3638.88+11285.84+2356.7+1870.22+2374.32</f>
        <v>45043.199999999997</v>
      </c>
      <c r="N60" s="211">
        <f>19657.67+3859.57+3638.88+11285.84+2356.7+1870.22+2374.32</f>
        <v>45043.199999999997</v>
      </c>
      <c r="O60" s="212">
        <f t="shared" si="1"/>
        <v>0</v>
      </c>
      <c r="P60" s="213">
        <v>6</v>
      </c>
      <c r="Q60" s="214">
        <v>6</v>
      </c>
      <c r="R60" s="215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28</v>
      </c>
      <c r="I61" s="210">
        <v>15</v>
      </c>
      <c r="J61" s="210">
        <v>22</v>
      </c>
      <c r="K61" s="209">
        <v>18</v>
      </c>
      <c r="L61" s="210">
        <v>18</v>
      </c>
      <c r="M61" s="211">
        <f>3986.21+989.8+3814.75+1492.92+2107.58+1990.86</f>
        <v>14382.12</v>
      </c>
      <c r="N61" s="211">
        <f>3986.21+989.8+3814.75+1492.92+2107.58+1990.86</f>
        <v>14382.12</v>
      </c>
      <c r="O61" s="212">
        <f t="shared" si="1"/>
        <v>0</v>
      </c>
      <c r="P61" s="213"/>
      <c r="Q61" s="21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ht="20.100000000000001" customHeight="1" x14ac:dyDescent="0.25">
      <c r="A62" s="155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19</v>
      </c>
      <c r="I62" s="210">
        <v>11</v>
      </c>
      <c r="J62" s="210">
        <v>14</v>
      </c>
      <c r="K62" s="209">
        <v>14</v>
      </c>
      <c r="L62" s="210">
        <v>14</v>
      </c>
      <c r="M62" s="211">
        <f>1263.45+2111.32+5011.35+4260.64</f>
        <v>12646.760000000002</v>
      </c>
      <c r="N62" s="211">
        <f>1263.45+2111.32+5011.35+4260.64</f>
        <v>12646.760000000002</v>
      </c>
      <c r="O62" s="212">
        <f t="shared" si="1"/>
        <v>0</v>
      </c>
      <c r="P62" s="213">
        <v>7</v>
      </c>
      <c r="Q62" s="214">
        <v>7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</row>
    <row r="63" spans="1:40" ht="20.100000000000001" customHeight="1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210"/>
      <c r="J63" s="210"/>
      <c r="K63" s="209"/>
      <c r="L63" s="210"/>
      <c r="M63" s="211"/>
      <c r="N63" s="211"/>
      <c r="O63" s="212">
        <f t="shared" si="1"/>
        <v>0</v>
      </c>
      <c r="P63" s="213">
        <v>29</v>
      </c>
      <c r="Q63" s="214">
        <v>29</v>
      </c>
      <c r="R63" s="215">
        <v>29</v>
      </c>
      <c r="S63" s="97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</row>
    <row r="64" spans="1:40" ht="17.25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28</v>
      </c>
      <c r="I64" s="210">
        <v>15</v>
      </c>
      <c r="J64" s="210">
        <v>17</v>
      </c>
      <c r="K64" s="209">
        <v>16</v>
      </c>
      <c r="L64" s="210">
        <v>16</v>
      </c>
      <c r="M64" s="211">
        <f>6496.16+4335.01+2477.65+2687.1+609</f>
        <v>16604.919999999998</v>
      </c>
      <c r="N64" s="211">
        <f>6496.16+4335.01+2477.65+2687.1+609</f>
        <v>16604.919999999998</v>
      </c>
      <c r="O64" s="212">
        <f t="shared" si="1"/>
        <v>0</v>
      </c>
      <c r="P64" s="213">
        <v>12</v>
      </c>
      <c r="Q64" s="214">
        <v>12</v>
      </c>
      <c r="R64" s="215">
        <v>12</v>
      </c>
      <c r="S64" s="97">
        <f>6866.56+548.1</f>
        <v>7414.6600000000008</v>
      </c>
      <c r="T64" s="97">
        <f>6866.56+548.1</f>
        <v>7414.6600000000008</v>
      </c>
      <c r="U64" s="97">
        <f t="shared" si="2"/>
        <v>0</v>
      </c>
      <c r="V64" s="161"/>
    </row>
    <row r="65" spans="1:22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56</v>
      </c>
      <c r="I65" s="210">
        <v>43</v>
      </c>
      <c r="J65" s="210">
        <v>53</v>
      </c>
      <c r="K65" s="209">
        <v>49</v>
      </c>
      <c r="L65" s="210">
        <v>48</v>
      </c>
      <c r="M65" s="211">
        <f>21561.61+5719.7+1305+4149.27+2397.37+5906.18+1251.03+829.55+4633.7+2607.11</f>
        <v>50360.520000000004</v>
      </c>
      <c r="N65" s="211">
        <f>21561.61+5719.7+1305+4149.27+2397.37+5906.18+1251.03+829.55+4633.7</f>
        <v>47753.41</v>
      </c>
      <c r="O65" s="212">
        <f t="shared" si="1"/>
        <v>2607.1100000000006</v>
      </c>
      <c r="P65" s="213">
        <v>11</v>
      </c>
      <c r="Q65" s="214">
        <v>11</v>
      </c>
      <c r="R65" s="215">
        <v>11</v>
      </c>
      <c r="S65" s="97">
        <f>7456.7+19131.63</f>
        <v>26588.33</v>
      </c>
      <c r="T65" s="97">
        <f>7456.7+19131.63</f>
        <v>26588.33</v>
      </c>
      <c r="U65" s="97">
        <f t="shared" si="2"/>
        <v>0</v>
      </c>
      <c r="V65" s="161"/>
    </row>
    <row r="66" spans="1:22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210">
        <v>2</v>
      </c>
      <c r="J66" s="210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56</v>
      </c>
      <c r="I67" s="210">
        <v>45</v>
      </c>
      <c r="J67" s="210">
        <v>57</v>
      </c>
      <c r="K67" s="209">
        <v>57</v>
      </c>
      <c r="L67" s="210">
        <v>54</v>
      </c>
      <c r="M67" s="211">
        <f>19710.93+7009.96+ 8900.54+165.98+1497.55+1081.95+652.5+834+4814.12</f>
        <v>44667.530000000006</v>
      </c>
      <c r="N67" s="211">
        <f>19710.93+7009.96+ 8900.54+165.98+1497.55+1081.95+652.5+834</f>
        <v>39853.410000000003</v>
      </c>
      <c r="O67" s="212">
        <f t="shared" si="1"/>
        <v>4814.1200000000026</v>
      </c>
      <c r="P67" s="213">
        <v>11</v>
      </c>
      <c r="Q67" s="21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37</v>
      </c>
      <c r="I68" s="210">
        <v>29</v>
      </c>
      <c r="J68" s="210">
        <v>50</v>
      </c>
      <c r="K68" s="209">
        <v>50</v>
      </c>
      <c r="L68" s="210">
        <v>50</v>
      </c>
      <c r="M68" s="211">
        <f>18750.75+2683.13+8424.37</f>
        <v>29858.25</v>
      </c>
      <c r="N68" s="211">
        <f>18750.75+2683.13</f>
        <v>21433.88</v>
      </c>
      <c r="O68" s="212">
        <f t="shared" si="1"/>
        <v>8424.369999999999</v>
      </c>
      <c r="P68" s="213">
        <v>11</v>
      </c>
      <c r="Q68" s="214">
        <v>11</v>
      </c>
      <c r="R68" s="215">
        <v>10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11</v>
      </c>
      <c r="I69" s="210">
        <v>5</v>
      </c>
      <c r="J69" s="210">
        <v>5</v>
      </c>
      <c r="K69" s="209">
        <v>5</v>
      </c>
      <c r="L69" s="210">
        <v>5</v>
      </c>
      <c r="M69" s="211">
        <f>2756+1240.2+1305</f>
        <v>5301.2</v>
      </c>
      <c r="N69" s="211">
        <f>2756+1240.2+1305</f>
        <v>5301.2</v>
      </c>
      <c r="O69" s="212">
        <f t="shared" si="1"/>
        <v>0</v>
      </c>
      <c r="P69" s="213"/>
      <c r="Q69" s="214"/>
      <c r="R69" s="215"/>
      <c r="S69" s="97"/>
      <c r="T69" s="97"/>
      <c r="U69" s="97">
        <f t="shared" si="2"/>
        <v>0</v>
      </c>
      <c r="V69" s="161"/>
    </row>
    <row r="70" spans="1:22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17</v>
      </c>
      <c r="I70" s="210">
        <v>9</v>
      </c>
      <c r="J70" s="210">
        <v>12</v>
      </c>
      <c r="K70" s="209">
        <v>12</v>
      </c>
      <c r="L70" s="210">
        <v>8</v>
      </c>
      <c r="M70" s="211">
        <f>2039.44+3242.32+2027.39+3567+822.15</f>
        <v>11698.300000000001</v>
      </c>
      <c r="N70" s="211">
        <f>2039.44+3242.32+2027.39+3567+822.15</f>
        <v>11698.300000000001</v>
      </c>
      <c r="O70" s="212">
        <f t="shared" si="1"/>
        <v>0</v>
      </c>
      <c r="P70" s="213">
        <v>6</v>
      </c>
      <c r="Q70" s="214">
        <v>6</v>
      </c>
      <c r="R70" s="215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27</v>
      </c>
      <c r="I71" s="210">
        <v>16</v>
      </c>
      <c r="J71" s="210">
        <v>20</v>
      </c>
      <c r="K71" s="209">
        <v>17</v>
      </c>
      <c r="L71" s="210">
        <v>17</v>
      </c>
      <c r="M71" s="211">
        <f>2383.53+3781.9+7505.17+507+5161.87+1335.02+1152.8</f>
        <v>21827.29</v>
      </c>
      <c r="N71" s="211">
        <f>2383.53+3781.9+7505.17+507+5161.87+1335.02</f>
        <v>20674.490000000002</v>
      </c>
      <c r="O71" s="212">
        <f t="shared" si="1"/>
        <v>1152.7999999999993</v>
      </c>
      <c r="P71" s="213">
        <v>24</v>
      </c>
      <c r="Q71" s="214">
        <v>24</v>
      </c>
      <c r="R71" s="215">
        <v>24</v>
      </c>
      <c r="S71" s="97">
        <f>52337.46+18000.02+1926.09</f>
        <v>72263.569999999992</v>
      </c>
      <c r="T71" s="97">
        <f>52337.46+18000.02+1926.09</f>
        <v>72263.569999999992</v>
      </c>
      <c r="U71" s="97">
        <f t="shared" si="2"/>
        <v>0</v>
      </c>
      <c r="V71" s="161"/>
    </row>
    <row r="72" spans="1:22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19</v>
      </c>
      <c r="I72" s="210">
        <v>7</v>
      </c>
      <c r="J72" s="210">
        <v>9</v>
      </c>
      <c r="K72" s="209">
        <v>9</v>
      </c>
      <c r="L72" s="210">
        <v>9</v>
      </c>
      <c r="M72" s="211">
        <f>4703.53+544.32+1960.26+2120.63</f>
        <v>9328.74</v>
      </c>
      <c r="N72" s="211">
        <f>4703.53+544.32+1960.26</f>
        <v>7208.11</v>
      </c>
      <c r="O72" s="212">
        <f t="shared" si="1"/>
        <v>2120.63</v>
      </c>
      <c r="P72" s="213">
        <v>7</v>
      </c>
      <c r="Q72" s="21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38</v>
      </c>
      <c r="I73" s="210">
        <v>25</v>
      </c>
      <c r="J73" s="210">
        <v>25</v>
      </c>
      <c r="K73" s="209">
        <v>25</v>
      </c>
      <c r="L73" s="210">
        <v>25</v>
      </c>
      <c r="M73" s="211">
        <f>2095.52+746.9+4941.1+3310.3+2104.91</f>
        <v>13198.73</v>
      </c>
      <c r="N73" s="211">
        <f>2095.52+746.9+4941.1+3310.3+2104.91</f>
        <v>13198.73</v>
      </c>
      <c r="O73" s="212">
        <f t="shared" si="1"/>
        <v>0</v>
      </c>
      <c r="P73" s="213">
        <v>7</v>
      </c>
      <c r="Q73" s="214">
        <v>7</v>
      </c>
      <c r="R73" s="215">
        <v>7</v>
      </c>
      <c r="S73" s="97">
        <f>1821.06+4580.19+1240.2</f>
        <v>7641.45</v>
      </c>
      <c r="T73" s="97">
        <f>1821.06+4580.19+1240.2</f>
        <v>7641.45</v>
      </c>
      <c r="U73" s="97">
        <f t="shared" si="2"/>
        <v>0</v>
      </c>
      <c r="V73" s="161"/>
    </row>
    <row r="74" spans="1:22" ht="20.100000000000001" customHeight="1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210"/>
      <c r="J74" s="210"/>
      <c r="K74" s="209"/>
      <c r="L74" s="210"/>
      <c r="M74" s="211"/>
      <c r="N74" s="211"/>
      <c r="O74" s="212">
        <f t="shared" si="1"/>
        <v>0</v>
      </c>
      <c r="P74" s="213">
        <v>1</v>
      </c>
      <c r="Q74" s="21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15</v>
      </c>
      <c r="I75" s="210">
        <v>5</v>
      </c>
      <c r="J75" s="210">
        <v>6</v>
      </c>
      <c r="K75" s="209">
        <v>6</v>
      </c>
      <c r="L75" s="210">
        <v>6</v>
      </c>
      <c r="M75" s="211">
        <f>275.6+741.36+14287.26</f>
        <v>15304.220000000001</v>
      </c>
      <c r="N75" s="211">
        <f>275.6+741.36+14287.26</f>
        <v>15304.220000000001</v>
      </c>
      <c r="O75" s="212">
        <f t="shared" ref="O75:O104" si="4" xml:space="preserve"> (M75-N75)</f>
        <v>0</v>
      </c>
      <c r="P75" s="213">
        <v>3</v>
      </c>
      <c r="Q75" s="21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35</v>
      </c>
      <c r="I76" s="210">
        <v>24</v>
      </c>
      <c r="J76" s="210">
        <v>33</v>
      </c>
      <c r="K76" s="209">
        <v>32</v>
      </c>
      <c r="L76" s="210">
        <v>31</v>
      </c>
      <c r="M76" s="211">
        <f>11803.63+1320.23+3132.15+12104.63+822.42+4875.99</f>
        <v>34059.049999999996</v>
      </c>
      <c r="N76" s="211">
        <f>11803.63+1320.23+3132.15+12104.63+822.42+4875.99</f>
        <v>34059.049999999996</v>
      </c>
      <c r="O76" s="212">
        <f t="shared" si="4"/>
        <v>0</v>
      </c>
      <c r="P76" s="213">
        <v>5</v>
      </c>
      <c r="Q76" s="214">
        <v>5</v>
      </c>
      <c r="R76" s="215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23</v>
      </c>
      <c r="I77" s="210">
        <v>12</v>
      </c>
      <c r="J77" s="210">
        <v>16</v>
      </c>
      <c r="K77" s="209">
        <v>16</v>
      </c>
      <c r="L77" s="210">
        <v>16</v>
      </c>
      <c r="M77" s="211">
        <f>4234.67+4498.63+1766.87+2083.87+1368.44+4016.5</f>
        <v>17968.979999999996</v>
      </c>
      <c r="N77" s="211">
        <f>4234.67+4498.63+1766.87+2083.87+1368.44</f>
        <v>13952.479999999998</v>
      </c>
      <c r="O77" s="212">
        <f t="shared" si="4"/>
        <v>4016.4999999999982</v>
      </c>
      <c r="P77" s="213"/>
      <c r="Q77" s="214"/>
      <c r="R77" s="215"/>
      <c r="S77" s="97"/>
      <c r="T77" s="97"/>
      <c r="U77" s="97">
        <f t="shared" si="5"/>
        <v>0</v>
      </c>
      <c r="V77" s="161"/>
    </row>
    <row r="78" spans="1:22" ht="20.100000000000001" customHeight="1" x14ac:dyDescent="0.25"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210"/>
      <c r="J78" s="210"/>
      <c r="K78" s="209"/>
      <c r="L78" s="210"/>
      <c r="M78" s="211"/>
      <c r="N78" s="211"/>
      <c r="O78" s="212">
        <f t="shared" si="4"/>
        <v>0</v>
      </c>
      <c r="P78" s="213">
        <v>9</v>
      </c>
      <c r="Q78" s="214">
        <v>9</v>
      </c>
      <c r="R78" s="215">
        <v>8</v>
      </c>
      <c r="S78" s="97">
        <v>3889.76</v>
      </c>
      <c r="T78" s="97">
        <v>3889.76</v>
      </c>
      <c r="U78" s="97">
        <f t="shared" si="5"/>
        <v>0</v>
      </c>
      <c r="V78" s="161"/>
    </row>
    <row r="79" spans="1:22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23</v>
      </c>
      <c r="I79" s="210">
        <v>15</v>
      </c>
      <c r="J79" s="210">
        <v>21</v>
      </c>
      <c r="K79" s="209">
        <v>21</v>
      </c>
      <c r="L79" s="210">
        <v>21</v>
      </c>
      <c r="M79" s="211">
        <f>8913.81+7027.61+1244.33+15395.91+4278.3</f>
        <v>36859.96</v>
      </c>
      <c r="N79" s="211">
        <f>8913.81+7027.61+1244.33+15395.91+4278.3</f>
        <v>36859.96</v>
      </c>
      <c r="O79" s="212">
        <f t="shared" si="4"/>
        <v>0</v>
      </c>
      <c r="P79" s="213">
        <v>4</v>
      </c>
      <c r="Q79" s="21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19</v>
      </c>
      <c r="I80" s="210">
        <v>14</v>
      </c>
      <c r="J80" s="210">
        <v>21</v>
      </c>
      <c r="K80" s="209">
        <v>21</v>
      </c>
      <c r="L80" s="210">
        <v>21</v>
      </c>
      <c r="M80" s="211">
        <f>14959.64+7384.39+14758.51+362.5+822.42</f>
        <v>38287.46</v>
      </c>
      <c r="N80" s="211">
        <f>14959.64+7384.39+14758.51+362.5</f>
        <v>37465.040000000001</v>
      </c>
      <c r="O80" s="212">
        <f t="shared" si="4"/>
        <v>822.41999999999825</v>
      </c>
      <c r="P80" s="213">
        <v>10</v>
      </c>
      <c r="Q80" s="214">
        <v>10</v>
      </c>
      <c r="R80" s="215">
        <v>10</v>
      </c>
      <c r="S80" s="97">
        <f>13554.7+2057.24+454.74</f>
        <v>16066.68</v>
      </c>
      <c r="T80" s="97">
        <f>13554.7+2057.24</f>
        <v>15611.94</v>
      </c>
      <c r="U80" s="97">
        <f t="shared" si="5"/>
        <v>454.73999999999978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210">
        <v>2</v>
      </c>
      <c r="J81" s="210">
        <v>4</v>
      </c>
      <c r="K81" s="209">
        <v>4</v>
      </c>
      <c r="L81" s="210">
        <v>1</v>
      </c>
      <c r="M81" s="211">
        <v>287.10000000000002</v>
      </c>
      <c r="N81" s="211"/>
      <c r="O81" s="212">
        <f t="shared" si="4"/>
        <v>287.10000000000002</v>
      </c>
      <c r="P81" s="213">
        <v>1</v>
      </c>
      <c r="Q81" s="214">
        <v>1</v>
      </c>
      <c r="R81" s="215">
        <v>1</v>
      </c>
      <c r="S81" s="97">
        <v>2673.24</v>
      </c>
      <c r="T81" s="97">
        <v>2673.24</v>
      </c>
      <c r="U81" s="97">
        <f t="shared" si="5"/>
        <v>0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20</v>
      </c>
      <c r="I82" s="210">
        <v>16</v>
      </c>
      <c r="J82" s="210">
        <v>17</v>
      </c>
      <c r="K82" s="209">
        <v>17</v>
      </c>
      <c r="L82" s="210">
        <v>17</v>
      </c>
      <c r="M82" s="211">
        <f>2626.75+8084.46+600.05+7445.83+942.5+668.95</f>
        <v>20368.539999999997</v>
      </c>
      <c r="N82" s="211">
        <f>2626.75+8084.46+600.05+7445.83+942.5+668.95</f>
        <v>20368.539999999997</v>
      </c>
      <c r="O82" s="212">
        <f t="shared" si="4"/>
        <v>0</v>
      </c>
      <c r="P82" s="213">
        <v>10</v>
      </c>
      <c r="Q82" s="214">
        <v>10</v>
      </c>
      <c r="R82" s="215">
        <v>10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23</v>
      </c>
      <c r="I83" s="210">
        <v>14</v>
      </c>
      <c r="J83" s="210">
        <v>25</v>
      </c>
      <c r="K83" s="209">
        <v>25</v>
      </c>
      <c r="L83" s="210">
        <v>25</v>
      </c>
      <c r="M83" s="211">
        <f>11232.31+3440.1+14435.12-1360.99+3088.95+2556.06</f>
        <v>33391.549999999996</v>
      </c>
      <c r="N83" s="211">
        <f>11232.31+3440.1+14435.12-1360.99+3088.95+2556.06</f>
        <v>33391.549999999996</v>
      </c>
      <c r="O83" s="212">
        <f t="shared" si="4"/>
        <v>0</v>
      </c>
      <c r="P83" s="213">
        <v>7</v>
      </c>
      <c r="Q83" s="21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20</v>
      </c>
      <c r="I84" s="210">
        <v>15</v>
      </c>
      <c r="J84" s="210">
        <v>24</v>
      </c>
      <c r="K84" s="209">
        <v>24</v>
      </c>
      <c r="L84" s="210">
        <v>23</v>
      </c>
      <c r="M84" s="211">
        <f>5429.56+2272.28+2029.9+2976.46+1243.6+3190.51</f>
        <v>17142.310000000001</v>
      </c>
      <c r="N84" s="211">
        <f>5429.56+2272.28+2029.9+2976.46+1243.6</f>
        <v>13951.800000000001</v>
      </c>
      <c r="O84" s="212">
        <f t="shared" si="4"/>
        <v>3190.51</v>
      </c>
      <c r="P84" s="213">
        <v>1</v>
      </c>
      <c r="Q84" s="21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42</v>
      </c>
      <c r="I85" s="210">
        <v>34</v>
      </c>
      <c r="J85" s="210">
        <v>60</v>
      </c>
      <c r="K85" s="209">
        <v>52</v>
      </c>
      <c r="L85" s="210">
        <v>52</v>
      </c>
      <c r="M85" s="211">
        <f>15506.09+4089.12+1924.78+1267.55+6546.86+1962.04+654.22+1080.22+392.95+1059.68</f>
        <v>34483.509999999995</v>
      </c>
      <c r="N85" s="211">
        <f>15506.09+4089.12+1924.78+1267.55+6546.86+1962.04+654.22+1080.22+392.95</f>
        <v>33423.829999999994</v>
      </c>
      <c r="O85" s="212">
        <f t="shared" si="4"/>
        <v>1059.6800000000003</v>
      </c>
      <c r="P85" s="213">
        <v>5</v>
      </c>
      <c r="Q85" s="21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19</v>
      </c>
      <c r="I86" s="210">
        <v>8</v>
      </c>
      <c r="J86" s="210">
        <v>9</v>
      </c>
      <c r="K86" s="209">
        <v>9</v>
      </c>
      <c r="L86" s="210">
        <v>9</v>
      </c>
      <c r="M86" s="211">
        <f>1956.76+1128.38+1752.82</f>
        <v>4837.96</v>
      </c>
      <c r="N86" s="211">
        <f>1956.76+1128.38</f>
        <v>3085.1400000000003</v>
      </c>
      <c r="O86" s="212">
        <f t="shared" si="4"/>
        <v>1752.8199999999997</v>
      </c>
      <c r="P86" s="213">
        <v>2</v>
      </c>
      <c r="Q86" s="21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9</v>
      </c>
      <c r="I87" s="210">
        <v>7</v>
      </c>
      <c r="J87" s="210">
        <v>9</v>
      </c>
      <c r="K87" s="209">
        <v>9</v>
      </c>
      <c r="L87" s="210">
        <v>9</v>
      </c>
      <c r="M87" s="211">
        <f>795.8+4099.92+1305+358.88+1643.65</f>
        <v>8203.25</v>
      </c>
      <c r="N87" s="211">
        <f>795.8+4099.92+1305+358.88+1643.65</f>
        <v>8203.25</v>
      </c>
      <c r="O87" s="212">
        <f t="shared" si="4"/>
        <v>0</v>
      </c>
      <c r="P87" s="213">
        <v>6</v>
      </c>
      <c r="Q87" s="214">
        <v>6</v>
      </c>
      <c r="R87" s="215">
        <v>6</v>
      </c>
      <c r="S87" s="97">
        <f>2723.78+3718.48+4265.16+4595.62</f>
        <v>15303.04</v>
      </c>
      <c r="T87" s="97">
        <f>2723.78+3718.48+4265.16</f>
        <v>10707.42</v>
      </c>
      <c r="U87" s="97">
        <f t="shared" si="5"/>
        <v>4595.6200000000008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210"/>
      <c r="J88" s="210"/>
      <c r="K88" s="209"/>
      <c r="L88" s="210"/>
      <c r="M88" s="211"/>
      <c r="N88" s="211"/>
      <c r="O88" s="212">
        <f t="shared" si="4"/>
        <v>0</v>
      </c>
      <c r="P88" s="213">
        <v>6</v>
      </c>
      <c r="Q88" s="21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15</v>
      </c>
      <c r="I89" s="210">
        <v>8</v>
      </c>
      <c r="J89" s="210">
        <v>10</v>
      </c>
      <c r="K89" s="209">
        <v>10</v>
      </c>
      <c r="L89" s="210">
        <v>9</v>
      </c>
      <c r="M89" s="211">
        <f>2874.33+1509.2+1943+315.81</f>
        <v>6642.34</v>
      </c>
      <c r="N89" s="211">
        <f>2874.33+1509.2+1943+315.81</f>
        <v>6642.34</v>
      </c>
      <c r="O89" s="212">
        <f t="shared" si="4"/>
        <v>0</v>
      </c>
      <c r="P89" s="213">
        <v>7</v>
      </c>
      <c r="Q89" s="214">
        <v>7</v>
      </c>
      <c r="R89" s="215">
        <v>6</v>
      </c>
      <c r="S89" s="97">
        <f>8161.92+1118.75+3779.58+1127.2</f>
        <v>14187.45</v>
      </c>
      <c r="T89" s="97">
        <f>8161.92+1118.75+3779.58+1127.2</f>
        <v>14187.45</v>
      </c>
      <c r="U89" s="97">
        <f t="shared" si="5"/>
        <v>0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48</v>
      </c>
      <c r="I90" s="210">
        <v>37</v>
      </c>
      <c r="J90" s="210">
        <v>67</v>
      </c>
      <c r="K90" s="209">
        <v>66</v>
      </c>
      <c r="L90" s="210">
        <v>66</v>
      </c>
      <c r="M90" s="211">
        <f>14303.46+6714.67+1828.05+13505.93+582.9+8733.75+358.88+2031</f>
        <v>48058.64</v>
      </c>
      <c r="N90" s="211">
        <f>14303.46+6714.67+1828.05+13505.93+582.9+8733.75+358.88</f>
        <v>46027.64</v>
      </c>
      <c r="O90" s="212">
        <f t="shared" si="4"/>
        <v>2031</v>
      </c>
      <c r="P90" s="213">
        <v>8</v>
      </c>
      <c r="Q90" s="214">
        <v>8</v>
      </c>
      <c r="R90" s="215">
        <v>8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30</v>
      </c>
      <c r="I91" s="210">
        <v>17</v>
      </c>
      <c r="J91" s="210">
        <v>24</v>
      </c>
      <c r="K91" s="209">
        <v>20</v>
      </c>
      <c r="L91" s="210">
        <v>18</v>
      </c>
      <c r="M91" s="211">
        <f>5384.83+3572.76+8100.09</f>
        <v>17057.68</v>
      </c>
      <c r="N91" s="211">
        <f>5384.83+3572.76+8100.09</f>
        <v>17057.68</v>
      </c>
      <c r="O91" s="212">
        <f t="shared" si="4"/>
        <v>0</v>
      </c>
      <c r="P91" s="213">
        <v>7</v>
      </c>
      <c r="Q91" s="214">
        <v>7</v>
      </c>
      <c r="R91" s="215">
        <v>7</v>
      </c>
      <c r="S91" s="97">
        <f>6219.66+748.35+1502.94</f>
        <v>8470.9500000000007</v>
      </c>
      <c r="T91" s="97">
        <f>6219.66+748.35+1502.94</f>
        <v>8470.9500000000007</v>
      </c>
      <c r="U91" s="97">
        <f t="shared" si="5"/>
        <v>0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24</v>
      </c>
      <c r="I92" s="210">
        <v>15</v>
      </c>
      <c r="J92" s="210">
        <v>21</v>
      </c>
      <c r="K92" s="209">
        <v>21</v>
      </c>
      <c r="L92" s="210">
        <v>19</v>
      </c>
      <c r="M92" s="211">
        <f>2301.54+4352.56+3555.69+1798.94+1481.14+763.69+2342.6+947.21</f>
        <v>17543.37</v>
      </c>
      <c r="N92" s="211">
        <f>2301.54+4352.56+3555.69+1798.94+1481.14+763.69+2342.6</f>
        <v>16596.16</v>
      </c>
      <c r="O92" s="212">
        <f t="shared" si="4"/>
        <v>947.20999999999913</v>
      </c>
      <c r="P92" s="213">
        <v>1</v>
      </c>
      <c r="Q92" s="21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109</v>
      </c>
      <c r="I93" s="210">
        <v>83</v>
      </c>
      <c r="J93" s="210">
        <v>98</v>
      </c>
      <c r="K93" s="209">
        <v>74</v>
      </c>
      <c r="L93" s="210">
        <v>63</v>
      </c>
      <c r="M93" s="211">
        <f>14656.12+3543.47+2420.25+2112.66+1299.21+2099.6+145+12320.24</f>
        <v>38596.549999999996</v>
      </c>
      <c r="N93" s="211">
        <f>14656.12+3543.47+2420.25+2112.66+1299.21+2099.6+145-10054.69</f>
        <v>16221.619999999997</v>
      </c>
      <c r="O93" s="212">
        <f t="shared" si="4"/>
        <v>22374.93</v>
      </c>
      <c r="P93" s="213">
        <v>10</v>
      </c>
      <c r="Q93" s="214">
        <v>10</v>
      </c>
      <c r="R93" s="215">
        <v>10</v>
      </c>
      <c r="S93" s="97">
        <f>11083.64+344.5</f>
        <v>11428.14</v>
      </c>
      <c r="T93" s="97">
        <f>11083.64+344.5</f>
        <v>11428.14</v>
      </c>
      <c r="U93" s="97">
        <f t="shared" si="5"/>
        <v>0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42</v>
      </c>
      <c r="I94" s="210">
        <v>22</v>
      </c>
      <c r="J94" s="210">
        <v>26</v>
      </c>
      <c r="K94" s="210">
        <v>25</v>
      </c>
      <c r="L94" s="210">
        <v>21</v>
      </c>
      <c r="M94" s="211">
        <f>6576.32+217.5+2898.52+939.6+1008.45+1200.17+3722.95</f>
        <v>16563.510000000002</v>
      </c>
      <c r="N94" s="211">
        <f>6576.32+217.5+2898.52+939.6+1008.45+1200.17</f>
        <v>12840.560000000001</v>
      </c>
      <c r="O94" s="212">
        <f t="shared" si="4"/>
        <v>3722.9500000000007</v>
      </c>
      <c r="P94" s="213">
        <v>24</v>
      </c>
      <c r="Q94" s="215">
        <v>24</v>
      </c>
      <c r="R94" s="215">
        <v>24</v>
      </c>
      <c r="S94" s="97">
        <f>18253.04+4245.2+858.65+1546.26+14802.65</f>
        <v>39705.800000000003</v>
      </c>
      <c r="T94" s="97">
        <f>18253.04+4245.2+858.65+1546.26+14802.65</f>
        <v>39705.800000000003</v>
      </c>
      <c r="U94" s="97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31</v>
      </c>
      <c r="I95" s="210">
        <v>15</v>
      </c>
      <c r="J95" s="210">
        <v>22</v>
      </c>
      <c r="K95" s="209">
        <v>21</v>
      </c>
      <c r="L95" s="210">
        <v>18</v>
      </c>
      <c r="M95" s="211">
        <f>2362.32+22110.36+455.21+2039.58+953.22+699.73+275.6+9654.91+1049.22</f>
        <v>39600.15</v>
      </c>
      <c r="N95" s="211">
        <f>2362.32+22110.36+455.21+2039.58+953.22+699.73+275.6+9654.91</f>
        <v>38550.93</v>
      </c>
      <c r="O95" s="212">
        <f t="shared" si="4"/>
        <v>1049.2200000000012</v>
      </c>
      <c r="P95" s="213">
        <v>16</v>
      </c>
      <c r="Q95" s="214">
        <v>16</v>
      </c>
      <c r="R95" s="215">
        <v>16</v>
      </c>
      <c r="S95" s="97">
        <f>24552.24+1001.28+122.46+1729.98-1</f>
        <v>27404.959999999999</v>
      </c>
      <c r="T95" s="97">
        <f>24552.24+1001.28+122.46+1729.98-1</f>
        <v>27404.959999999999</v>
      </c>
      <c r="U95" s="97">
        <f t="shared" si="5"/>
        <v>0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11</v>
      </c>
      <c r="I96" s="210">
        <v>7</v>
      </c>
      <c r="J96" s="210">
        <v>11</v>
      </c>
      <c r="K96" s="209">
        <v>10</v>
      </c>
      <c r="L96" s="210">
        <v>10</v>
      </c>
      <c r="M96" s="211">
        <f>826.8+2786.41+2401.3</f>
        <v>6014.51</v>
      </c>
      <c r="N96" s="211">
        <f>826.8+2786.41+2401.3</f>
        <v>6014.51</v>
      </c>
      <c r="O96" s="212">
        <f t="shared" si="4"/>
        <v>0</v>
      </c>
      <c r="P96" s="213"/>
      <c r="Q96" s="214"/>
      <c r="R96" s="215"/>
      <c r="S96" s="97"/>
      <c r="T96" s="97"/>
      <c r="U96" s="97">
        <f t="shared" si="5"/>
        <v>0</v>
      </c>
      <c r="V96" s="161"/>
    </row>
    <row r="97" spans="1:35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210">
        <v>7</v>
      </c>
      <c r="J97" s="210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3171.93+1457.25+380.63</f>
        <v>5009.8100000000004</v>
      </c>
      <c r="O97" s="212">
        <f t="shared" si="4"/>
        <v>0</v>
      </c>
      <c r="P97" s="213">
        <v>4</v>
      </c>
      <c r="Q97" s="21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</row>
    <row r="98" spans="1:35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19</v>
      </c>
      <c r="I98" s="210">
        <v>9</v>
      </c>
      <c r="J98" s="210">
        <v>11</v>
      </c>
      <c r="K98" s="209">
        <v>11</v>
      </c>
      <c r="L98" s="210">
        <v>11</v>
      </c>
      <c r="M98" s="211">
        <f>757.9+551.2+895.7+290+725+841.2</f>
        <v>4061</v>
      </c>
      <c r="N98" s="211">
        <f>757.9+551.2+895.7+290+725</f>
        <v>3219.8</v>
      </c>
      <c r="O98" s="212">
        <f t="shared" si="4"/>
        <v>841.19999999999982</v>
      </c>
      <c r="P98" s="213">
        <v>13</v>
      </c>
      <c r="Q98" s="214">
        <v>13</v>
      </c>
      <c r="R98" s="215">
        <v>13</v>
      </c>
      <c r="S98" s="97">
        <f>8034.56+3466.13+4060.73+413.4</f>
        <v>15974.82</v>
      </c>
      <c r="T98" s="97">
        <f>8034.56+3466.13+4060.73</f>
        <v>15561.42</v>
      </c>
      <c r="U98" s="97">
        <f t="shared" si="5"/>
        <v>413.39999999999964</v>
      </c>
      <c r="V98" s="161"/>
    </row>
    <row r="99" spans="1:35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28</v>
      </c>
      <c r="I99" s="210">
        <v>16</v>
      </c>
      <c r="J99" s="210">
        <v>21</v>
      </c>
      <c r="K99" s="209">
        <v>21</v>
      </c>
      <c r="L99" s="210">
        <v>17</v>
      </c>
      <c r="M99" s="211">
        <f>4782.23+1353.89+2195.41+1197.7+1340.79+681.5+699.48</f>
        <v>12251</v>
      </c>
      <c r="N99" s="211">
        <f>4782.23+1353.89+2195.41+1197.7+1340.79+681.5</f>
        <v>11551.52</v>
      </c>
      <c r="O99" s="212">
        <f t="shared" si="4"/>
        <v>699.47999999999956</v>
      </c>
      <c r="P99" s="213">
        <v>11</v>
      </c>
      <c r="Q99" s="214">
        <v>11</v>
      </c>
      <c r="R99" s="215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</row>
    <row r="100" spans="1:35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29</v>
      </c>
      <c r="I100" s="210">
        <v>12</v>
      </c>
      <c r="J100" s="210">
        <v>21</v>
      </c>
      <c r="K100" s="209">
        <v>21</v>
      </c>
      <c r="L100" s="210">
        <v>19</v>
      </c>
      <c r="M100" s="211">
        <f>10862.96+2375.03+5632.11+356.47+2077.94</f>
        <v>21304.51</v>
      </c>
      <c r="N100" s="211">
        <f>10862.96+2375.03+5632.11+356.47</f>
        <v>19226.57</v>
      </c>
      <c r="O100" s="212">
        <f t="shared" si="4"/>
        <v>2077.9399999999987</v>
      </c>
      <c r="P100" s="213">
        <v>10</v>
      </c>
      <c r="Q100" s="214">
        <v>10</v>
      </c>
      <c r="R100" s="215">
        <v>10</v>
      </c>
      <c r="S100" s="97">
        <f>4780.1+2135.9</f>
        <v>6916</v>
      </c>
      <c r="T100" s="97">
        <f>4780.1+2135.9</f>
        <v>6916</v>
      </c>
      <c r="U100" s="97">
        <f t="shared" si="5"/>
        <v>0</v>
      </c>
      <c r="V100" s="161"/>
    </row>
    <row r="101" spans="1:35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91</v>
      </c>
      <c r="I101" s="210">
        <v>65</v>
      </c>
      <c r="J101" s="210">
        <v>74</v>
      </c>
      <c r="K101" s="209">
        <v>54</v>
      </c>
      <c r="L101" s="210">
        <v>45</v>
      </c>
      <c r="M101" s="211">
        <f>16276.16+4466.66+1078.5+4011.53+435+1493.5+2243.15+1864.7</f>
        <v>31869.200000000001</v>
      </c>
      <c r="N101" s="211">
        <f>16276.16+4466.66+1078.5+4011.53+435+1493.5+2243.15-144.3</f>
        <v>29860.2</v>
      </c>
      <c r="O101" s="212">
        <f t="shared" si="4"/>
        <v>2009</v>
      </c>
      <c r="P101" s="213">
        <v>35</v>
      </c>
      <c r="Q101" s="214">
        <v>35</v>
      </c>
      <c r="R101" s="215">
        <v>34</v>
      </c>
      <c r="S101" s="97">
        <f>21329.45-2252.12+532.3+345.99+26455.28+1.67+3039.85-3960.98+551.2</f>
        <v>46042.639999999992</v>
      </c>
      <c r="T101" s="97">
        <f>21329.45-2252.12+532.3+345.99+26455.28+1.67+3039.85-3960.98</f>
        <v>45491.439999999995</v>
      </c>
      <c r="U101" s="97">
        <f t="shared" si="5"/>
        <v>551.19999999999709</v>
      </c>
      <c r="V101" s="161"/>
    </row>
    <row r="102" spans="1:35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13</v>
      </c>
      <c r="I102" s="217">
        <v>8</v>
      </c>
      <c r="J102" s="217">
        <v>11</v>
      </c>
      <c r="K102" s="216">
        <v>11</v>
      </c>
      <c r="L102" s="217">
        <v>11</v>
      </c>
      <c r="M102" s="218">
        <f>3259.83+1328.19+2964.21+8477.2</f>
        <v>16029.43</v>
      </c>
      <c r="N102" s="218">
        <f>3259.83+1328.19+2964.21+8477.2</f>
        <v>16029.43</v>
      </c>
      <c r="O102" s="212">
        <f t="shared" si="4"/>
        <v>0</v>
      </c>
      <c r="P102" s="219">
        <v>4</v>
      </c>
      <c r="Q102" s="220">
        <v>4</v>
      </c>
      <c r="R102" s="221">
        <v>4</v>
      </c>
      <c r="S102" s="147">
        <f>1193.3+5843.89</f>
        <v>7037.1900000000005</v>
      </c>
      <c r="T102" s="147">
        <f>1193.3+5843.89</f>
        <v>7037.1900000000005</v>
      </c>
      <c r="U102" s="147">
        <f t="shared" si="5"/>
        <v>0</v>
      </c>
      <c r="V102" s="161"/>
    </row>
    <row r="103" spans="1:35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23</v>
      </c>
      <c r="I103" s="210">
        <v>6</v>
      </c>
      <c r="J103" s="210">
        <v>8</v>
      </c>
      <c r="K103" s="209">
        <v>8</v>
      </c>
      <c r="L103" s="210">
        <v>8</v>
      </c>
      <c r="M103" s="211">
        <f>699.33+580+1941.55</f>
        <v>3220.88</v>
      </c>
      <c r="N103" s="211">
        <f>699.33+580</f>
        <v>1279.33</v>
      </c>
      <c r="O103" s="212">
        <f t="shared" si="4"/>
        <v>1941.5500000000002</v>
      </c>
      <c r="P103" s="215"/>
      <c r="Q103" s="214"/>
      <c r="R103" s="215"/>
      <c r="S103" s="97"/>
      <c r="T103" s="97"/>
      <c r="U103" s="147">
        <f t="shared" si="5"/>
        <v>0</v>
      </c>
      <c r="V103" s="161"/>
    </row>
    <row r="104" spans="1:35" ht="20.100000000000001" customHeight="1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210">
        <v>2</v>
      </c>
      <c r="J104" s="210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214"/>
      <c r="R104" s="215"/>
      <c r="S104" s="97"/>
      <c r="T104" s="97"/>
      <c r="U104" s="97">
        <f t="shared" si="5"/>
        <v>0</v>
      </c>
      <c r="V104" s="161"/>
      <c r="AF104" s="145"/>
    </row>
    <row r="105" spans="1:35" ht="20.100000000000001" customHeight="1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2440</v>
      </c>
      <c r="I105" s="223">
        <f t="shared" si="7"/>
        <v>1514</v>
      </c>
      <c r="J105" s="223">
        <f t="shared" si="7"/>
        <v>2052</v>
      </c>
      <c r="K105" s="222">
        <f t="shared" si="7"/>
        <v>1930</v>
      </c>
      <c r="L105" s="223">
        <f t="shared" si="7"/>
        <v>1794</v>
      </c>
      <c r="M105" s="224">
        <f t="shared" si="7"/>
        <v>1504299.3100000003</v>
      </c>
      <c r="N105" s="224">
        <f t="shared" si="7"/>
        <v>1387027.8700000003</v>
      </c>
      <c r="O105" s="224">
        <f t="shared" si="7"/>
        <v>117271.44</v>
      </c>
      <c r="P105" s="225">
        <f t="shared" si="7"/>
        <v>743</v>
      </c>
      <c r="Q105" s="226">
        <f>SUM(Q10:Q104)</f>
        <v>740</v>
      </c>
      <c r="R105" s="225">
        <f>SUM(R11:R104)</f>
        <v>718</v>
      </c>
      <c r="S105" s="151">
        <f>SUM(S10:S104)</f>
        <v>1020615.6099999999</v>
      </c>
      <c r="T105" s="151">
        <f>SUM(T10:T104)</f>
        <v>1011209.8299999997</v>
      </c>
      <c r="U105" s="151">
        <f>SUM(U10:U104)</f>
        <v>9405.779999999997</v>
      </c>
      <c r="V105" s="240"/>
      <c r="W105" s="241"/>
      <c r="X105" s="242"/>
      <c r="Y105" s="241"/>
      <c r="Z105" s="242"/>
      <c r="AA105" s="241"/>
      <c r="AB105" s="242"/>
      <c r="AC105" s="242"/>
      <c r="AD105" s="242"/>
      <c r="AE105" s="242"/>
      <c r="AF105" s="241"/>
      <c r="AG105" s="241"/>
      <c r="AH105" s="236"/>
    </row>
    <row r="106" spans="1:35" x14ac:dyDescent="0.25">
      <c r="V106" s="160"/>
      <c r="W106" s="159"/>
      <c r="X106" s="160"/>
      <c r="Y106" s="160"/>
      <c r="Z106" s="160"/>
      <c r="AA106" s="160"/>
      <c r="AB106" s="160"/>
      <c r="AC106" s="160"/>
      <c r="AD106" s="160"/>
      <c r="AE106" s="160"/>
      <c r="AF106" s="235"/>
      <c r="AG106" s="235"/>
      <c r="AH106" s="235"/>
    </row>
    <row r="107" spans="1:35" x14ac:dyDescent="0.25">
      <c r="V107" s="145"/>
      <c r="W107" s="145"/>
      <c r="AF107" s="234"/>
      <c r="AG107" s="234"/>
      <c r="AH107" s="234"/>
      <c r="AI107" s="145"/>
    </row>
    <row r="108" spans="1:35" x14ac:dyDescent="0.25">
      <c r="V108" s="145"/>
      <c r="W108" s="145"/>
      <c r="AF108" s="234"/>
      <c r="AG108" s="235"/>
      <c r="AH108" s="235"/>
    </row>
    <row r="109" spans="1:35" x14ac:dyDescent="0.25">
      <c r="V109" s="145"/>
      <c r="AF109" s="235"/>
      <c r="AG109" s="235"/>
      <c r="AH109" s="234"/>
    </row>
    <row r="110" spans="1:35" x14ac:dyDescent="0.25">
      <c r="AF110" s="235"/>
      <c r="AG110" s="235"/>
      <c r="AH110" s="234"/>
    </row>
    <row r="111" spans="1:35" x14ac:dyDescent="0.25">
      <c r="AF111" s="235"/>
      <c r="AG111" s="235"/>
      <c r="AH111" s="235"/>
    </row>
    <row r="112" spans="1:35" x14ac:dyDescent="0.25">
      <c r="AF112" s="235"/>
      <c r="AG112" s="235"/>
      <c r="AH112" s="235"/>
    </row>
    <row r="113" spans="15:34" x14ac:dyDescent="0.25">
      <c r="AF113" s="235"/>
      <c r="AG113" s="235"/>
      <c r="AH113" s="235"/>
    </row>
    <row r="114" spans="15:34" x14ac:dyDescent="0.25">
      <c r="AF114" s="235"/>
      <c r="AG114" s="235"/>
      <c r="AH114" s="235"/>
    </row>
    <row r="115" spans="15:34" x14ac:dyDescent="0.25">
      <c r="O115" s="18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257" priority="11" stopIfTrue="1" operator="equal">
      <formula>0</formula>
    </cfRule>
  </conditionalFormatting>
  <conditionalFormatting sqref="AL45">
    <cfRule type="cellIs" dxfId="256" priority="10" stopIfTrue="1" operator="equal">
      <formula>0</formula>
    </cfRule>
  </conditionalFormatting>
  <conditionalFormatting sqref="T45">
    <cfRule type="cellIs" dxfId="255" priority="9" stopIfTrue="1" operator="equal">
      <formula>0</formula>
    </cfRule>
  </conditionalFormatting>
  <conditionalFormatting sqref="T45">
    <cfRule type="cellIs" dxfId="254" priority="8" stopIfTrue="1" operator="equal">
      <formula>0</formula>
    </cfRule>
  </conditionalFormatting>
  <conditionalFormatting sqref="T45">
    <cfRule type="cellIs" dxfId="253" priority="7" stopIfTrue="1" operator="equal">
      <formula>0</formula>
    </cfRule>
  </conditionalFormatting>
  <conditionalFormatting sqref="T45">
    <cfRule type="cellIs" dxfId="252" priority="6" stopIfTrue="1" operator="equal">
      <formula>0</formula>
    </cfRule>
  </conditionalFormatting>
  <conditionalFormatting sqref="T45">
    <cfRule type="cellIs" dxfId="251" priority="5" stopIfTrue="1" operator="equal">
      <formula>0</formula>
    </cfRule>
  </conditionalFormatting>
  <conditionalFormatting sqref="T45">
    <cfRule type="cellIs" dxfId="250" priority="4" stopIfTrue="1" operator="equal">
      <formula>0</formula>
    </cfRule>
  </conditionalFormatting>
  <conditionalFormatting sqref="T45">
    <cfRule type="cellIs" dxfId="249" priority="3" stopIfTrue="1" operator="equal">
      <formula>0</formula>
    </cfRule>
  </conditionalFormatting>
  <conditionalFormatting sqref="T45">
    <cfRule type="cellIs" dxfId="248" priority="2" stopIfTrue="1" operator="equal">
      <formula>0</formula>
    </cfRule>
  </conditionalFormatting>
  <conditionalFormatting sqref="T45">
    <cfRule type="cellIs" dxfId="247" priority="1" stopIfTrue="1" operator="equal">
      <formula>0</formula>
    </cfRule>
  </conditionalFormatting>
  <pageMargins left="0.7" right="0.7" top="0.75" bottom="0.75" header="0.3" footer="0.3"/>
  <pageSetup paperSize="9" scale="3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B73" zoomScale="80" zoomScaleNormal="80" workbookViewId="0">
      <selection activeCell="I95" sqref="I95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5.140625" style="184" customWidth="1"/>
    <col min="7" max="7" width="18.5703125" style="184" customWidth="1"/>
    <col min="8" max="8" width="10.7109375" style="184" customWidth="1"/>
    <col min="9" max="10" width="9.140625" style="184" customWidth="1"/>
    <col min="11" max="12" width="9.140625" style="227" customWidth="1"/>
    <col min="13" max="13" width="14.5703125" style="228" customWidth="1"/>
    <col min="14" max="14" width="12.42578125" style="228" customWidth="1"/>
    <col min="15" max="15" width="12.28515625" style="228" customWidth="1"/>
    <col min="16" max="18" width="9.140625" style="228" customWidth="1"/>
    <col min="19" max="19" width="16.85546875" style="185" customWidth="1"/>
    <col min="20" max="20" width="12.7109375" style="185" customWidth="1"/>
    <col min="21" max="21" width="10.85546875" style="186" customWidth="1"/>
    <col min="22" max="22" width="15" style="134" customWidth="1"/>
    <col min="23" max="23" width="14" style="134" hidden="1" customWidth="1"/>
    <col min="24" max="24" width="9.140625" style="134" hidden="1" customWidth="1"/>
    <col min="25" max="25" width="9.5703125" style="134" hidden="1" customWidth="1"/>
    <col min="26" max="26" width="9.140625" style="134" hidden="1" customWidth="1"/>
    <col min="27" max="27" width="9.5703125" style="134" hidden="1" customWidth="1"/>
    <col min="28" max="30" width="9.140625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3" style="134" customWidth="1"/>
    <col min="35" max="42" width="9.140625" style="134" customWidth="1"/>
  </cols>
  <sheetData>
    <row r="1" spans="1:40" customFormat="1" ht="16.5" thickBot="1" x14ac:dyDescent="0.3">
      <c r="A1" s="155"/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</row>
    <row r="2" spans="1:40" customFormat="1" x14ac:dyDescent="0.25">
      <c r="A2" s="155"/>
      <c r="B2" s="348" t="s">
        <v>313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</row>
    <row r="3" spans="1:40" customFormat="1" x14ac:dyDescent="0.25">
      <c r="A3" s="155"/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</row>
    <row r="4" spans="1:40" customFormat="1" x14ac:dyDescent="0.25">
      <c r="A4" s="155"/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</row>
    <row r="5" spans="1:40" customFormat="1" x14ac:dyDescent="0.25">
      <c r="A5" s="155"/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</row>
    <row r="6" spans="1:40" customFormat="1" ht="16.5" thickBot="1" x14ac:dyDescent="0.3">
      <c r="A6" s="155"/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</row>
    <row r="7" spans="1:40" customFormat="1" ht="82.5" customHeight="1" thickBot="1" x14ac:dyDescent="0.3">
      <c r="A7" s="155"/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314</v>
      </c>
      <c r="Q7" s="360"/>
      <c r="R7" s="360"/>
      <c r="S7" s="360"/>
      <c r="T7" s="360"/>
      <c r="U7" s="361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</row>
    <row r="8" spans="1:40" customFormat="1" ht="311.25" customHeight="1" x14ac:dyDescent="0.25">
      <c r="A8" s="155"/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</row>
    <row r="9" spans="1:40" customFormat="1" x14ac:dyDescent="0.25">
      <c r="A9" s="155"/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</row>
    <row r="10" spans="1:40" customFormat="1" ht="20.100000000000001" customHeight="1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41</v>
      </c>
      <c r="I10" s="75">
        <v>27</v>
      </c>
      <c r="J10" s="75">
        <v>30</v>
      </c>
      <c r="K10" s="209">
        <v>30</v>
      </c>
      <c r="L10" s="210">
        <v>29</v>
      </c>
      <c r="M10" s="211">
        <f>8818.63+2629.32+1661.28+2228.94+580+2232.29</f>
        <v>18150.46</v>
      </c>
      <c r="N10" s="211">
        <f>8818.63+2629.32+1661.28+2228.94+580</f>
        <v>15918.17</v>
      </c>
      <c r="O10" s="212">
        <f xml:space="preserve"> (M10-N10)</f>
        <v>2232.2899999999991</v>
      </c>
      <c r="P10" s="123">
        <v>8</v>
      </c>
      <c r="Q10" s="214">
        <v>8</v>
      </c>
      <c r="R10" s="215">
        <v>8</v>
      </c>
      <c r="S10" s="97">
        <f>4246.75+895.7+2557.8</f>
        <v>7700.25</v>
      </c>
      <c r="T10" s="97">
        <f>4246.75+895.7+2557.8</f>
        <v>7700.25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customFormat="1" ht="20.100000000000001" customHeight="1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14</v>
      </c>
      <c r="I11" s="75">
        <v>13</v>
      </c>
      <c r="J11" s="75">
        <v>13</v>
      </c>
      <c r="K11" s="209">
        <v>13</v>
      </c>
      <c r="L11" s="210">
        <v>13</v>
      </c>
      <c r="M11" s="211">
        <f>1778.86+580+1740+464+580</f>
        <v>5142.8599999999997</v>
      </c>
      <c r="N11" s="211">
        <f>1778.86+580+1740+464+580</f>
        <v>5142.8599999999997</v>
      </c>
      <c r="O11" s="212">
        <f t="shared" ref="O11:O74" si="1" xml:space="preserve"> (M11-N11)</f>
        <v>0</v>
      </c>
      <c r="P11" s="123">
        <v>2</v>
      </c>
      <c r="Q11" s="21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customFormat="1" ht="20.100000000000001" customHeigh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75"/>
      <c r="J12" s="75"/>
      <c r="K12" s="209"/>
      <c r="L12" s="210"/>
      <c r="M12" s="211"/>
      <c r="N12" s="211"/>
      <c r="O12" s="212">
        <f t="shared" si="1"/>
        <v>0</v>
      </c>
      <c r="P12" s="123">
        <v>3</v>
      </c>
      <c r="Q12" s="21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customFormat="1" ht="20.100000000000001" customHeight="1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31</v>
      </c>
      <c r="I13" s="75">
        <v>20</v>
      </c>
      <c r="J13" s="75">
        <v>26</v>
      </c>
      <c r="K13" s="209">
        <v>21</v>
      </c>
      <c r="L13" s="210">
        <v>21</v>
      </c>
      <c r="M13" s="211">
        <f>272.84+2699.54+4096.17+3682.51</f>
        <v>10751.060000000001</v>
      </c>
      <c r="N13" s="211">
        <f>272.84+2699.54+4096.17</f>
        <v>7068.55</v>
      </c>
      <c r="O13" s="212">
        <f t="shared" si="1"/>
        <v>3682.5100000000011</v>
      </c>
      <c r="P13" s="123">
        <v>5</v>
      </c>
      <c r="Q13" s="214">
        <v>5</v>
      </c>
      <c r="R13" s="215">
        <v>5</v>
      </c>
      <c r="S13" s="97">
        <f>7385.53+1228.66+7042.2</f>
        <v>15656.39</v>
      </c>
      <c r="T13" s="97">
        <f>7385.53+1228.66+7042.2</f>
        <v>15656.39</v>
      </c>
      <c r="U13" s="97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customFormat="1" ht="20.100000000000001" customHeight="1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33</v>
      </c>
      <c r="I14" s="75">
        <v>21</v>
      </c>
      <c r="J14" s="75">
        <v>28</v>
      </c>
      <c r="K14" s="209">
        <v>28</v>
      </c>
      <c r="L14" s="210">
        <v>25</v>
      </c>
      <c r="M14" s="211">
        <f>4932.74+3257.04+137+2487.39+344.5+725+7097.92</f>
        <v>18981.589999999997</v>
      </c>
      <c r="N14" s="211">
        <f>4932.74+3257.04+137+2487.39+344.5+725</f>
        <v>11883.669999999998</v>
      </c>
      <c r="O14" s="212">
        <f t="shared" si="1"/>
        <v>7097.9199999999983</v>
      </c>
      <c r="P14" s="123">
        <v>7</v>
      </c>
      <c r="Q14" s="214">
        <v>7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customFormat="1" ht="20.100000000000001" customHeight="1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31</v>
      </c>
      <c r="I15" s="75">
        <v>24</v>
      </c>
      <c r="J15" s="75">
        <v>29</v>
      </c>
      <c r="K15" s="209">
        <v>29</v>
      </c>
      <c r="L15" s="210">
        <v>28</v>
      </c>
      <c r="M15" s="211">
        <f>16942.87+1278.76+580+108.75+616.25</f>
        <v>19526.629999999997</v>
      </c>
      <c r="N15" s="211">
        <f>16942.87+1278.76+580+108.75</f>
        <v>18910.379999999997</v>
      </c>
      <c r="O15" s="212">
        <f t="shared" si="1"/>
        <v>616.25</v>
      </c>
      <c r="P15" s="123">
        <v>15</v>
      </c>
      <c r="Q15" s="214">
        <v>15</v>
      </c>
      <c r="R15" s="215">
        <v>14</v>
      </c>
      <c r="S15" s="97">
        <f>13813.9+1491.1</f>
        <v>15305</v>
      </c>
      <c r="T15" s="97">
        <f>13813.9+1491.1</f>
        <v>15305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customFormat="1" ht="20.100000000000001" customHeight="1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75"/>
      <c r="J16" s="75"/>
      <c r="K16" s="209"/>
      <c r="L16" s="210"/>
      <c r="M16" s="211"/>
      <c r="N16" s="211"/>
      <c r="O16" s="212">
        <f t="shared" si="1"/>
        <v>0</v>
      </c>
      <c r="P16" s="123"/>
      <c r="Q16" s="21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43</v>
      </c>
      <c r="I17" s="75">
        <v>19</v>
      </c>
      <c r="J17" s="75">
        <v>25</v>
      </c>
      <c r="K17" s="209">
        <v>18</v>
      </c>
      <c r="L17" s="210">
        <v>17</v>
      </c>
      <c r="M17" s="211">
        <f>7235.14+4416.12+1559.66+658.56+1087.5+652.5</f>
        <v>15609.48</v>
      </c>
      <c r="N17" s="211">
        <f>7235.14+4416.12+1559.66+658.56+1087.5</f>
        <v>14956.98</v>
      </c>
      <c r="O17" s="212">
        <f t="shared" si="1"/>
        <v>652.5</v>
      </c>
      <c r="P17" s="123">
        <v>1</v>
      </c>
      <c r="Q17" s="21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32</v>
      </c>
      <c r="I18" s="75">
        <v>25</v>
      </c>
      <c r="J18" s="75">
        <v>29</v>
      </c>
      <c r="K18" s="210">
        <v>27</v>
      </c>
      <c r="L18" s="210">
        <v>23</v>
      </c>
      <c r="M18" s="211">
        <f>2118.92+12936.58+4403.89+2411.49+2972.12+403.47</f>
        <v>25246.469999999998</v>
      </c>
      <c r="N18" s="211">
        <f>2118.92+12936.58+4403.89+2411.49+2972.12</f>
        <v>24842.999999999996</v>
      </c>
      <c r="O18" s="212">
        <f t="shared" si="1"/>
        <v>403.47000000000116</v>
      </c>
      <c r="P18" s="123">
        <v>7</v>
      </c>
      <c r="Q18" s="215">
        <v>6</v>
      </c>
      <c r="R18" s="215">
        <v>6</v>
      </c>
      <c r="S18" s="97">
        <f>14748.55+934.31</f>
        <v>15682.859999999999</v>
      </c>
      <c r="T18" s="97">
        <f>14748.55+934.31</f>
        <v>15682.859999999999</v>
      </c>
      <c r="U18" s="97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31</v>
      </c>
      <c r="I19" s="75">
        <v>18</v>
      </c>
      <c r="J19" s="75">
        <v>32</v>
      </c>
      <c r="K19" s="209">
        <v>26</v>
      </c>
      <c r="L19" s="210">
        <v>25</v>
      </c>
      <c r="M19" s="211">
        <f>5345.36+3385.2+4242.79+7468.83+387.77+2322.34</f>
        <v>23152.29</v>
      </c>
      <c r="N19" s="211">
        <f>5345.36+3385.2+4242.79+7468.83+387.77</f>
        <v>20829.95</v>
      </c>
      <c r="O19" s="212">
        <f t="shared" si="1"/>
        <v>2322.34</v>
      </c>
      <c r="P19" s="123">
        <v>15</v>
      </c>
      <c r="Q19" s="21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46</v>
      </c>
      <c r="I20" s="75">
        <v>23</v>
      </c>
      <c r="J20" s="75">
        <v>30</v>
      </c>
      <c r="K20" s="210">
        <v>27</v>
      </c>
      <c r="L20" s="210">
        <v>24</v>
      </c>
      <c r="M20" s="211">
        <f>5728.14+3727.02+315.94+2507.59+652.5+2191.47+1855.28+358.88+2503.15</f>
        <v>19839.97</v>
      </c>
      <c r="N20" s="211">
        <f>5728.14+3727.02+315.94+2507.59+652.5+2191.47+1855.28</f>
        <v>16977.939999999999</v>
      </c>
      <c r="O20" s="212">
        <f t="shared" si="1"/>
        <v>2862.0300000000025</v>
      </c>
      <c r="P20" s="123">
        <v>28</v>
      </c>
      <c r="Q20" s="215">
        <v>28</v>
      </c>
      <c r="R20" s="215">
        <v>28</v>
      </c>
      <c r="S20" s="97">
        <f>36404.57+1488.24+1902.09+2012.82</f>
        <v>41807.719999999994</v>
      </c>
      <c r="T20" s="97">
        <f>36404.57+1488.24+1902.09</f>
        <v>39794.899999999994</v>
      </c>
      <c r="U20" s="97">
        <f t="shared" si="2"/>
        <v>2012.8199999999997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22</v>
      </c>
      <c r="I21" s="75">
        <v>12</v>
      </c>
      <c r="J21" s="75">
        <v>18</v>
      </c>
      <c r="K21" s="209">
        <v>18</v>
      </c>
      <c r="L21" s="210">
        <v>18</v>
      </c>
      <c r="M21" s="211">
        <f>3586.84+1791.4+1337.88+413.4+1061.35+942.5+2425.9+5526.4</f>
        <v>17085.669999999998</v>
      </c>
      <c r="N21" s="211">
        <f>3586.84+1791.4+1337.88+413.4+1061.35+942.5</f>
        <v>9133.369999999999</v>
      </c>
      <c r="O21" s="212">
        <f t="shared" si="1"/>
        <v>7952.2999999999993</v>
      </c>
      <c r="P21" s="123">
        <v>6</v>
      </c>
      <c r="Q21" s="214">
        <v>6</v>
      </c>
      <c r="R21" s="215">
        <v>6</v>
      </c>
      <c r="S21" s="97">
        <f>7288.02+447.62+2487.39</f>
        <v>10223.030000000001</v>
      </c>
      <c r="T21" s="97">
        <f>7288.02+447.62+2487.39</f>
        <v>10223.030000000001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119</v>
      </c>
      <c r="I22" s="75">
        <v>68</v>
      </c>
      <c r="J22" s="75">
        <v>83</v>
      </c>
      <c r="K22" s="210">
        <v>69</v>
      </c>
      <c r="L22" s="210">
        <v>69</v>
      </c>
      <c r="M22" s="211">
        <f>19787.02+2513.73+2255.05+12081.39+6786.96+4545.76</f>
        <v>47969.91</v>
      </c>
      <c r="N22" s="211">
        <f>19787.02+2513.73+2255.05+12081.39+6786.96</f>
        <v>43424.15</v>
      </c>
      <c r="O22" s="212">
        <f t="shared" si="1"/>
        <v>4545.760000000002</v>
      </c>
      <c r="P22" s="123">
        <v>23</v>
      </c>
      <c r="Q22" s="215">
        <v>23</v>
      </c>
      <c r="R22" s="215">
        <v>22</v>
      </c>
      <c r="S22" s="97">
        <f>24103.23+3334.5+1378</f>
        <v>28815.73</v>
      </c>
      <c r="T22" s="97">
        <f>24103.23+3334.5</f>
        <v>27437.73</v>
      </c>
      <c r="U22" s="97">
        <f t="shared" si="2"/>
        <v>1378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18</v>
      </c>
      <c r="I23" s="75">
        <v>12</v>
      </c>
      <c r="J23" s="75">
        <v>18</v>
      </c>
      <c r="K23" s="209">
        <v>16</v>
      </c>
      <c r="L23" s="210">
        <v>14</v>
      </c>
      <c r="M23" s="211">
        <f>5739.04+1828.05+1440.72+631.62+564.05+641.19+793.15</f>
        <v>11637.82</v>
      </c>
      <c r="N23" s="211">
        <f>5739.04+1828.05+1440.72+631.62+564.05+641.19+793.15</f>
        <v>11637.82</v>
      </c>
      <c r="O23" s="212">
        <f t="shared" si="1"/>
        <v>0</v>
      </c>
      <c r="P23" s="123">
        <v>12</v>
      </c>
      <c r="Q23" s="214">
        <v>11</v>
      </c>
      <c r="R23" s="215">
        <v>11</v>
      </c>
      <c r="S23" s="97">
        <v>26607.02</v>
      </c>
      <c r="T23" s="97">
        <v>26607.02</v>
      </c>
      <c r="U23" s="97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22</v>
      </c>
      <c r="I24" s="75">
        <v>19</v>
      </c>
      <c r="J24" s="75">
        <v>22</v>
      </c>
      <c r="K24" s="209">
        <v>15</v>
      </c>
      <c r="L24" s="210">
        <v>15</v>
      </c>
      <c r="M24" s="211">
        <f>1515.11+3525.12</f>
        <v>5040.2299999999996</v>
      </c>
      <c r="N24" s="211">
        <f>1515.11+3525.12</f>
        <v>5040.2299999999996</v>
      </c>
      <c r="O24" s="212">
        <f t="shared" si="1"/>
        <v>0</v>
      </c>
      <c r="P24" s="123">
        <v>7</v>
      </c>
      <c r="Q24" s="21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38</v>
      </c>
      <c r="I25" s="75">
        <v>13</v>
      </c>
      <c r="J25" s="75">
        <v>32</v>
      </c>
      <c r="K25" s="210">
        <v>32</v>
      </c>
      <c r="L25" s="210">
        <v>32</v>
      </c>
      <c r="M25" s="211">
        <f>9005.69+15068.32+3714.72+1200.78</f>
        <v>28989.510000000002</v>
      </c>
      <c r="N25" s="211">
        <f>9005.69+15068.32+3714.72</f>
        <v>27788.730000000003</v>
      </c>
      <c r="O25" s="212">
        <f t="shared" si="1"/>
        <v>1200.7799999999988</v>
      </c>
      <c r="P25" s="123">
        <v>22</v>
      </c>
      <c r="Q25" s="215">
        <v>21</v>
      </c>
      <c r="R25" s="215">
        <v>21</v>
      </c>
      <c r="S25" s="97">
        <f>24213.05+6197.08+341.06</f>
        <v>30751.19</v>
      </c>
      <c r="T25" s="97">
        <f>24213.05+6197.08+341.06</f>
        <v>30751.19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75">
        <v>11</v>
      </c>
      <c r="J26" s="75">
        <v>18</v>
      </c>
      <c r="K26" s="209">
        <v>18</v>
      </c>
      <c r="L26" s="210">
        <v>18</v>
      </c>
      <c r="M26" s="211">
        <f>3777.1+6399.51+6251.64+358.88</f>
        <v>16787.13</v>
      </c>
      <c r="N26" s="211">
        <f>3777.1+6399.51+6251.64+358.88</f>
        <v>16787.13</v>
      </c>
      <c r="O26" s="212">
        <f t="shared" si="1"/>
        <v>0</v>
      </c>
      <c r="P26" s="123">
        <v>12</v>
      </c>
      <c r="Q26" s="214">
        <v>12</v>
      </c>
      <c r="R26" s="215">
        <v>12</v>
      </c>
      <c r="S26" s="97">
        <f>3386.7+2140.45</f>
        <v>5527.15</v>
      </c>
      <c r="T26" s="97">
        <f>3386.7+2140.45</f>
        <v>5527.15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32</v>
      </c>
      <c r="I27" s="75">
        <v>20</v>
      </c>
      <c r="J27" s="75">
        <v>36</v>
      </c>
      <c r="K27" s="209">
        <v>36</v>
      </c>
      <c r="L27" s="210">
        <v>36</v>
      </c>
      <c r="M27" s="211">
        <f>6801.73+4254.18+3948.81+757.9+1004.85+1005.5+5240.86</f>
        <v>23013.829999999998</v>
      </c>
      <c r="N27" s="211">
        <f>6801.73+4254.18+3948.81+757.9+1004.85+1005.5</f>
        <v>17772.969999999998</v>
      </c>
      <c r="O27" s="212">
        <f t="shared" si="1"/>
        <v>5240.8600000000006</v>
      </c>
      <c r="P27" s="123">
        <v>14</v>
      </c>
      <c r="Q27" s="21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75"/>
      <c r="J28" s="75"/>
      <c r="K28" s="209"/>
      <c r="L28" s="210"/>
      <c r="M28" s="211"/>
      <c r="N28" s="211"/>
      <c r="O28" s="212">
        <f t="shared" si="1"/>
        <v>0</v>
      </c>
      <c r="P28" s="123"/>
      <c r="Q28" s="21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26</v>
      </c>
      <c r="I29" s="75">
        <v>21</v>
      </c>
      <c r="J29" s="75">
        <v>31</v>
      </c>
      <c r="K29" s="209">
        <v>31</v>
      </c>
      <c r="L29" s="210">
        <v>28</v>
      </c>
      <c r="M29" s="211">
        <f>7765.28+1107.91+3282.4+1320.23+1580.98+622.05+447.4+992.16</f>
        <v>17118.41</v>
      </c>
      <c r="N29" s="211">
        <f>7765.28+1107.91+3282.4+1320.23+1580.98+622.05+447.4</f>
        <v>16126.249999999998</v>
      </c>
      <c r="O29" s="212">
        <f t="shared" si="1"/>
        <v>992.16000000000167</v>
      </c>
      <c r="P29" s="123">
        <v>14</v>
      </c>
      <c r="Q29" s="21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40</v>
      </c>
      <c r="I30" s="75">
        <v>34</v>
      </c>
      <c r="J30" s="75">
        <v>45</v>
      </c>
      <c r="K30" s="210">
        <v>41</v>
      </c>
      <c r="L30" s="210">
        <v>36</v>
      </c>
      <c r="M30" s="211">
        <f>5246.17+4965.96+1939.12+3762.43+2342.38+4011.61+2238.08</f>
        <v>24505.75</v>
      </c>
      <c r="N30" s="211">
        <f>5246.17+4965.96+1939.12+3762.43+2342.38+4011.61</f>
        <v>22267.670000000002</v>
      </c>
      <c r="O30" s="212">
        <f t="shared" si="1"/>
        <v>2238.0799999999981</v>
      </c>
      <c r="P30" s="123">
        <v>23</v>
      </c>
      <c r="Q30" s="215">
        <v>23</v>
      </c>
      <c r="R30" s="215">
        <v>23</v>
      </c>
      <c r="S30" s="97">
        <f>39414.6+4786.67+1562.33+638.43+2216.93+1293.2</f>
        <v>49912.159999999996</v>
      </c>
      <c r="T30" s="97">
        <f>39414.6+4786.67+1562.33+638.43+2216.93+1293.2</f>
        <v>49912.159999999996</v>
      </c>
      <c r="U30" s="97">
        <f t="shared" si="2"/>
        <v>0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75">
        <v>1</v>
      </c>
      <c r="J31" s="75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123">
        <v>2</v>
      </c>
      <c r="Q31" s="21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75"/>
      <c r="J32" s="75"/>
      <c r="K32" s="209"/>
      <c r="L32" s="210"/>
      <c r="M32" s="211"/>
      <c r="N32" s="211"/>
      <c r="O32" s="212">
        <f t="shared" si="1"/>
        <v>0</v>
      </c>
      <c r="P32" s="123"/>
      <c r="Q32" s="21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customFormat="1" ht="20.100000000000001" customHeight="1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14</v>
      </c>
      <c r="I33" s="75">
        <v>9</v>
      </c>
      <c r="J33" s="75">
        <v>12</v>
      </c>
      <c r="K33" s="209">
        <v>12</v>
      </c>
      <c r="L33" s="210">
        <v>12</v>
      </c>
      <c r="M33" s="211">
        <f>4065+2226.4+2915.4+290+826.8</f>
        <v>10323.599999999999</v>
      </c>
      <c r="N33" s="211">
        <f>4065+2226.4+2915.4+290</f>
        <v>9496.7999999999993</v>
      </c>
      <c r="O33" s="212">
        <f t="shared" si="1"/>
        <v>826.79999999999927</v>
      </c>
      <c r="P33" s="123"/>
      <c r="Q33" s="21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customFormat="1" ht="20.100000000000001" customHeight="1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75">
        <v>14</v>
      </c>
      <c r="J34" s="75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123">
        <v>2</v>
      </c>
      <c r="Q34" s="21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customFormat="1" ht="20.100000000000001" customHeight="1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12</v>
      </c>
      <c r="I35" s="75">
        <v>6</v>
      </c>
      <c r="J35" s="75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123">
        <v>10</v>
      </c>
      <c r="Q35" s="21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customFormat="1" ht="20.100000000000001" customHeight="1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23</v>
      </c>
      <c r="I36" s="75">
        <v>13</v>
      </c>
      <c r="J36" s="75">
        <v>16</v>
      </c>
      <c r="K36" s="209">
        <v>16</v>
      </c>
      <c r="L36" s="210">
        <v>16</v>
      </c>
      <c r="M36" s="211">
        <f>2360+2665.25+2800.06+3488.89+1050.79</f>
        <v>12364.989999999998</v>
      </c>
      <c r="N36" s="211">
        <f>2360+2665.25+2800.06+3488.89</f>
        <v>11314.199999999999</v>
      </c>
      <c r="O36" s="212">
        <f t="shared" si="1"/>
        <v>1050.7899999999991</v>
      </c>
      <c r="P36" s="123">
        <v>6</v>
      </c>
      <c r="Q36" s="214">
        <v>6</v>
      </c>
      <c r="R36" s="215">
        <v>6</v>
      </c>
      <c r="S36" s="97">
        <f>1436.08+3433.93+5939.33+1723.52</f>
        <v>12532.86</v>
      </c>
      <c r="T36" s="97">
        <f>1436.08+3433.93+5939.33+1723.52</f>
        <v>12532.86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customFormat="1" ht="20.100000000000001" customHeight="1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21</v>
      </c>
      <c r="I37" s="75">
        <v>13</v>
      </c>
      <c r="J37" s="75">
        <v>18</v>
      </c>
      <c r="K37" s="209">
        <v>18</v>
      </c>
      <c r="L37" s="210">
        <v>16</v>
      </c>
      <c r="M37" s="211">
        <f>4126.56+990.2+862.75+145+358.88+1424.06+2121.03</f>
        <v>10028.480000000001</v>
      </c>
      <c r="N37" s="211">
        <f>4126.56+990.2+862.75+145+358.88+1424.06</f>
        <v>7907.4500000000007</v>
      </c>
      <c r="O37" s="212">
        <f t="shared" si="1"/>
        <v>2121.0300000000007</v>
      </c>
      <c r="P37" s="123">
        <v>2</v>
      </c>
      <c r="Q37" s="214">
        <v>2</v>
      </c>
      <c r="R37" s="215">
        <v>2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customFormat="1" ht="20.100000000000001" customHeight="1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80</v>
      </c>
      <c r="I38" s="75">
        <v>42</v>
      </c>
      <c r="J38" s="75">
        <v>59</v>
      </c>
      <c r="K38" s="209">
        <v>59</v>
      </c>
      <c r="L38" s="210">
        <v>54</v>
      </c>
      <c r="M38" s="211">
        <f>18043.85+1739.74+12219.36+4084.73+2867.69+2388.56+1377.5+2533.95+5859.96</f>
        <v>51115.34</v>
      </c>
      <c r="N38" s="211">
        <f>18043.85+1739.74+12219.36+4084.73+2867.69+2388.56+1377.5+2533.95</f>
        <v>45255.38</v>
      </c>
      <c r="O38" s="212">
        <f t="shared" si="1"/>
        <v>5859.9599999999991</v>
      </c>
      <c r="P38" s="123">
        <v>21</v>
      </c>
      <c r="Q38" s="214">
        <v>21</v>
      </c>
      <c r="R38" s="215">
        <v>21</v>
      </c>
      <c r="S38" s="97">
        <f>22326.77+417.74+1031.26</f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customFormat="1" ht="20.100000000000001" customHeight="1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29</v>
      </c>
      <c r="I39" s="75">
        <v>15</v>
      </c>
      <c r="J39" s="75">
        <v>19</v>
      </c>
      <c r="K39" s="209">
        <v>16</v>
      </c>
      <c r="L39" s="210">
        <v>15</v>
      </c>
      <c r="M39" s="211">
        <f>4309.67+3353.38+84.05+2832.72+349.74+868</f>
        <v>11797.56</v>
      </c>
      <c r="N39" s="211">
        <f>4309.67+3353.38+84.05+2832.72+349.74+868</f>
        <v>11797.56</v>
      </c>
      <c r="O39" s="212">
        <f t="shared" si="1"/>
        <v>0</v>
      </c>
      <c r="P39" s="123">
        <v>3</v>
      </c>
      <c r="Q39" s="214">
        <v>3</v>
      </c>
      <c r="R39" s="215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customFormat="1" ht="20.100000000000001" customHeight="1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9</v>
      </c>
      <c r="I40" s="75">
        <v>6</v>
      </c>
      <c r="J40" s="75">
        <v>7</v>
      </c>
      <c r="K40" s="209">
        <v>6</v>
      </c>
      <c r="L40" s="210">
        <v>6</v>
      </c>
      <c r="M40" s="211">
        <f>5430.01+287.1</f>
        <v>5717.1100000000006</v>
      </c>
      <c r="N40" s="211">
        <v>5430.01</v>
      </c>
      <c r="O40" s="212">
        <f t="shared" si="1"/>
        <v>287.10000000000036</v>
      </c>
      <c r="P40" s="123">
        <v>4</v>
      </c>
      <c r="Q40" s="214">
        <v>4</v>
      </c>
      <c r="R40" s="215">
        <v>4</v>
      </c>
      <c r="S40" s="97">
        <f>3996.7+1341.47+7404.94</f>
        <v>12743.11</v>
      </c>
      <c r="T40" s="97">
        <f>3996.7+1341.47</f>
        <v>5338.17</v>
      </c>
      <c r="U40" s="97">
        <f t="shared" si="2"/>
        <v>7404.9400000000005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customFormat="1" ht="20.100000000000001" customHeight="1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22</v>
      </c>
      <c r="I41" s="75">
        <v>17</v>
      </c>
      <c r="J41" s="75">
        <v>19</v>
      </c>
      <c r="K41" s="209">
        <v>19</v>
      </c>
      <c r="L41" s="210">
        <v>19</v>
      </c>
      <c r="M41" s="211">
        <f>4892.78+1033.5+545.69+1551.08+3520.24</f>
        <v>11543.289999999999</v>
      </c>
      <c r="N41" s="211">
        <f>4892.78+1033.5+545.69+1551.08</f>
        <v>8023.0499999999993</v>
      </c>
      <c r="O41" s="212">
        <f t="shared" si="1"/>
        <v>3520.24</v>
      </c>
      <c r="P41" s="123">
        <v>4</v>
      </c>
      <c r="Q41" s="214">
        <v>4</v>
      </c>
      <c r="R41" s="215">
        <v>4</v>
      </c>
      <c r="S41" s="97">
        <f>1842.88+373.68</f>
        <v>2216.56</v>
      </c>
      <c r="T41" s="97">
        <f>1842.88+373.68</f>
        <v>2216.56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customFormat="1" ht="20.100000000000001" customHeight="1" x14ac:dyDescent="0.25">
      <c r="A42" s="155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15</v>
      </c>
      <c r="I42" s="75">
        <v>7</v>
      </c>
      <c r="J42" s="75">
        <v>12</v>
      </c>
      <c r="K42" s="209">
        <v>12</v>
      </c>
      <c r="L42" s="210">
        <v>11</v>
      </c>
      <c r="M42" s="211">
        <f>5095.29+1605.75+430.65+529.04+145</f>
        <v>7805.73</v>
      </c>
      <c r="N42" s="211">
        <f>5095.29+1605.75+430.65</f>
        <v>7131.69</v>
      </c>
      <c r="O42" s="212">
        <f t="shared" si="1"/>
        <v>674.04</v>
      </c>
      <c r="P42" s="123">
        <v>5</v>
      </c>
      <c r="Q42" s="21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customFormat="1" ht="20.100000000000001" customHeight="1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21</v>
      </c>
      <c r="I43" s="75">
        <v>11</v>
      </c>
      <c r="J43" s="75">
        <v>18</v>
      </c>
      <c r="K43" s="209">
        <v>18</v>
      </c>
      <c r="L43" s="210">
        <v>18</v>
      </c>
      <c r="M43" s="211">
        <f>1949.94+11241.95+1670.56+979+622.78+145+551.2+2279.66+3262.66</f>
        <v>22702.75</v>
      </c>
      <c r="N43" s="211">
        <f>1949.94+11241.95+1670.56+979+622.78+145+551.2</f>
        <v>17160.43</v>
      </c>
      <c r="O43" s="212">
        <f t="shared" si="1"/>
        <v>5542.32</v>
      </c>
      <c r="P43" s="123">
        <v>7</v>
      </c>
      <c r="Q43" s="214">
        <v>7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customFormat="1" ht="20.100000000000001" customHeight="1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14</v>
      </c>
      <c r="I44" s="75">
        <v>6</v>
      </c>
      <c r="J44" s="75">
        <v>13</v>
      </c>
      <c r="K44" s="209">
        <v>13</v>
      </c>
      <c r="L44" s="210">
        <v>13</v>
      </c>
      <c r="M44" s="211">
        <f>9600.95+145+2182.75+7980.88+580+287.1</f>
        <v>20776.68</v>
      </c>
      <c r="N44" s="211">
        <f>9600.95+145+2182.75+7980.88+580+287.1</f>
        <v>20776.68</v>
      </c>
      <c r="O44" s="212">
        <f t="shared" si="1"/>
        <v>0</v>
      </c>
      <c r="P44" s="123">
        <v>8</v>
      </c>
      <c r="Q44" s="214">
        <v>8</v>
      </c>
      <c r="R44" s="215">
        <v>8</v>
      </c>
      <c r="S44" s="97">
        <f>3997.92+850.65+4367.7+2262.73+189.48</f>
        <v>11668.48</v>
      </c>
      <c r="T44" s="97">
        <f>3997.92+850.65+4367.7+2262.73+189.48</f>
        <v>11668.48</v>
      </c>
      <c r="U44" s="97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customFormat="1" ht="20.100000000000001" customHeight="1" x14ac:dyDescent="0.25">
      <c r="A45" s="155"/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75"/>
      <c r="J45" s="75"/>
      <c r="K45" s="209"/>
      <c r="L45" s="210"/>
      <c r="M45" s="211"/>
      <c r="N45" s="211"/>
      <c r="O45" s="212">
        <f t="shared" si="1"/>
        <v>0</v>
      </c>
      <c r="P45" s="123"/>
      <c r="Q45" s="21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customFormat="1" ht="20.100000000000001" customHeight="1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18</v>
      </c>
      <c r="I46" s="75">
        <v>11</v>
      </c>
      <c r="J46" s="75">
        <v>12</v>
      </c>
      <c r="K46" s="209">
        <v>12</v>
      </c>
      <c r="L46" s="210">
        <v>12</v>
      </c>
      <c r="M46" s="211">
        <f>1290.6+2343.84+935.25</f>
        <v>4569.6900000000005</v>
      </c>
      <c r="N46" s="211">
        <f>1290.6+2343.84+935.25</f>
        <v>4569.6900000000005</v>
      </c>
      <c r="O46" s="212">
        <f t="shared" si="1"/>
        <v>0</v>
      </c>
      <c r="P46" s="123">
        <v>2</v>
      </c>
      <c r="Q46" s="21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customFormat="1" ht="20.100000000000001" customHeight="1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44</v>
      </c>
      <c r="I47" s="75">
        <v>23</v>
      </c>
      <c r="J47" s="75">
        <v>32</v>
      </c>
      <c r="K47" s="209">
        <v>32</v>
      </c>
      <c r="L47" s="210">
        <v>30</v>
      </c>
      <c r="M47" s="211">
        <f>9335.56+3507.6+826.8+2284.16+1015+1378</f>
        <v>18347.12</v>
      </c>
      <c r="N47" s="211">
        <f>9335.56+3507.6+826.8+2284.16+1015</f>
        <v>16969.12</v>
      </c>
      <c r="O47" s="212">
        <f t="shared" si="1"/>
        <v>1378</v>
      </c>
      <c r="P47" s="123">
        <v>2</v>
      </c>
      <c r="Q47" s="21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customFormat="1" ht="20.100000000000001" customHeight="1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18</v>
      </c>
      <c r="I48" s="75">
        <v>6</v>
      </c>
      <c r="J48" s="75">
        <v>9</v>
      </c>
      <c r="K48" s="209">
        <v>9</v>
      </c>
      <c r="L48" s="210">
        <v>9</v>
      </c>
      <c r="M48" s="211">
        <f>8890.84+1828.05+435</f>
        <v>11153.89</v>
      </c>
      <c r="N48" s="211">
        <f>8890.84+1828.05+435</f>
        <v>11153.89</v>
      </c>
      <c r="O48" s="212">
        <f t="shared" si="1"/>
        <v>0</v>
      </c>
      <c r="P48" s="123">
        <v>3</v>
      </c>
      <c r="Q48" s="21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customFormat="1" ht="20.100000000000001" customHeight="1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20</v>
      </c>
      <c r="I49" s="75">
        <v>11</v>
      </c>
      <c r="J49" s="75">
        <v>14</v>
      </c>
      <c r="K49" s="209">
        <v>14</v>
      </c>
      <c r="L49" s="210">
        <v>13</v>
      </c>
      <c r="M49" s="211">
        <f>1831.71+137.8+1816.78+290+420.6</f>
        <v>4496.8900000000003</v>
      </c>
      <c r="N49" s="211">
        <f>1831.71+137.8+1816.78+290</f>
        <v>4076.29</v>
      </c>
      <c r="O49" s="212">
        <f t="shared" si="1"/>
        <v>420.60000000000036</v>
      </c>
      <c r="P49" s="123">
        <v>9</v>
      </c>
      <c r="Q49" s="214">
        <v>9</v>
      </c>
      <c r="R49" s="215">
        <v>9</v>
      </c>
      <c r="S49" s="97">
        <f>8296.23+1378+5368</f>
        <v>15042.23</v>
      </c>
      <c r="T49" s="97">
        <f>8296.23+1378+5368</f>
        <v>15042.23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customFormat="1" ht="20.100000000000001" customHeight="1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23</v>
      </c>
      <c r="I50" s="75">
        <v>17</v>
      </c>
      <c r="J50" s="75">
        <v>19</v>
      </c>
      <c r="K50" s="209">
        <v>19</v>
      </c>
      <c r="L50" s="210">
        <v>19</v>
      </c>
      <c r="M50" s="211">
        <f>8308.92+786.44+453+302+1256.5</f>
        <v>11106.86</v>
      </c>
      <c r="N50" s="211">
        <f>8308.92+786.44+453+302+1256.5</f>
        <v>11106.86</v>
      </c>
      <c r="O50" s="212">
        <f t="shared" si="1"/>
        <v>0</v>
      </c>
      <c r="P50" s="123">
        <v>6</v>
      </c>
      <c r="Q50" s="214">
        <v>6</v>
      </c>
      <c r="R50" s="215">
        <v>6</v>
      </c>
      <c r="S50" s="97">
        <f>2457.28+1725.6+5017.9+1584.7</f>
        <v>10785.48</v>
      </c>
      <c r="T50" s="97">
        <f>2457.28+1725.6+5017.9+1584.7</f>
        <v>10785.48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customFormat="1" ht="20.100000000000001" customHeight="1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25</v>
      </c>
      <c r="I51" s="75">
        <v>13</v>
      </c>
      <c r="J51" s="75">
        <v>15</v>
      </c>
      <c r="K51" s="209">
        <v>15</v>
      </c>
      <c r="L51" s="210">
        <v>14</v>
      </c>
      <c r="M51" s="211">
        <f>5580.75+571.11+696.2+574.2+408.03+1234.53+1446.9</f>
        <v>10511.72</v>
      </c>
      <c r="N51" s="211">
        <f>5580.75+571.11+696.2+574.2+408.03+1234.53+1446.9</f>
        <v>10511.72</v>
      </c>
      <c r="O51" s="212">
        <f t="shared" si="1"/>
        <v>0</v>
      </c>
      <c r="P51" s="123">
        <v>1</v>
      </c>
      <c r="Q51" s="214">
        <v>1</v>
      </c>
      <c r="R51" s="215">
        <v>1</v>
      </c>
      <c r="S51" s="97">
        <f>728.15</f>
        <v>728.15</v>
      </c>
      <c r="T51" s="97">
        <f>728.15</f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customFormat="1" ht="20.100000000000001" customHeight="1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24</v>
      </c>
      <c r="I52" s="75">
        <v>11</v>
      </c>
      <c r="J52" s="75">
        <v>16</v>
      </c>
      <c r="K52" s="209">
        <v>16</v>
      </c>
      <c r="L52" s="210">
        <v>14</v>
      </c>
      <c r="M52" s="211">
        <f>3782.6+430.65+1221.61+2194.55+452.33</f>
        <v>8081.74</v>
      </c>
      <c r="N52" s="211">
        <f>3782.6+430.65+1221.61+2194.55</f>
        <v>7629.41</v>
      </c>
      <c r="O52" s="212">
        <f t="shared" si="1"/>
        <v>452.32999999999993</v>
      </c>
      <c r="P52" s="123">
        <v>10</v>
      </c>
      <c r="Q52" s="214">
        <v>10</v>
      </c>
      <c r="R52" s="215">
        <v>10</v>
      </c>
      <c r="S52" s="97">
        <f>1535.39+1035.3+828.82+12756.45+716.22</f>
        <v>16872.18</v>
      </c>
      <c r="T52" s="97">
        <f>1535.39+1035.3+828.82+12756.45</f>
        <v>16155.960000000001</v>
      </c>
      <c r="U52" s="97">
        <f t="shared" si="2"/>
        <v>716.21999999999935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customFormat="1" ht="20.100000000000001" customHeight="1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9</v>
      </c>
      <c r="I53" s="75">
        <v>3</v>
      </c>
      <c r="J53" s="75">
        <v>3</v>
      </c>
      <c r="K53" s="209">
        <v>3</v>
      </c>
      <c r="L53" s="210">
        <v>3</v>
      </c>
      <c r="M53" s="211">
        <f>1102.4+328.37</f>
        <v>1430.77</v>
      </c>
      <c r="N53" s="211">
        <f>1102.4+328.37</f>
        <v>1430.77</v>
      </c>
      <c r="O53" s="212">
        <f t="shared" si="1"/>
        <v>0</v>
      </c>
      <c r="P53" s="123">
        <v>2</v>
      </c>
      <c r="Q53" s="21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customFormat="1" ht="20.100000000000001" customHeight="1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110</v>
      </c>
      <c r="I54" s="75">
        <v>99</v>
      </c>
      <c r="J54" s="75">
        <v>116</v>
      </c>
      <c r="K54" s="209">
        <v>101</v>
      </c>
      <c r="L54" s="210">
        <v>89</v>
      </c>
      <c r="M54" s="211">
        <f>12031.27+4728.85+7137.01+1218+507+4175.93+5308.12+6184.37</f>
        <v>41290.55000000001</v>
      </c>
      <c r="N54" s="211">
        <f>12031.27+4728.85+7137.01+1218+507+4175.93+5308.12</f>
        <v>35106.180000000008</v>
      </c>
      <c r="O54" s="212">
        <f t="shared" si="1"/>
        <v>6184.3700000000026</v>
      </c>
      <c r="P54" s="123">
        <v>17</v>
      </c>
      <c r="Q54" s="21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customFormat="1" ht="20.100000000000001" customHeight="1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8</v>
      </c>
      <c r="I55" s="75">
        <v>3</v>
      </c>
      <c r="J55" s="75">
        <v>4</v>
      </c>
      <c r="K55" s="209">
        <v>4</v>
      </c>
      <c r="L55" s="210">
        <v>4</v>
      </c>
      <c r="M55" s="211">
        <f>5677.4+870+2962.7</f>
        <v>9510.0999999999985</v>
      </c>
      <c r="N55" s="211">
        <f>5677.4+870-5307.82</f>
        <v>1239.58</v>
      </c>
      <c r="O55" s="212">
        <f t="shared" si="1"/>
        <v>8270.5199999999986</v>
      </c>
      <c r="P55" s="123">
        <v>3</v>
      </c>
      <c r="Q55" s="21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customFormat="1" ht="20.100000000000001" customHeight="1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64</v>
      </c>
      <c r="I56" s="75">
        <v>41</v>
      </c>
      <c r="J56" s="75">
        <v>57</v>
      </c>
      <c r="K56" s="209">
        <v>57</v>
      </c>
      <c r="L56" s="210">
        <v>55</v>
      </c>
      <c r="M56" s="211">
        <f>13145.7+14183.3+726.22+3195.47+5181.98+1425.26+6804.83+1811+6356.42+2151.08+5494.6</f>
        <v>60475.86</v>
      </c>
      <c r="N56" s="211">
        <f>13145.7+14183.3+726.22+3195.47+5181.98+1425.26+6804.83+1811+6356.42-6356.42</f>
        <v>46473.760000000002</v>
      </c>
      <c r="O56" s="212">
        <f t="shared" si="1"/>
        <v>14002.099999999999</v>
      </c>
      <c r="P56" s="123">
        <v>35</v>
      </c>
      <c r="Q56" s="214">
        <v>35</v>
      </c>
      <c r="R56" s="215">
        <v>32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customFormat="1" ht="20.100000000000001" customHeight="1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75">
        <v>4</v>
      </c>
      <c r="J57" s="75">
        <v>5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123"/>
      <c r="Q57" s="21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customFormat="1" ht="20.100000000000001" customHeight="1" x14ac:dyDescent="0.25">
      <c r="A58" s="155"/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75"/>
      <c r="J58" s="75"/>
      <c r="K58" s="209"/>
      <c r="L58" s="210"/>
      <c r="M58" s="211"/>
      <c r="N58" s="211"/>
      <c r="O58" s="212">
        <f t="shared" si="1"/>
        <v>0</v>
      </c>
      <c r="P58" s="123">
        <v>1</v>
      </c>
      <c r="Q58" s="214">
        <v>1</v>
      </c>
      <c r="R58" s="215">
        <v>1</v>
      </c>
      <c r="S58" s="97">
        <v>548.1</v>
      </c>
      <c r="T58" s="97">
        <v>548.1</v>
      </c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customFormat="1" ht="20.100000000000001" customHeight="1" x14ac:dyDescent="0.25">
      <c r="A59" s="155"/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75"/>
      <c r="J59" s="75"/>
      <c r="K59" s="209"/>
      <c r="L59" s="210"/>
      <c r="M59" s="211"/>
      <c r="N59" s="211"/>
      <c r="O59" s="212">
        <f t="shared" si="1"/>
        <v>0</v>
      </c>
      <c r="P59" s="123"/>
      <c r="Q59" s="21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customFormat="1" ht="20.100000000000001" customHeight="1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55</v>
      </c>
      <c r="I60" s="75">
        <v>33</v>
      </c>
      <c r="J60" s="75">
        <v>47</v>
      </c>
      <c r="K60" s="209">
        <v>42</v>
      </c>
      <c r="L60" s="210">
        <v>42</v>
      </c>
      <c r="M60" s="211">
        <f>19657.67+3859.57+3638.88+11285.84+2356.7+1870.22+2374.32+1250.63</f>
        <v>46293.829999999994</v>
      </c>
      <c r="N60" s="211">
        <f>19657.67+3859.57+3638.88+11285.84+2356.7+1870.22+2374.32</f>
        <v>45043.199999999997</v>
      </c>
      <c r="O60" s="212">
        <f t="shared" si="1"/>
        <v>1250.6299999999974</v>
      </c>
      <c r="P60" s="123">
        <v>6</v>
      </c>
      <c r="Q60" s="214">
        <v>6</v>
      </c>
      <c r="R60" s="215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customFormat="1" ht="20.100000000000001" customHeight="1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28</v>
      </c>
      <c r="I61" s="75">
        <v>16</v>
      </c>
      <c r="J61" s="75">
        <v>24</v>
      </c>
      <c r="K61" s="209">
        <v>18</v>
      </c>
      <c r="L61" s="210">
        <v>18</v>
      </c>
      <c r="M61" s="211">
        <f>3986.21+989.8+3814.75+1492.92+2107.58+1990.86</f>
        <v>14382.12</v>
      </c>
      <c r="N61" s="211">
        <f>3986.21+989.8+3814.75+1492.92+2107.58+1990.86</f>
        <v>14382.12</v>
      </c>
      <c r="O61" s="212">
        <f t="shared" si="1"/>
        <v>0</v>
      </c>
      <c r="P61" s="123"/>
      <c r="Q61" s="21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customFormat="1" ht="20.100000000000001" customHeight="1" x14ac:dyDescent="0.25">
      <c r="A62" s="155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19</v>
      </c>
      <c r="I62" s="75">
        <v>11</v>
      </c>
      <c r="J62" s="75">
        <v>14</v>
      </c>
      <c r="K62" s="209">
        <v>14</v>
      </c>
      <c r="L62" s="210">
        <v>14</v>
      </c>
      <c r="M62" s="211">
        <f>1263.45+2111.32+5011.35+4260.64</f>
        <v>12646.760000000002</v>
      </c>
      <c r="N62" s="211">
        <f>1263.45+2111.32+5011.35+4260.64</f>
        <v>12646.760000000002</v>
      </c>
      <c r="O62" s="212">
        <f t="shared" si="1"/>
        <v>0</v>
      </c>
      <c r="P62" s="123">
        <v>7</v>
      </c>
      <c r="Q62" s="214">
        <v>7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</row>
    <row r="63" spans="1:40" customFormat="1" ht="20.100000000000001" customHeight="1" x14ac:dyDescent="0.25">
      <c r="A63" s="155"/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75"/>
      <c r="J63" s="75"/>
      <c r="K63" s="209"/>
      <c r="L63" s="210"/>
      <c r="M63" s="211"/>
      <c r="N63" s="211"/>
      <c r="O63" s="212">
        <f t="shared" si="1"/>
        <v>0</v>
      </c>
      <c r="P63" s="123">
        <v>29</v>
      </c>
      <c r="Q63" s="214">
        <v>29</v>
      </c>
      <c r="R63" s="215">
        <v>29</v>
      </c>
      <c r="S63" s="97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</row>
    <row r="64" spans="1:40" customFormat="1" ht="17.25" customHeight="1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32</v>
      </c>
      <c r="I64" s="75">
        <v>15</v>
      </c>
      <c r="J64" s="75">
        <v>17</v>
      </c>
      <c r="K64" s="209">
        <v>16</v>
      </c>
      <c r="L64" s="210">
        <v>16</v>
      </c>
      <c r="M64" s="211">
        <f>6496.16+4335.01+2477.65+2687.1+609</f>
        <v>16604.919999999998</v>
      </c>
      <c r="N64" s="211">
        <f>6496.16+4335.01+2477.65+2687.1+609</f>
        <v>16604.919999999998</v>
      </c>
      <c r="O64" s="212">
        <f t="shared" si="1"/>
        <v>0</v>
      </c>
      <c r="P64" s="123">
        <v>12</v>
      </c>
      <c r="Q64" s="214">
        <v>12</v>
      </c>
      <c r="R64" s="215">
        <v>12</v>
      </c>
      <c r="S64" s="97">
        <f>6866.56+548.1</f>
        <v>7414.6600000000008</v>
      </c>
      <c r="T64" s="97">
        <f>6866.56+548.1</f>
        <v>7414.6600000000008</v>
      </c>
      <c r="U64" s="97">
        <f t="shared" si="2"/>
        <v>0</v>
      </c>
      <c r="V64" s="161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</row>
    <row r="65" spans="1:22" customFormat="1" ht="20.100000000000001" customHeight="1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58</v>
      </c>
      <c r="I65" s="75">
        <v>46</v>
      </c>
      <c r="J65" s="75">
        <v>56</v>
      </c>
      <c r="K65" s="209">
        <v>49</v>
      </c>
      <c r="L65" s="210">
        <v>49</v>
      </c>
      <c r="M65" s="211">
        <f>21561.61+5719.7+1305+4149.27+2397.37+5906.18+1251.03+829.55+4633.7+2607.11+652.5</f>
        <v>51013.020000000004</v>
      </c>
      <c r="N65" s="211">
        <f>21561.61+5719.7+1305+4149.27+2397.37+5906.18+1251.03+829.55+4633.7</f>
        <v>47753.41</v>
      </c>
      <c r="O65" s="212">
        <f t="shared" si="1"/>
        <v>3259.6100000000006</v>
      </c>
      <c r="P65" s="123">
        <v>11</v>
      </c>
      <c r="Q65" s="214">
        <v>11</v>
      </c>
      <c r="R65" s="215">
        <v>11</v>
      </c>
      <c r="S65" s="97">
        <f>7456.7+19131.63</f>
        <v>26588.33</v>
      </c>
      <c r="T65" s="97">
        <f>7456.7+19131.63</f>
        <v>26588.33</v>
      </c>
      <c r="U65" s="97">
        <f t="shared" si="2"/>
        <v>0</v>
      </c>
      <c r="V65" s="161"/>
    </row>
    <row r="66" spans="1:22" customFormat="1" ht="20.100000000000001" customHeight="1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75">
        <v>2</v>
      </c>
      <c r="J66" s="75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123">
        <v>4</v>
      </c>
      <c r="Q66" s="21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customFormat="1" ht="20.100000000000001" customHeight="1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58</v>
      </c>
      <c r="I67" s="75">
        <v>45</v>
      </c>
      <c r="J67" s="75">
        <v>57</v>
      </c>
      <c r="K67" s="209">
        <v>57</v>
      </c>
      <c r="L67" s="210">
        <v>56</v>
      </c>
      <c r="M67" s="211">
        <f>19710.93+7009.96+ 8900.54+165.98+1497.55+1081.95+652.5+834+4814.12+3405.33</f>
        <v>48072.860000000008</v>
      </c>
      <c r="N67" s="211">
        <f>19710.93+7009.96+ 8900.54+165.98+1497.55+1081.95+652.5+834</f>
        <v>39853.410000000003</v>
      </c>
      <c r="O67" s="212">
        <f t="shared" si="1"/>
        <v>8219.4500000000044</v>
      </c>
      <c r="P67" s="123">
        <v>11</v>
      </c>
      <c r="Q67" s="21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customFormat="1" ht="20.100000000000001" customHeight="1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37</v>
      </c>
      <c r="I68" s="75">
        <v>29</v>
      </c>
      <c r="J68" s="75">
        <v>50</v>
      </c>
      <c r="K68" s="209">
        <v>50</v>
      </c>
      <c r="L68" s="210">
        <v>50</v>
      </c>
      <c r="M68" s="211">
        <f>18750.75+2683.13+8424.37+2797.92</f>
        <v>32656.17</v>
      </c>
      <c r="N68" s="211">
        <f>18750.75+2683.13</f>
        <v>21433.88</v>
      </c>
      <c r="O68" s="212">
        <f t="shared" si="1"/>
        <v>11222.289999999997</v>
      </c>
      <c r="P68" s="123">
        <v>11</v>
      </c>
      <c r="Q68" s="214">
        <v>11</v>
      </c>
      <c r="R68" s="215">
        <v>11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customFormat="1" ht="20.100000000000001" customHeight="1" x14ac:dyDescent="0.25">
      <c r="A69" s="155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11</v>
      </c>
      <c r="I69" s="75">
        <v>6</v>
      </c>
      <c r="J69" s="75">
        <v>6</v>
      </c>
      <c r="K69" s="209">
        <v>6</v>
      </c>
      <c r="L69" s="210">
        <v>5</v>
      </c>
      <c r="M69" s="211">
        <f>2756+1240.2+1305</f>
        <v>5301.2</v>
      </c>
      <c r="N69" s="211">
        <f>2756+1240.2+1305</f>
        <v>5301.2</v>
      </c>
      <c r="O69" s="212">
        <f t="shared" si="1"/>
        <v>0</v>
      </c>
      <c r="P69" s="123"/>
      <c r="Q69" s="214"/>
      <c r="R69" s="215"/>
      <c r="S69" s="97"/>
      <c r="T69" s="97"/>
      <c r="U69" s="97">
        <f t="shared" si="2"/>
        <v>0</v>
      </c>
      <c r="V69" s="161"/>
    </row>
    <row r="70" spans="1:22" customFormat="1" ht="20.100000000000001" customHeight="1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17</v>
      </c>
      <c r="I70" s="75">
        <v>10</v>
      </c>
      <c r="J70" s="75">
        <v>12</v>
      </c>
      <c r="K70" s="209">
        <v>12</v>
      </c>
      <c r="L70" s="210">
        <v>12</v>
      </c>
      <c r="M70" s="211">
        <f>2039.44+3242.32+2027.39+3567+822.15+2588.88</f>
        <v>14287.18</v>
      </c>
      <c r="N70" s="211">
        <f>2039.44+3242.32+2027.39+3567+822.15</f>
        <v>11698.300000000001</v>
      </c>
      <c r="O70" s="212">
        <f t="shared" si="1"/>
        <v>2588.8799999999992</v>
      </c>
      <c r="P70" s="123">
        <v>6</v>
      </c>
      <c r="Q70" s="214">
        <v>6</v>
      </c>
      <c r="R70" s="215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customFormat="1" ht="20.100000000000001" customHeight="1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28</v>
      </c>
      <c r="I71" s="75">
        <v>16</v>
      </c>
      <c r="J71" s="75">
        <v>20</v>
      </c>
      <c r="K71" s="209">
        <v>17</v>
      </c>
      <c r="L71" s="210">
        <v>17</v>
      </c>
      <c r="M71" s="211">
        <f>2383.53+3781.9+7505.17+507+5161.87+1335.02+1152.8</f>
        <v>21827.29</v>
      </c>
      <c r="N71" s="211">
        <f>2383.53+3781.9+7505.17+507+5161.87+1335.02</f>
        <v>20674.490000000002</v>
      </c>
      <c r="O71" s="212">
        <f t="shared" si="1"/>
        <v>1152.7999999999993</v>
      </c>
      <c r="P71" s="123">
        <v>24</v>
      </c>
      <c r="Q71" s="214">
        <v>24</v>
      </c>
      <c r="R71" s="215">
        <v>24</v>
      </c>
      <c r="S71" s="97">
        <f>52337.46+18000.02+1926.09</f>
        <v>72263.569999999992</v>
      </c>
      <c r="T71" s="97">
        <f>52337.46+18000.02+1926.09</f>
        <v>72263.569999999992</v>
      </c>
      <c r="U71" s="97">
        <f t="shared" si="2"/>
        <v>0</v>
      </c>
      <c r="V71" s="161"/>
    </row>
    <row r="72" spans="1:22" customFormat="1" ht="20.100000000000001" customHeight="1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20</v>
      </c>
      <c r="I72" s="75">
        <v>11</v>
      </c>
      <c r="J72" s="75">
        <v>13</v>
      </c>
      <c r="K72" s="209">
        <v>9</v>
      </c>
      <c r="L72" s="210">
        <v>9</v>
      </c>
      <c r="M72" s="211">
        <f>4703.53+544.32+1960.26+2120.63</f>
        <v>9328.74</v>
      </c>
      <c r="N72" s="211">
        <f>4703.53+544.32+1960.26</f>
        <v>7208.11</v>
      </c>
      <c r="O72" s="212">
        <f t="shared" si="1"/>
        <v>2120.63</v>
      </c>
      <c r="P72" s="123">
        <v>7</v>
      </c>
      <c r="Q72" s="21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customFormat="1" ht="20.100000000000001" customHeight="1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38</v>
      </c>
      <c r="I73" s="75">
        <v>25</v>
      </c>
      <c r="J73" s="75">
        <v>25</v>
      </c>
      <c r="K73" s="209">
        <v>25</v>
      </c>
      <c r="L73" s="210">
        <v>25</v>
      </c>
      <c r="M73" s="211">
        <f>2095.52+746.9+4941.1+3310.3+2104.91</f>
        <v>13198.73</v>
      </c>
      <c r="N73" s="211">
        <f>2095.52+746.9+4941.1+3310.3+2104.91</f>
        <v>13198.73</v>
      </c>
      <c r="O73" s="212">
        <f t="shared" si="1"/>
        <v>0</v>
      </c>
      <c r="P73" s="123">
        <v>7</v>
      </c>
      <c r="Q73" s="214">
        <v>7</v>
      </c>
      <c r="R73" s="215">
        <v>7</v>
      </c>
      <c r="S73" s="97">
        <f>1821.06+4580.19+1240.2</f>
        <v>7641.45</v>
      </c>
      <c r="T73" s="97">
        <f>1821.06+4580.19+1240.2</f>
        <v>7641.45</v>
      </c>
      <c r="U73" s="97">
        <f t="shared" si="2"/>
        <v>0</v>
      </c>
      <c r="V73" s="161"/>
    </row>
    <row r="74" spans="1:22" customFormat="1" ht="20.100000000000001" customHeight="1" x14ac:dyDescent="0.25">
      <c r="A74" s="155"/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75"/>
      <c r="J74" s="75"/>
      <c r="K74" s="209"/>
      <c r="L74" s="210"/>
      <c r="M74" s="211"/>
      <c r="N74" s="211"/>
      <c r="O74" s="212">
        <f t="shared" si="1"/>
        <v>0</v>
      </c>
      <c r="P74" s="123">
        <v>1</v>
      </c>
      <c r="Q74" s="21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customFormat="1" ht="20.100000000000001" customHeight="1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18</v>
      </c>
      <c r="I75" s="75">
        <v>5</v>
      </c>
      <c r="J75" s="75">
        <v>8</v>
      </c>
      <c r="K75" s="209">
        <v>8</v>
      </c>
      <c r="L75" s="210">
        <v>6</v>
      </c>
      <c r="M75" s="211">
        <f>275.6+741.36+14287.26</f>
        <v>15304.220000000001</v>
      </c>
      <c r="N75" s="211">
        <f>275.6+741.36+14287.26</f>
        <v>15304.220000000001</v>
      </c>
      <c r="O75" s="212">
        <f t="shared" ref="O75:O104" si="4" xml:space="preserve"> (M75-N75)</f>
        <v>0</v>
      </c>
      <c r="P75" s="123">
        <v>3</v>
      </c>
      <c r="Q75" s="21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customFormat="1" ht="20.100000000000001" customHeight="1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36</v>
      </c>
      <c r="I76" s="75">
        <v>24</v>
      </c>
      <c r="J76" s="75">
        <v>33</v>
      </c>
      <c r="K76" s="209">
        <v>33</v>
      </c>
      <c r="L76" s="210">
        <v>32</v>
      </c>
      <c r="M76" s="211">
        <f>11803.63+1320.23+3132.15+12104.63+822.42+4875.99+435.02</f>
        <v>34494.069999999992</v>
      </c>
      <c r="N76" s="211">
        <f>11803.63+1320.23+3132.15+12104.63+822.42+4875.99</f>
        <v>34059.049999999996</v>
      </c>
      <c r="O76" s="212">
        <f t="shared" si="4"/>
        <v>435.0199999999968</v>
      </c>
      <c r="P76" s="123">
        <v>5</v>
      </c>
      <c r="Q76" s="214">
        <v>5</v>
      </c>
      <c r="R76" s="215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customFormat="1" ht="20.100000000000001" customHeight="1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24</v>
      </c>
      <c r="I77" s="75">
        <v>12</v>
      </c>
      <c r="J77" s="75">
        <v>16</v>
      </c>
      <c r="K77" s="209">
        <v>16</v>
      </c>
      <c r="L77" s="210">
        <v>16</v>
      </c>
      <c r="M77" s="211">
        <f>4234.67+4498.63+1766.87+2083.87+1368.44+4016.5</f>
        <v>17968.979999999996</v>
      </c>
      <c r="N77" s="211">
        <f>4234.67+4498.63+1766.87+2083.87+1368.44</f>
        <v>13952.479999999998</v>
      </c>
      <c r="O77" s="212">
        <f t="shared" si="4"/>
        <v>4016.4999999999982</v>
      </c>
      <c r="P77" s="123"/>
      <c r="Q77" s="214"/>
      <c r="R77" s="215"/>
      <c r="S77" s="97"/>
      <c r="T77" s="97"/>
      <c r="U77" s="97">
        <f t="shared" si="5"/>
        <v>0</v>
      </c>
      <c r="V77" s="161"/>
    </row>
    <row r="78" spans="1:22" customFormat="1" ht="20.100000000000001" customHeight="1" x14ac:dyDescent="0.25">
      <c r="A78" s="155" t="s">
        <v>315</v>
      </c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75"/>
      <c r="J78" s="75"/>
      <c r="K78" s="209"/>
      <c r="L78" s="210"/>
      <c r="M78" s="211"/>
      <c r="N78" s="211"/>
      <c r="O78" s="212">
        <f t="shared" si="4"/>
        <v>0</v>
      </c>
      <c r="P78" s="123">
        <v>9</v>
      </c>
      <c r="Q78" s="214">
        <v>9</v>
      </c>
      <c r="R78" s="215">
        <v>9</v>
      </c>
      <c r="S78" s="97">
        <f>3889.76+778.48</f>
        <v>4668.24</v>
      </c>
      <c r="T78" s="97">
        <v>3889.76</v>
      </c>
      <c r="U78" s="97">
        <f t="shared" si="5"/>
        <v>778.47999999999956</v>
      </c>
      <c r="V78" s="161"/>
    </row>
    <row r="79" spans="1:22" customFormat="1" ht="20.100000000000001" customHeight="1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24</v>
      </c>
      <c r="I79" s="75">
        <v>15</v>
      </c>
      <c r="J79" s="75">
        <v>21</v>
      </c>
      <c r="K79" s="209">
        <v>21</v>
      </c>
      <c r="L79" s="210">
        <v>21</v>
      </c>
      <c r="M79" s="211">
        <f>8913.81+7027.61+1244.33+15395.91+4278.3</f>
        <v>36859.96</v>
      </c>
      <c r="N79" s="211">
        <f>8913.81+7027.61+1244.33+15395.91+4278.3</f>
        <v>36859.96</v>
      </c>
      <c r="O79" s="212">
        <f t="shared" si="4"/>
        <v>0</v>
      </c>
      <c r="P79" s="123">
        <v>4</v>
      </c>
      <c r="Q79" s="21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customFormat="1" ht="20.100000000000001" customHeight="1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19</v>
      </c>
      <c r="I80" s="75">
        <v>14</v>
      </c>
      <c r="J80" s="75">
        <v>21</v>
      </c>
      <c r="K80" s="209">
        <v>21</v>
      </c>
      <c r="L80" s="210">
        <v>21</v>
      </c>
      <c r="M80" s="211">
        <f>14959.64+7384.39+14758.51+362.5+822.42</f>
        <v>38287.46</v>
      </c>
      <c r="N80" s="211">
        <f>14959.64+7384.39+14758.51+362.5</f>
        <v>37465.040000000001</v>
      </c>
      <c r="O80" s="212">
        <f t="shared" si="4"/>
        <v>822.41999999999825</v>
      </c>
      <c r="P80" s="123">
        <v>10</v>
      </c>
      <c r="Q80" s="214">
        <v>10</v>
      </c>
      <c r="R80" s="215">
        <v>10</v>
      </c>
      <c r="S80" s="97">
        <f>13554.7+2057.24+454.74</f>
        <v>16066.68</v>
      </c>
      <c r="T80" s="97">
        <f>13554.7+2057.24</f>
        <v>15611.94</v>
      </c>
      <c r="U80" s="97">
        <f t="shared" si="5"/>
        <v>454.73999999999978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75">
        <v>2</v>
      </c>
      <c r="J81" s="75">
        <v>4</v>
      </c>
      <c r="K81" s="209">
        <v>4</v>
      </c>
      <c r="L81" s="210">
        <v>3</v>
      </c>
      <c r="M81" s="211">
        <f>287.1+4640.98</f>
        <v>4928.08</v>
      </c>
      <c r="N81" s="211"/>
      <c r="O81" s="212">
        <f t="shared" si="4"/>
        <v>4928.08</v>
      </c>
      <c r="P81" s="123">
        <v>1</v>
      </c>
      <c r="Q81" s="214">
        <v>1</v>
      </c>
      <c r="R81" s="215">
        <v>1</v>
      </c>
      <c r="S81" s="97">
        <v>2673.24</v>
      </c>
      <c r="T81" s="97">
        <v>2673.24</v>
      </c>
      <c r="U81" s="97">
        <f t="shared" si="5"/>
        <v>0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21</v>
      </c>
      <c r="I82" s="75">
        <v>16</v>
      </c>
      <c r="J82" s="75">
        <v>17</v>
      </c>
      <c r="K82" s="209">
        <v>17</v>
      </c>
      <c r="L82" s="210">
        <v>17</v>
      </c>
      <c r="M82" s="211">
        <f>2626.75+8084.46+600.05+7445.83+942.5+668.95</f>
        <v>20368.539999999997</v>
      </c>
      <c r="N82" s="211">
        <f>2626.75+8084.46+600.05+7445.83+942.5+668.95</f>
        <v>20368.539999999997</v>
      </c>
      <c r="O82" s="212">
        <f t="shared" si="4"/>
        <v>0</v>
      </c>
      <c r="P82" s="123">
        <v>10</v>
      </c>
      <c r="Q82" s="214">
        <v>10</v>
      </c>
      <c r="R82" s="215">
        <v>10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24</v>
      </c>
      <c r="I83" s="75">
        <v>14</v>
      </c>
      <c r="J83" s="75">
        <v>25</v>
      </c>
      <c r="K83" s="209">
        <v>25</v>
      </c>
      <c r="L83" s="210">
        <v>25</v>
      </c>
      <c r="M83" s="211">
        <f>11232.31+3440.1+14435.12-1360.99+3088.95+2556.06</f>
        <v>33391.549999999996</v>
      </c>
      <c r="N83" s="211">
        <f>11232.31+3440.1+14435.12-1360.99+3088.95+2556.06</f>
        <v>33391.549999999996</v>
      </c>
      <c r="O83" s="212">
        <f t="shared" si="4"/>
        <v>0</v>
      </c>
      <c r="P83" s="123">
        <v>7</v>
      </c>
      <c r="Q83" s="21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20</v>
      </c>
      <c r="I84" s="75">
        <v>15</v>
      </c>
      <c r="J84" s="75">
        <v>24</v>
      </c>
      <c r="K84" s="209">
        <v>24</v>
      </c>
      <c r="L84" s="210">
        <v>23</v>
      </c>
      <c r="M84" s="211">
        <f>5429.56+2272.28+2029.9+2976.46+1243.6+3190.51</f>
        <v>17142.310000000001</v>
      </c>
      <c r="N84" s="211">
        <f>5429.56+2272.28+2029.9+2976.46+1243.6</f>
        <v>13951.800000000001</v>
      </c>
      <c r="O84" s="212">
        <f t="shared" si="4"/>
        <v>3190.51</v>
      </c>
      <c r="P84" s="123">
        <v>1</v>
      </c>
      <c r="Q84" s="21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42</v>
      </c>
      <c r="I85" s="75">
        <v>36</v>
      </c>
      <c r="J85" s="75">
        <v>62</v>
      </c>
      <c r="K85" s="209">
        <v>52</v>
      </c>
      <c r="L85" s="210">
        <v>52</v>
      </c>
      <c r="M85" s="211">
        <f>15506.09+4089.12+1924.78+1267.55+6546.86+1962.04+654.22+1080.22+392.95+1059.68</f>
        <v>34483.509999999995</v>
      </c>
      <c r="N85" s="211">
        <f>15506.09+4089.12+1924.78+1267.55+6546.86+1962.04+654.22+1080.22+392.95</f>
        <v>33423.829999999994</v>
      </c>
      <c r="O85" s="212">
        <f t="shared" si="4"/>
        <v>1059.6800000000003</v>
      </c>
      <c r="P85" s="123">
        <v>5</v>
      </c>
      <c r="Q85" s="21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21</v>
      </c>
      <c r="I86" s="75">
        <v>8</v>
      </c>
      <c r="J86" s="75">
        <v>9</v>
      </c>
      <c r="K86" s="209">
        <v>9</v>
      </c>
      <c r="L86" s="210">
        <v>9</v>
      </c>
      <c r="M86" s="211">
        <f>1956.76+1128.38+1752.82</f>
        <v>4837.96</v>
      </c>
      <c r="N86" s="211">
        <f>1956.76+1128.38</f>
        <v>3085.1400000000003</v>
      </c>
      <c r="O86" s="212">
        <f t="shared" si="4"/>
        <v>1752.8199999999997</v>
      </c>
      <c r="P86" s="123">
        <v>2</v>
      </c>
      <c r="Q86" s="21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9</v>
      </c>
      <c r="I87" s="75">
        <v>7</v>
      </c>
      <c r="J87" s="75">
        <v>10</v>
      </c>
      <c r="K87" s="209">
        <v>10</v>
      </c>
      <c r="L87" s="210">
        <v>9</v>
      </c>
      <c r="M87" s="211">
        <f>795.8+4099.92+1305+358.88+1643.65</f>
        <v>8203.25</v>
      </c>
      <c r="N87" s="211">
        <f>795.8+4099.92+1305+358.88+1643.65</f>
        <v>8203.25</v>
      </c>
      <c r="O87" s="212">
        <f t="shared" si="4"/>
        <v>0</v>
      </c>
      <c r="P87" s="123">
        <v>6</v>
      </c>
      <c r="Q87" s="214">
        <v>6</v>
      </c>
      <c r="R87" s="215">
        <v>6</v>
      </c>
      <c r="S87" s="97">
        <f>2723.78+3718.48+4265.16+4595.62</f>
        <v>15303.04</v>
      </c>
      <c r="T87" s="97">
        <f>2723.78+3718.48+4265.16</f>
        <v>10707.42</v>
      </c>
      <c r="U87" s="97">
        <f t="shared" si="5"/>
        <v>4595.6200000000008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75"/>
      <c r="J88" s="75"/>
      <c r="K88" s="209"/>
      <c r="L88" s="210"/>
      <c r="M88" s="211"/>
      <c r="N88" s="211"/>
      <c r="O88" s="212">
        <f t="shared" si="4"/>
        <v>0</v>
      </c>
      <c r="P88" s="123">
        <v>6</v>
      </c>
      <c r="Q88" s="21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15</v>
      </c>
      <c r="I89" s="75">
        <v>8</v>
      </c>
      <c r="J89" s="75">
        <v>10</v>
      </c>
      <c r="K89" s="209">
        <v>10</v>
      </c>
      <c r="L89" s="210">
        <v>10</v>
      </c>
      <c r="M89" s="211">
        <f>2874.33+1509.2+1943+315.81+145</f>
        <v>6787.34</v>
      </c>
      <c r="N89" s="211">
        <f>2874.33+1509.2+1943+315.81</f>
        <v>6642.34</v>
      </c>
      <c r="O89" s="212">
        <f t="shared" si="4"/>
        <v>145</v>
      </c>
      <c r="P89" s="123">
        <v>7</v>
      </c>
      <c r="Q89" s="214">
        <v>7</v>
      </c>
      <c r="R89" s="215">
        <v>7</v>
      </c>
      <c r="S89" s="97">
        <f>8161.92+1118.75+3779.58+1127.2+2077.34</f>
        <v>16264.79</v>
      </c>
      <c r="T89" s="97">
        <f>8161.92+1118.75+3779.58+1127.2</f>
        <v>14187.45</v>
      </c>
      <c r="U89" s="97">
        <f t="shared" si="5"/>
        <v>2077.34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49</v>
      </c>
      <c r="I90" s="75">
        <v>47</v>
      </c>
      <c r="J90" s="75">
        <v>82</v>
      </c>
      <c r="K90" s="209">
        <v>66</v>
      </c>
      <c r="L90" s="210">
        <v>66</v>
      </c>
      <c r="M90" s="211">
        <f>14303.46+6714.67+1828.05+13505.93+582.9+8733.75+358.88+2031</f>
        <v>48058.64</v>
      </c>
      <c r="N90" s="211">
        <f>14303.46+6714.67+1828.05+13505.93+582.9+8733.75+358.88</f>
        <v>46027.64</v>
      </c>
      <c r="O90" s="212">
        <f t="shared" si="4"/>
        <v>2031</v>
      </c>
      <c r="P90" s="123">
        <v>8</v>
      </c>
      <c r="Q90" s="214">
        <v>8</v>
      </c>
      <c r="R90" s="215">
        <v>8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30</v>
      </c>
      <c r="I91" s="75">
        <v>17</v>
      </c>
      <c r="J91" s="75">
        <v>24</v>
      </c>
      <c r="K91" s="209">
        <v>23</v>
      </c>
      <c r="L91" s="210">
        <v>20</v>
      </c>
      <c r="M91" s="211">
        <f>5384.83+3572.76+8100.09+725</f>
        <v>17782.68</v>
      </c>
      <c r="N91" s="211">
        <f>5384.83+3572.76+8100.09</f>
        <v>17057.68</v>
      </c>
      <c r="O91" s="212">
        <f t="shared" si="4"/>
        <v>725</v>
      </c>
      <c r="P91" s="123">
        <v>7</v>
      </c>
      <c r="Q91" s="214">
        <v>7</v>
      </c>
      <c r="R91" s="215">
        <v>7</v>
      </c>
      <c r="S91" s="97">
        <f>6219.66+748.35+1502.94</f>
        <v>8470.9500000000007</v>
      </c>
      <c r="T91" s="97">
        <f>6219.66+748.35+1502.94</f>
        <v>8470.9500000000007</v>
      </c>
      <c r="U91" s="97">
        <f t="shared" si="5"/>
        <v>0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24</v>
      </c>
      <c r="I92" s="75">
        <v>15</v>
      </c>
      <c r="J92" s="75">
        <v>21</v>
      </c>
      <c r="K92" s="209">
        <v>21</v>
      </c>
      <c r="L92" s="210">
        <v>21</v>
      </c>
      <c r="M92" s="211">
        <f>2301.54+4352.56+3555.69+1798.94+1481.14+763.69+2342.6+947.21+1435.6</f>
        <v>18978.969999999998</v>
      </c>
      <c r="N92" s="211">
        <f>2301.54+4352.56+3555.69+1798.94+1481.14+763.69+2342.6</f>
        <v>16596.16</v>
      </c>
      <c r="O92" s="212">
        <f t="shared" si="4"/>
        <v>2382.8099999999977</v>
      </c>
      <c r="P92" s="123">
        <v>1</v>
      </c>
      <c r="Q92" s="21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112</v>
      </c>
      <c r="I93" s="75">
        <v>96</v>
      </c>
      <c r="J93" s="75">
        <v>106</v>
      </c>
      <c r="K93" s="209">
        <v>74</v>
      </c>
      <c r="L93" s="210">
        <v>74</v>
      </c>
      <c r="M93" s="211">
        <f>14656.12+3543.47+2420.25+2112.66+1299.21+2099.6+145+12320.24+7256.93</f>
        <v>45853.479999999996</v>
      </c>
      <c r="N93" s="211">
        <f>14656.12+3543.47+2420.25+2112.66+1299.21+2099.6+145-10054.69</f>
        <v>16221.619999999997</v>
      </c>
      <c r="O93" s="212">
        <f t="shared" si="4"/>
        <v>29631.86</v>
      </c>
      <c r="P93" s="123">
        <v>10</v>
      </c>
      <c r="Q93" s="214">
        <v>10</v>
      </c>
      <c r="R93" s="215">
        <v>10</v>
      </c>
      <c r="S93" s="97">
        <f>11083.64+344.5</f>
        <v>11428.14</v>
      </c>
      <c r="T93" s="97">
        <f>11083.64+344.5</f>
        <v>11428.14</v>
      </c>
      <c r="U93" s="97">
        <f t="shared" si="5"/>
        <v>0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44</v>
      </c>
      <c r="I94" s="75">
        <v>23</v>
      </c>
      <c r="J94" s="75">
        <v>27</v>
      </c>
      <c r="K94" s="210">
        <v>25</v>
      </c>
      <c r="L94" s="210">
        <v>23</v>
      </c>
      <c r="M94" s="211">
        <f>6576.32+217.5+2898.52+939.6+1008.45+1200.17+3722.95+4136.2</f>
        <v>20699.710000000003</v>
      </c>
      <c r="N94" s="211">
        <f>6576.32+217.5+2898.52+939.6+1008.45+1200.17</f>
        <v>12840.560000000001</v>
      </c>
      <c r="O94" s="212">
        <f t="shared" si="4"/>
        <v>7859.1500000000015</v>
      </c>
      <c r="P94" s="123">
        <v>24</v>
      </c>
      <c r="Q94" s="215">
        <v>24</v>
      </c>
      <c r="R94" s="215">
        <v>24</v>
      </c>
      <c r="S94" s="97">
        <f>18253.04+4245.2+858.65+1546.26+14802.65</f>
        <v>39705.800000000003</v>
      </c>
      <c r="T94" s="97">
        <f>18253.04+4245.2+858.65+1546.26+14802.65</f>
        <v>39705.800000000003</v>
      </c>
      <c r="U94" s="97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32</v>
      </c>
      <c r="I95" s="75">
        <v>16</v>
      </c>
      <c r="J95" s="75">
        <v>23</v>
      </c>
      <c r="K95" s="209">
        <v>23</v>
      </c>
      <c r="L95" s="210">
        <v>18</v>
      </c>
      <c r="M95" s="211">
        <f>2362.32+22110.36+455.21+2039.58+953.22+699.73+275.6+9654.91+1049.22</f>
        <v>39600.15</v>
      </c>
      <c r="N95" s="211">
        <f>2362.32+22110.36+455.21+2039.58+953.22+699.73+275.6+9654.91</f>
        <v>38550.93</v>
      </c>
      <c r="O95" s="212">
        <f t="shared" si="4"/>
        <v>1049.2200000000012</v>
      </c>
      <c r="P95" s="123">
        <v>16</v>
      </c>
      <c r="Q95" s="214">
        <v>16</v>
      </c>
      <c r="R95" s="215">
        <v>16</v>
      </c>
      <c r="S95" s="97">
        <f>24552.24+1001.28+122.46+1729.98-1</f>
        <v>27404.959999999999</v>
      </c>
      <c r="T95" s="97">
        <f>24552.24+1001.28+122.46+1729.98-1</f>
        <v>27404.959999999999</v>
      </c>
      <c r="U95" s="97">
        <f t="shared" si="5"/>
        <v>0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11</v>
      </c>
      <c r="I96" s="75">
        <v>7</v>
      </c>
      <c r="J96" s="75">
        <v>11</v>
      </c>
      <c r="K96" s="209">
        <v>10</v>
      </c>
      <c r="L96" s="210">
        <v>10</v>
      </c>
      <c r="M96" s="211">
        <f>826.8+2786.41+2401.3</f>
        <v>6014.51</v>
      </c>
      <c r="N96" s="211">
        <f>826.8+2786.41+2401.3</f>
        <v>6014.51</v>
      </c>
      <c r="O96" s="212">
        <f t="shared" si="4"/>
        <v>0</v>
      </c>
      <c r="P96" s="123"/>
      <c r="Q96" s="214"/>
      <c r="R96" s="215"/>
      <c r="S96" s="97"/>
      <c r="T96" s="97"/>
      <c r="U96" s="97">
        <f t="shared" si="5"/>
        <v>0</v>
      </c>
      <c r="V96" s="161"/>
    </row>
    <row r="97" spans="1:35" customFormat="1" ht="20.100000000000001" customHeight="1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75">
        <v>7</v>
      </c>
      <c r="J97" s="75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3171.93+1457.25+380.63</f>
        <v>5009.8100000000004</v>
      </c>
      <c r="O97" s="212">
        <f t="shared" si="4"/>
        <v>0</v>
      </c>
      <c r="P97" s="123">
        <v>4</v>
      </c>
      <c r="Q97" s="21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</row>
    <row r="98" spans="1:35" customFormat="1" ht="20.100000000000001" customHeight="1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19</v>
      </c>
      <c r="I98" s="75">
        <v>9</v>
      </c>
      <c r="J98" s="75">
        <v>11</v>
      </c>
      <c r="K98" s="209">
        <v>11</v>
      </c>
      <c r="L98" s="210">
        <v>11</v>
      </c>
      <c r="M98" s="211">
        <f>757.9+551.2+895.7+290+725+841.2</f>
        <v>4061</v>
      </c>
      <c r="N98" s="211">
        <f>757.9+551.2+895.7+290+725</f>
        <v>3219.8</v>
      </c>
      <c r="O98" s="212">
        <f t="shared" si="4"/>
        <v>841.19999999999982</v>
      </c>
      <c r="P98" s="123">
        <v>13</v>
      </c>
      <c r="Q98" s="214">
        <v>13</v>
      </c>
      <c r="R98" s="215">
        <v>13</v>
      </c>
      <c r="S98" s="97">
        <f>8034.56+3466.13+4060.73+413.4</f>
        <v>15974.82</v>
      </c>
      <c r="T98" s="97">
        <f>8034.56+3466.13+4060.73</f>
        <v>15561.42</v>
      </c>
      <c r="U98" s="97">
        <f t="shared" si="5"/>
        <v>413.39999999999964</v>
      </c>
      <c r="V98" s="161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</row>
    <row r="99" spans="1:35" customFormat="1" ht="20.100000000000001" customHeight="1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28</v>
      </c>
      <c r="I99" s="75">
        <v>16</v>
      </c>
      <c r="J99" s="75">
        <v>21</v>
      </c>
      <c r="K99" s="209">
        <v>21</v>
      </c>
      <c r="L99" s="210">
        <v>20</v>
      </c>
      <c r="M99" s="211">
        <f>4782.23+1353.89+2195.41+1197.7+1340.79+681.5+699.48+1909.51</f>
        <v>14160.51</v>
      </c>
      <c r="N99" s="211">
        <f>4782.23+1353.89+2195.41+1197.7+1340.79+681.5</f>
        <v>11551.52</v>
      </c>
      <c r="O99" s="212">
        <f t="shared" si="4"/>
        <v>2608.9899999999998</v>
      </c>
      <c r="P99" s="123">
        <v>11</v>
      </c>
      <c r="Q99" s="214">
        <v>11</v>
      </c>
      <c r="R99" s="215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</row>
    <row r="100" spans="1:35" customFormat="1" ht="20.100000000000001" customHeight="1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29</v>
      </c>
      <c r="I100" s="75">
        <v>12</v>
      </c>
      <c r="J100" s="75">
        <v>21</v>
      </c>
      <c r="K100" s="209">
        <v>21</v>
      </c>
      <c r="L100" s="210">
        <v>20</v>
      </c>
      <c r="M100" s="211">
        <f>10862.96+2375.03+5632.11+356.47+2077.94+874.35</f>
        <v>22178.859999999997</v>
      </c>
      <c r="N100" s="211">
        <f>10862.96+2375.03+5632.11+356.47</f>
        <v>19226.57</v>
      </c>
      <c r="O100" s="212">
        <f t="shared" si="4"/>
        <v>2952.2899999999972</v>
      </c>
      <c r="P100" s="123">
        <v>10</v>
      </c>
      <c r="Q100" s="214">
        <v>10</v>
      </c>
      <c r="R100" s="215">
        <v>10</v>
      </c>
      <c r="S100" s="97">
        <f>4780.1+2135.9</f>
        <v>6916</v>
      </c>
      <c r="T100" s="97">
        <f>4780.1+2135.9</f>
        <v>6916</v>
      </c>
      <c r="U100" s="97">
        <f t="shared" si="5"/>
        <v>0</v>
      </c>
      <c r="V100" s="161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</row>
    <row r="101" spans="1:35" customFormat="1" ht="20.100000000000001" customHeight="1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95</v>
      </c>
      <c r="I101" s="75">
        <v>65</v>
      </c>
      <c r="J101" s="75">
        <v>74</v>
      </c>
      <c r="K101" s="209">
        <v>54</v>
      </c>
      <c r="L101" s="210">
        <v>54</v>
      </c>
      <c r="M101" s="211">
        <f>16276.16+4466.66+1078.5+4011.53+435+1493.5+2243.15+1864.7+4804.86</f>
        <v>36674.06</v>
      </c>
      <c r="N101" s="211">
        <f>16276.16+4466.66+1078.5+4011.53+435+1493.5+2243.15-144.3</f>
        <v>29860.2</v>
      </c>
      <c r="O101" s="212">
        <f t="shared" si="4"/>
        <v>6813.8599999999969</v>
      </c>
      <c r="P101" s="123">
        <v>35</v>
      </c>
      <c r="Q101" s="214">
        <v>35</v>
      </c>
      <c r="R101" s="215">
        <v>35</v>
      </c>
      <c r="S101" s="97">
        <f>21329.45-2252.12+532.3+345.99+26455.28+1.67+3039.85-3960.98+551.2+1658</f>
        <v>47700.639999999992</v>
      </c>
      <c r="T101" s="97">
        <f>21329.45-2252.12+532.3+345.99+26455.28+1.67+3039.85-3960.98</f>
        <v>45491.439999999995</v>
      </c>
      <c r="U101" s="97">
        <f t="shared" si="5"/>
        <v>2209.1999999999971</v>
      </c>
      <c r="V101" s="161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</row>
    <row r="102" spans="1:35" customFormat="1" ht="20.100000000000001" customHeight="1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13</v>
      </c>
      <c r="I102" s="114">
        <v>8</v>
      </c>
      <c r="J102" s="114">
        <v>11</v>
      </c>
      <c r="K102" s="216">
        <v>11</v>
      </c>
      <c r="L102" s="217">
        <v>11</v>
      </c>
      <c r="M102" s="218">
        <f>3259.83+1328.19+2964.21+8477.2</f>
        <v>16029.43</v>
      </c>
      <c r="N102" s="218">
        <f>3259.83+1328.19+2964.21+8477.2</f>
        <v>16029.43</v>
      </c>
      <c r="O102" s="212">
        <f t="shared" si="4"/>
        <v>0</v>
      </c>
      <c r="P102" s="149">
        <v>4</v>
      </c>
      <c r="Q102" s="220">
        <v>4</v>
      </c>
      <c r="R102" s="221">
        <v>4</v>
      </c>
      <c r="S102" s="147">
        <f>1193.3+5843.89</f>
        <v>7037.1900000000005</v>
      </c>
      <c r="T102" s="147">
        <f>1193.3+5843.89</f>
        <v>7037.1900000000005</v>
      </c>
      <c r="U102" s="147">
        <f t="shared" si="5"/>
        <v>0</v>
      </c>
      <c r="V102" s="161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</row>
    <row r="103" spans="1:35" customFormat="1" ht="20.100000000000001" customHeight="1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24</v>
      </c>
      <c r="I103" s="75">
        <v>6</v>
      </c>
      <c r="J103" s="75">
        <v>8</v>
      </c>
      <c r="K103" s="209">
        <v>8</v>
      </c>
      <c r="L103" s="210">
        <v>8</v>
      </c>
      <c r="M103" s="211">
        <f>699.33+580+1941.55</f>
        <v>3220.88</v>
      </c>
      <c r="N103" s="211">
        <f>699.33+580</f>
        <v>1279.33</v>
      </c>
      <c r="O103" s="212">
        <f t="shared" si="4"/>
        <v>1941.5500000000002</v>
      </c>
      <c r="P103" s="124"/>
      <c r="Q103" s="214"/>
      <c r="R103" s="215"/>
      <c r="S103" s="97"/>
      <c r="T103" s="97"/>
      <c r="U103" s="147">
        <f t="shared" si="5"/>
        <v>0</v>
      </c>
      <c r="V103" s="161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</row>
    <row r="104" spans="1:35" customFormat="1" ht="20.100000000000001" customHeight="1" x14ac:dyDescent="0.25">
      <c r="A104" s="155"/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75">
        <v>2</v>
      </c>
      <c r="J104" s="75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124"/>
      <c r="Q104" s="214"/>
      <c r="R104" s="215"/>
      <c r="S104" s="97"/>
      <c r="T104" s="97"/>
      <c r="U104" s="97">
        <f t="shared" si="5"/>
        <v>0</v>
      </c>
      <c r="V104" s="161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45"/>
      <c r="AG104" s="134"/>
      <c r="AH104" s="134"/>
      <c r="AI104" s="134"/>
    </row>
    <row r="105" spans="1:35" customFormat="1" ht="20.100000000000001" customHeight="1" x14ac:dyDescent="0.25">
      <c r="A105" s="155"/>
      <c r="B105" s="362"/>
      <c r="C105" s="362"/>
      <c r="D105" s="362"/>
      <c r="E105" s="362"/>
      <c r="F105" s="362"/>
      <c r="G105" s="362"/>
      <c r="H105" s="119">
        <f t="shared" ref="H105:P105" si="7">SUM(H10:H104)</f>
        <v>2508</v>
      </c>
      <c r="I105" s="119">
        <f t="shared" si="7"/>
        <v>1589</v>
      </c>
      <c r="J105" s="119">
        <f t="shared" si="7"/>
        <v>2130</v>
      </c>
      <c r="K105" s="222">
        <f t="shared" si="7"/>
        <v>1951</v>
      </c>
      <c r="L105" s="223">
        <f t="shared" si="7"/>
        <v>1878</v>
      </c>
      <c r="M105" s="224">
        <f t="shared" si="7"/>
        <v>1584658.5699999998</v>
      </c>
      <c r="N105" s="224">
        <f t="shared" si="7"/>
        <v>1387027.8700000003</v>
      </c>
      <c r="O105" s="224">
        <f t="shared" si="7"/>
        <v>197630.69999999998</v>
      </c>
      <c r="P105" s="152">
        <f t="shared" si="7"/>
        <v>744</v>
      </c>
      <c r="Q105" s="226">
        <f>SUM(Q10:Q104)</f>
        <v>741</v>
      </c>
      <c r="R105" s="225">
        <f>SUM(R11:R104)</f>
        <v>726</v>
      </c>
      <c r="S105" s="151">
        <f>SUM(S10:S104)</f>
        <v>1033250.5899999999</v>
      </c>
      <c r="T105" s="151">
        <f>SUM(T10:T104)</f>
        <v>1011209.8299999997</v>
      </c>
      <c r="U105" s="151">
        <f>SUM(U10:U104)</f>
        <v>22040.759999999995</v>
      </c>
      <c r="V105" s="240"/>
      <c r="W105" s="241"/>
      <c r="X105" s="242"/>
      <c r="Y105" s="241"/>
      <c r="Z105" s="242"/>
      <c r="AA105" s="241"/>
      <c r="AB105" s="242"/>
      <c r="AC105" s="242"/>
      <c r="AD105" s="242"/>
      <c r="AE105" s="242"/>
      <c r="AF105" s="241"/>
      <c r="AG105" s="241"/>
      <c r="AH105" s="236"/>
      <c r="AI105" s="134"/>
    </row>
    <row r="106" spans="1:35" customFormat="1" x14ac:dyDescent="0.25">
      <c r="A106" s="155"/>
      <c r="B106" s="184"/>
      <c r="C106" s="184"/>
      <c r="D106" s="184"/>
      <c r="E106" s="184"/>
      <c r="F106" s="184"/>
      <c r="G106" s="184"/>
      <c r="H106" s="184"/>
      <c r="I106" s="184"/>
      <c r="J106" s="184"/>
      <c r="K106" s="227"/>
      <c r="L106" s="227"/>
      <c r="M106" s="228"/>
      <c r="N106" s="228"/>
      <c r="O106" s="228"/>
      <c r="P106" s="228"/>
      <c r="Q106" s="228"/>
      <c r="R106" s="228"/>
      <c r="S106" s="185"/>
      <c r="T106" s="185"/>
      <c r="U106" s="186"/>
      <c r="V106" s="160"/>
      <c r="W106" s="159"/>
      <c r="X106" s="160"/>
      <c r="Y106" s="160"/>
      <c r="Z106" s="160"/>
      <c r="AA106" s="160"/>
      <c r="AB106" s="160"/>
      <c r="AC106" s="160"/>
      <c r="AD106" s="160"/>
      <c r="AE106" s="160"/>
      <c r="AF106" s="235"/>
      <c r="AG106" s="235"/>
      <c r="AH106" s="235"/>
      <c r="AI106" s="134"/>
    </row>
    <row r="107" spans="1:35" customFormat="1" x14ac:dyDescent="0.25">
      <c r="A107" s="155"/>
      <c r="B107" s="184"/>
      <c r="C107" s="184"/>
      <c r="D107" s="184"/>
      <c r="E107" s="184"/>
      <c r="F107" s="184"/>
      <c r="G107" s="184"/>
      <c r="H107" s="184"/>
      <c r="I107" s="184"/>
      <c r="J107" s="184"/>
      <c r="K107" s="227"/>
      <c r="L107" s="227"/>
      <c r="M107" s="228"/>
      <c r="N107" s="228"/>
      <c r="O107" s="228"/>
      <c r="P107" s="228"/>
      <c r="Q107" s="228"/>
      <c r="R107" s="228"/>
      <c r="S107" s="185"/>
      <c r="T107" s="185"/>
      <c r="U107" s="186"/>
      <c r="V107" s="145"/>
      <c r="W107" s="145"/>
      <c r="X107" s="134"/>
      <c r="Y107" s="134"/>
      <c r="Z107" s="134"/>
      <c r="AA107" s="134"/>
      <c r="AB107" s="134"/>
      <c r="AC107" s="134"/>
      <c r="AD107" s="134"/>
      <c r="AE107" s="134"/>
      <c r="AF107" s="234"/>
      <c r="AG107" s="234"/>
      <c r="AH107" s="234"/>
      <c r="AI107" s="145"/>
    </row>
    <row r="108" spans="1:35" customFormat="1" x14ac:dyDescent="0.25">
      <c r="A108" s="155"/>
      <c r="B108" s="184"/>
      <c r="C108" s="184"/>
      <c r="D108" s="184"/>
      <c r="E108" s="184"/>
      <c r="F108" s="184"/>
      <c r="G108" s="184"/>
      <c r="H108" s="184"/>
      <c r="I108" s="184"/>
      <c r="J108" s="184"/>
      <c r="K108" s="227"/>
      <c r="L108" s="227"/>
      <c r="M108" s="228"/>
      <c r="N108" s="228"/>
      <c r="O108" s="228"/>
      <c r="P108" s="228"/>
      <c r="Q108" s="228"/>
      <c r="R108" s="228"/>
      <c r="S108" s="185"/>
      <c r="T108" s="185"/>
      <c r="U108" s="186"/>
      <c r="V108" s="145"/>
      <c r="W108" s="145"/>
      <c r="X108" s="134"/>
      <c r="Y108" s="134"/>
      <c r="Z108" s="134"/>
      <c r="AA108" s="134"/>
      <c r="AB108" s="134"/>
      <c r="AC108" s="134"/>
      <c r="AD108" s="134"/>
      <c r="AE108" s="134"/>
      <c r="AF108" s="234"/>
      <c r="AG108" s="234"/>
      <c r="AH108" s="235"/>
      <c r="AI108" s="134"/>
    </row>
    <row r="109" spans="1:35" customFormat="1" x14ac:dyDescent="0.25">
      <c r="A109" s="155"/>
      <c r="B109" s="184"/>
      <c r="C109" s="184"/>
      <c r="D109" s="184"/>
      <c r="E109" s="184"/>
      <c r="F109" s="184"/>
      <c r="G109" s="184"/>
      <c r="H109" s="184"/>
      <c r="I109" s="184"/>
      <c r="J109" s="184"/>
      <c r="K109" s="227"/>
      <c r="L109" s="227"/>
      <c r="M109" s="228"/>
      <c r="N109" s="228"/>
      <c r="O109" s="228"/>
      <c r="P109" s="228"/>
      <c r="Q109" s="228"/>
      <c r="R109" s="228"/>
      <c r="S109" s="185"/>
      <c r="T109" s="185"/>
      <c r="U109" s="186"/>
      <c r="V109" s="145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235"/>
      <c r="AG109" s="235"/>
      <c r="AH109" s="234"/>
      <c r="AI109" s="134"/>
    </row>
    <row r="110" spans="1:35" customFormat="1" x14ac:dyDescent="0.25">
      <c r="A110" s="155"/>
      <c r="B110" s="184"/>
      <c r="C110" s="184"/>
      <c r="D110" s="184"/>
      <c r="E110" s="184"/>
      <c r="F110" s="184"/>
      <c r="G110" s="184"/>
      <c r="H110" s="184"/>
      <c r="I110" s="184"/>
      <c r="J110" s="184"/>
      <c r="K110" s="227"/>
      <c r="L110" s="227"/>
      <c r="M110" s="228"/>
      <c r="N110" s="228"/>
      <c r="O110" s="228"/>
      <c r="P110" s="228"/>
      <c r="Q110" s="228"/>
      <c r="R110" s="228"/>
      <c r="S110" s="185"/>
      <c r="T110" s="185"/>
      <c r="U110" s="186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235"/>
      <c r="AG110" s="235"/>
      <c r="AH110" s="234"/>
      <c r="AI110" s="134"/>
    </row>
    <row r="111" spans="1:35" customFormat="1" x14ac:dyDescent="0.25">
      <c r="A111" s="155"/>
      <c r="B111" s="184"/>
      <c r="C111" s="184"/>
      <c r="D111" s="184"/>
      <c r="E111" s="184"/>
      <c r="F111" s="184"/>
      <c r="G111" s="184"/>
      <c r="H111" s="184"/>
      <c r="I111" s="184"/>
      <c r="J111" s="184"/>
      <c r="K111" s="227"/>
      <c r="L111" s="227"/>
      <c r="M111" s="228"/>
      <c r="N111" s="228"/>
      <c r="O111" s="228"/>
      <c r="P111" s="228"/>
      <c r="Q111" s="228"/>
      <c r="R111" s="228"/>
      <c r="S111" s="185"/>
      <c r="T111" s="185"/>
      <c r="U111" s="186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235"/>
      <c r="AG111" s="235"/>
      <c r="AH111" s="235"/>
      <c r="AI111" s="134"/>
    </row>
    <row r="112" spans="1:35" customFormat="1" x14ac:dyDescent="0.25">
      <c r="A112" s="155"/>
      <c r="B112" s="184"/>
      <c r="C112" s="184"/>
      <c r="D112" s="184"/>
      <c r="E112" s="184"/>
      <c r="F112" s="184"/>
      <c r="G112" s="184"/>
      <c r="H112" s="184"/>
      <c r="I112" s="184"/>
      <c r="J112" s="184"/>
      <c r="K112" s="227"/>
      <c r="L112" s="227"/>
      <c r="M112" s="228"/>
      <c r="N112" s="228"/>
      <c r="O112" s="228"/>
      <c r="P112" s="228"/>
      <c r="Q112" s="228"/>
      <c r="R112" s="228"/>
      <c r="S112" s="185"/>
      <c r="T112" s="185"/>
      <c r="U112" s="186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235"/>
      <c r="AG112" s="235"/>
      <c r="AH112" s="235"/>
      <c r="AI112" s="134"/>
    </row>
    <row r="113" spans="32:34" customFormat="1" ht="15" x14ac:dyDescent="0.25">
      <c r="AF113" s="235"/>
      <c r="AG113" s="235"/>
      <c r="AH113" s="235"/>
    </row>
    <row r="114" spans="32:34" customFormat="1" ht="15" x14ac:dyDescent="0.25">
      <c r="AF114" s="235"/>
      <c r="AG114" s="235"/>
      <c r="AH114" s="23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246" priority="11" stopIfTrue="1" operator="equal">
      <formula>0</formula>
    </cfRule>
  </conditionalFormatting>
  <conditionalFormatting sqref="AL45">
    <cfRule type="cellIs" dxfId="245" priority="10" stopIfTrue="1" operator="equal">
      <formula>0</formula>
    </cfRule>
  </conditionalFormatting>
  <conditionalFormatting sqref="T45">
    <cfRule type="cellIs" dxfId="244" priority="9" stopIfTrue="1" operator="equal">
      <formula>0</formula>
    </cfRule>
  </conditionalFormatting>
  <conditionalFormatting sqref="T45">
    <cfRule type="cellIs" dxfId="243" priority="8" stopIfTrue="1" operator="equal">
      <formula>0</formula>
    </cfRule>
  </conditionalFormatting>
  <conditionalFormatting sqref="T45">
    <cfRule type="cellIs" dxfId="242" priority="7" stopIfTrue="1" operator="equal">
      <formula>0</formula>
    </cfRule>
  </conditionalFormatting>
  <conditionalFormatting sqref="T45">
    <cfRule type="cellIs" dxfId="241" priority="6" stopIfTrue="1" operator="equal">
      <formula>0</formula>
    </cfRule>
  </conditionalFormatting>
  <conditionalFormatting sqref="T45">
    <cfRule type="cellIs" dxfId="240" priority="5" stopIfTrue="1" operator="equal">
      <formula>0</formula>
    </cfRule>
  </conditionalFormatting>
  <conditionalFormatting sqref="T45">
    <cfRule type="cellIs" dxfId="239" priority="4" stopIfTrue="1" operator="equal">
      <formula>0</formula>
    </cfRule>
  </conditionalFormatting>
  <conditionalFormatting sqref="T45">
    <cfRule type="cellIs" dxfId="238" priority="3" stopIfTrue="1" operator="equal">
      <formula>0</formula>
    </cfRule>
  </conditionalFormatting>
  <conditionalFormatting sqref="T45">
    <cfRule type="cellIs" dxfId="237" priority="2" stopIfTrue="1" operator="equal">
      <formula>0</formula>
    </cfRule>
  </conditionalFormatting>
  <conditionalFormatting sqref="T45">
    <cfRule type="cellIs" dxfId="236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B83" zoomScale="80" zoomScaleNormal="80" workbookViewId="0">
      <selection activeCell="T105" sqref="T105"/>
    </sheetView>
  </sheetViews>
  <sheetFormatPr defaultRowHeight="15.75" x14ac:dyDescent="0.25"/>
  <cols>
    <col min="1" max="1" width="6.28515625" style="155" hidden="1" customWidth="1"/>
    <col min="2" max="2" width="9.1406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0" style="184" customWidth="1"/>
    <col min="7" max="7" width="18.5703125" style="184" customWidth="1"/>
    <col min="8" max="8" width="10.7109375" style="184" customWidth="1"/>
    <col min="9" max="10" width="9.140625" style="184" customWidth="1"/>
    <col min="11" max="12" width="9.140625" style="227" customWidth="1"/>
    <col min="13" max="13" width="14.5703125" style="228" customWidth="1"/>
    <col min="14" max="14" width="12.42578125" style="228" customWidth="1"/>
    <col min="15" max="15" width="12.28515625" style="228" customWidth="1"/>
    <col min="16" max="18" width="9.140625" style="228" customWidth="1"/>
    <col min="19" max="19" width="16.85546875" style="185" customWidth="1"/>
    <col min="20" max="20" width="12.7109375" style="185" customWidth="1"/>
    <col min="21" max="21" width="10.85546875" style="186" customWidth="1"/>
    <col min="22" max="22" width="15" style="134" customWidth="1"/>
    <col min="23" max="23" width="14" style="134" hidden="1" customWidth="1"/>
    <col min="24" max="24" width="9.140625" style="134" hidden="1" customWidth="1"/>
    <col min="25" max="25" width="9.5703125" style="134" hidden="1" customWidth="1"/>
    <col min="26" max="26" width="9.140625" style="134" hidden="1" customWidth="1"/>
    <col min="27" max="27" width="9.5703125" style="134" hidden="1" customWidth="1"/>
    <col min="28" max="30" width="9.140625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3" style="134" customWidth="1"/>
    <col min="35" max="42" width="9.140625" style="134" customWidth="1"/>
  </cols>
  <sheetData>
    <row r="1" spans="1:40" customFormat="1" ht="16.5" thickBot="1" x14ac:dyDescent="0.3">
      <c r="A1" s="155"/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</row>
    <row r="2" spans="1:40" customFormat="1" x14ac:dyDescent="0.25">
      <c r="A2" s="155"/>
      <c r="B2" s="348" t="s">
        <v>316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</row>
    <row r="3" spans="1:40" customFormat="1" x14ac:dyDescent="0.25">
      <c r="A3" s="155"/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</row>
    <row r="4" spans="1:40" customFormat="1" x14ac:dyDescent="0.25">
      <c r="A4" s="155"/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</row>
    <row r="5" spans="1:40" customFormat="1" x14ac:dyDescent="0.25">
      <c r="A5" s="155"/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</row>
    <row r="6" spans="1:40" customFormat="1" ht="16.5" thickBot="1" x14ac:dyDescent="0.3">
      <c r="A6" s="155"/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</row>
    <row r="7" spans="1:40" customFormat="1" ht="69.75" customHeight="1" thickBot="1" x14ac:dyDescent="0.3">
      <c r="A7" s="155"/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317</v>
      </c>
      <c r="Q7" s="360"/>
      <c r="R7" s="360"/>
      <c r="S7" s="360"/>
      <c r="T7" s="360"/>
      <c r="U7" s="361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</row>
    <row r="8" spans="1:40" customFormat="1" ht="299.25" x14ac:dyDescent="0.25">
      <c r="A8" s="155"/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</row>
    <row r="9" spans="1:40" customFormat="1" x14ac:dyDescent="0.25">
      <c r="A9" s="155"/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</row>
    <row r="10" spans="1:40" customFormat="1" ht="31.5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41</v>
      </c>
      <c r="I10" s="210">
        <v>27</v>
      </c>
      <c r="J10" s="210">
        <v>30</v>
      </c>
      <c r="K10" s="209">
        <v>30</v>
      </c>
      <c r="L10" s="210">
        <v>29</v>
      </c>
      <c r="M10" s="211">
        <f>8818.63+2629.32+1661.28+2228.94+580+2232.29</f>
        <v>18150.46</v>
      </c>
      <c r="N10" s="211">
        <f>8818.63+2629.32+1661.28+2228.94+580</f>
        <v>15918.17</v>
      </c>
      <c r="O10" s="212">
        <f xml:space="preserve"> (M10-N10)</f>
        <v>2232.2899999999991</v>
      </c>
      <c r="P10" s="213">
        <v>8</v>
      </c>
      <c r="Q10" s="214">
        <v>8</v>
      </c>
      <c r="R10" s="215">
        <v>8</v>
      </c>
      <c r="S10" s="97">
        <f>4246.75+895.7+2557.8</f>
        <v>7700.25</v>
      </c>
      <c r="T10" s="97">
        <f>4246.75+895.7+2557.8</f>
        <v>7700.25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customFormat="1" ht="31.5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15</v>
      </c>
      <c r="I11" s="210">
        <v>13</v>
      </c>
      <c r="J11" s="210">
        <v>13</v>
      </c>
      <c r="K11" s="209">
        <v>13</v>
      </c>
      <c r="L11" s="210">
        <v>13</v>
      </c>
      <c r="M11" s="211">
        <f>1778.86+580+1740+464+580</f>
        <v>5142.8599999999997</v>
      </c>
      <c r="N11" s="211">
        <f>1778.86+580+1740+464+580</f>
        <v>5142.8599999999997</v>
      </c>
      <c r="O11" s="212">
        <f t="shared" ref="O11:O74" si="1" xml:space="preserve"> (M11-N11)</f>
        <v>0</v>
      </c>
      <c r="P11" s="213">
        <v>2</v>
      </c>
      <c r="Q11" s="21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customForma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210"/>
      <c r="J12" s="210"/>
      <c r="K12" s="209"/>
      <c r="L12" s="210"/>
      <c r="M12" s="211"/>
      <c r="N12" s="211"/>
      <c r="O12" s="212">
        <f t="shared" si="1"/>
        <v>0</v>
      </c>
      <c r="P12" s="213">
        <v>3</v>
      </c>
      <c r="Q12" s="21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customFormat="1" ht="31.5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33</v>
      </c>
      <c r="I13" s="210">
        <v>20</v>
      </c>
      <c r="J13" s="210">
        <v>26</v>
      </c>
      <c r="K13" s="209">
        <v>25</v>
      </c>
      <c r="L13" s="210">
        <v>25</v>
      </c>
      <c r="M13" s="211">
        <f>272.84+2699.54+4096.17+3682.51+1608.75</f>
        <v>12359.810000000001</v>
      </c>
      <c r="N13" s="211">
        <f>272.84+2699.54+4096.17</f>
        <v>7068.55</v>
      </c>
      <c r="O13" s="212">
        <f t="shared" si="1"/>
        <v>5291.2600000000011</v>
      </c>
      <c r="P13" s="213">
        <v>6</v>
      </c>
      <c r="Q13" s="214">
        <v>6</v>
      </c>
      <c r="R13" s="215">
        <v>6</v>
      </c>
      <c r="S13" s="97">
        <f>7385.53+1228.66+7042.2+301.46</f>
        <v>15957.849999999999</v>
      </c>
      <c r="T13" s="97">
        <f>7385.53+1228.66+7042.2</f>
        <v>15656.39</v>
      </c>
      <c r="U13" s="97">
        <f t="shared" si="2"/>
        <v>301.45999999999913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customFormat="1" ht="31.5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37</v>
      </c>
      <c r="I14" s="210">
        <v>24</v>
      </c>
      <c r="J14" s="210">
        <v>30</v>
      </c>
      <c r="K14" s="209">
        <v>30</v>
      </c>
      <c r="L14" s="210">
        <v>26</v>
      </c>
      <c r="M14" s="211">
        <f>4932.74+3257.04+137+2487.39+344.5+725+7097.92+895.7</f>
        <v>19877.289999999997</v>
      </c>
      <c r="N14" s="211">
        <f>4932.74+3257.04+137+2487.39+344.5+725</f>
        <v>11883.669999999998</v>
      </c>
      <c r="O14" s="212">
        <f t="shared" si="1"/>
        <v>7993.619999999999</v>
      </c>
      <c r="P14" s="213">
        <v>7</v>
      </c>
      <c r="Q14" s="214">
        <v>7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customFormat="1" ht="31.5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34</v>
      </c>
      <c r="I15" s="210">
        <v>24</v>
      </c>
      <c r="J15" s="210">
        <v>29</v>
      </c>
      <c r="K15" s="209">
        <v>29</v>
      </c>
      <c r="L15" s="210">
        <v>29</v>
      </c>
      <c r="M15" s="211">
        <f>16942.87+1278.76+580+108.75+616.25+797.5</f>
        <v>20324.129999999997</v>
      </c>
      <c r="N15" s="211">
        <f>16942.87+1278.76+580+108.75</f>
        <v>18910.379999999997</v>
      </c>
      <c r="O15" s="212">
        <f t="shared" si="1"/>
        <v>1413.75</v>
      </c>
      <c r="P15" s="213">
        <v>15</v>
      </c>
      <c r="Q15" s="214">
        <v>15</v>
      </c>
      <c r="R15" s="215">
        <v>14</v>
      </c>
      <c r="S15" s="97">
        <f>13813.9+1491.1</f>
        <v>15305</v>
      </c>
      <c r="T15" s="97">
        <f>13813.9+1491.1</f>
        <v>15305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customFormat="1" ht="31.5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210"/>
      <c r="J16" s="210"/>
      <c r="K16" s="209"/>
      <c r="L16" s="210"/>
      <c r="M16" s="211"/>
      <c r="N16" s="211"/>
      <c r="O16" s="212">
        <f t="shared" si="1"/>
        <v>0</v>
      </c>
      <c r="P16" s="213"/>
      <c r="Q16" s="21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43</v>
      </c>
      <c r="I17" s="210">
        <v>21</v>
      </c>
      <c r="J17" s="210">
        <v>27</v>
      </c>
      <c r="K17" s="209">
        <v>19</v>
      </c>
      <c r="L17" s="210">
        <v>18</v>
      </c>
      <c r="M17" s="211">
        <f>7235.14+4416.12+1559.66+658.56+1087.5+652.5+1377.5</f>
        <v>16986.98</v>
      </c>
      <c r="N17" s="211">
        <f>7235.14+4416.12+1559.66+658.56+1087.5</f>
        <v>14956.98</v>
      </c>
      <c r="O17" s="212">
        <f t="shared" si="1"/>
        <v>2030</v>
      </c>
      <c r="P17" s="213">
        <v>1</v>
      </c>
      <c r="Q17" s="21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35</v>
      </c>
      <c r="I18" s="210">
        <v>26</v>
      </c>
      <c r="J18" s="210">
        <v>30</v>
      </c>
      <c r="K18" s="210">
        <v>30</v>
      </c>
      <c r="L18" s="210">
        <v>27</v>
      </c>
      <c r="M18" s="211">
        <f>2118.92+12936.58+4403.89+2411.49+2972.12+403.47+2654.68</f>
        <v>27901.149999999998</v>
      </c>
      <c r="N18" s="211">
        <f>2118.92+12936.58+4403.89+2411.49+2972.12</f>
        <v>24842.999999999996</v>
      </c>
      <c r="O18" s="212">
        <f t="shared" si="1"/>
        <v>3058.1500000000015</v>
      </c>
      <c r="P18" s="213">
        <v>7</v>
      </c>
      <c r="Q18" s="215">
        <v>7</v>
      </c>
      <c r="R18" s="215">
        <v>6</v>
      </c>
      <c r="S18" s="97">
        <f>14748.55+934.31</f>
        <v>15682.859999999999</v>
      </c>
      <c r="T18" s="97">
        <f>14748.55+934.31</f>
        <v>15682.859999999999</v>
      </c>
      <c r="U18" s="97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31</v>
      </c>
      <c r="I19" s="210">
        <v>21</v>
      </c>
      <c r="J19" s="210">
        <v>36</v>
      </c>
      <c r="K19" s="209">
        <v>32</v>
      </c>
      <c r="L19" s="210">
        <v>30</v>
      </c>
      <c r="M19" s="211">
        <f>5345.36+3385.2+4242.79+7468.83+387.77+2322.34+2132.59</f>
        <v>25284.880000000001</v>
      </c>
      <c r="N19" s="211">
        <f>5345.36+3385.2+4242.79+7468.83+387.77</f>
        <v>20829.95</v>
      </c>
      <c r="O19" s="212">
        <f t="shared" si="1"/>
        <v>4454.93</v>
      </c>
      <c r="P19" s="213">
        <v>15</v>
      </c>
      <c r="Q19" s="21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47</v>
      </c>
      <c r="I20" s="210">
        <v>23</v>
      </c>
      <c r="J20" s="210">
        <v>32</v>
      </c>
      <c r="K20" s="210">
        <v>27</v>
      </c>
      <c r="L20" s="210">
        <v>24</v>
      </c>
      <c r="M20" s="211">
        <f>5728.14+3727.02+315.94+2507.59+652.5+2191.47+1855.28+358.88+2503.15</f>
        <v>19839.97</v>
      </c>
      <c r="N20" s="211">
        <f>5728.14+3727.02+315.94+2507.59+652.5+2191.47+1855.28</f>
        <v>16977.939999999999</v>
      </c>
      <c r="O20" s="212">
        <f t="shared" si="1"/>
        <v>2862.0300000000025</v>
      </c>
      <c r="P20" s="213">
        <v>28</v>
      </c>
      <c r="Q20" s="215">
        <v>28</v>
      </c>
      <c r="R20" s="215">
        <v>28</v>
      </c>
      <c r="S20" s="97">
        <f>36404.57+1488.24+1902.09+2012.82</f>
        <v>41807.719999999994</v>
      </c>
      <c r="T20" s="97">
        <f>36404.57+1488.24+1902.09</f>
        <v>39794.899999999994</v>
      </c>
      <c r="U20" s="97">
        <f t="shared" si="2"/>
        <v>2012.8199999999997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23</v>
      </c>
      <c r="I21" s="210">
        <v>13</v>
      </c>
      <c r="J21" s="210">
        <v>19</v>
      </c>
      <c r="K21" s="209">
        <v>19</v>
      </c>
      <c r="L21" s="210">
        <v>18</v>
      </c>
      <c r="M21" s="211">
        <f>3586.84+1791.4+1337.88+413.4+1061.35+942.5+2425.9+5526.4</f>
        <v>17085.669999999998</v>
      </c>
      <c r="N21" s="211">
        <f>3586.84+1791.4+1337.88+413.4+1061.35+942.5</f>
        <v>9133.369999999999</v>
      </c>
      <c r="O21" s="212">
        <f t="shared" si="1"/>
        <v>7952.2999999999993</v>
      </c>
      <c r="P21" s="213">
        <v>7</v>
      </c>
      <c r="Q21" s="214">
        <v>7</v>
      </c>
      <c r="R21" s="215">
        <v>6</v>
      </c>
      <c r="S21" s="97">
        <f>7288.02+447.62+2487.39</f>
        <v>10223.030000000001</v>
      </c>
      <c r="T21" s="97">
        <f>7288.02+447.62+2487.39</f>
        <v>10223.030000000001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120</v>
      </c>
      <c r="I22" s="210">
        <v>78</v>
      </c>
      <c r="J22" s="210">
        <v>94</v>
      </c>
      <c r="K22" s="210">
        <v>69</v>
      </c>
      <c r="L22" s="210">
        <v>69</v>
      </c>
      <c r="M22" s="211">
        <f>19787.02+2513.73+2255.05+12081.39+6786.96+4545.76</f>
        <v>47969.91</v>
      </c>
      <c r="N22" s="211">
        <f>19787.02+2513.73+2255.05+12081.39+6786.96</f>
        <v>43424.15</v>
      </c>
      <c r="O22" s="212">
        <f t="shared" si="1"/>
        <v>4545.760000000002</v>
      </c>
      <c r="P22" s="213">
        <v>23</v>
      </c>
      <c r="Q22" s="215">
        <v>23</v>
      </c>
      <c r="R22" s="215">
        <v>22</v>
      </c>
      <c r="S22" s="97">
        <f>24103.23+3334.5+1378</f>
        <v>28815.73</v>
      </c>
      <c r="T22" s="97">
        <f>24103.23+3334.5</f>
        <v>27437.73</v>
      </c>
      <c r="U22" s="97">
        <f t="shared" si="2"/>
        <v>1378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18</v>
      </c>
      <c r="I23" s="210">
        <v>12</v>
      </c>
      <c r="J23" s="210">
        <v>20</v>
      </c>
      <c r="K23" s="209">
        <v>18</v>
      </c>
      <c r="L23" s="210">
        <v>16</v>
      </c>
      <c r="M23" s="211">
        <f>5739.04+1828.05+1440.72+631.62+564.05+641.19+793.15+2475.51</f>
        <v>14113.33</v>
      </c>
      <c r="N23" s="211">
        <f>5739.04+1828.05+1440.72+631.62+564.05+641.19+793.15</f>
        <v>11637.82</v>
      </c>
      <c r="O23" s="212">
        <f t="shared" si="1"/>
        <v>2475.5100000000002</v>
      </c>
      <c r="P23" s="213">
        <v>12</v>
      </c>
      <c r="Q23" s="214">
        <v>12</v>
      </c>
      <c r="R23" s="215">
        <v>12</v>
      </c>
      <c r="S23" s="97">
        <f>26607.02+6387.23</f>
        <v>32994.25</v>
      </c>
      <c r="T23" s="97">
        <v>26607.02</v>
      </c>
      <c r="U23" s="97">
        <f t="shared" si="2"/>
        <v>6387.23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22</v>
      </c>
      <c r="I24" s="210">
        <v>19</v>
      </c>
      <c r="J24" s="210">
        <v>22</v>
      </c>
      <c r="K24" s="209">
        <v>22</v>
      </c>
      <c r="L24" s="210">
        <v>22</v>
      </c>
      <c r="M24" s="211">
        <f>1515.11+3525.12+1811.05</f>
        <v>6851.28</v>
      </c>
      <c r="N24" s="211">
        <f>1515.11+3525.12</f>
        <v>5040.2299999999996</v>
      </c>
      <c r="O24" s="212">
        <f t="shared" si="1"/>
        <v>1811.0500000000002</v>
      </c>
      <c r="P24" s="213">
        <v>7</v>
      </c>
      <c r="Q24" s="21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38</v>
      </c>
      <c r="I25" s="210">
        <v>13</v>
      </c>
      <c r="J25" s="210">
        <v>32</v>
      </c>
      <c r="K25" s="210">
        <v>32</v>
      </c>
      <c r="L25" s="210">
        <v>32</v>
      </c>
      <c r="M25" s="211">
        <f>9005.69+15068.32+3714.72+1200.78</f>
        <v>28989.510000000002</v>
      </c>
      <c r="N25" s="211">
        <f>9005.69+15068.32+3714.72</f>
        <v>27788.730000000003</v>
      </c>
      <c r="O25" s="212">
        <f t="shared" si="1"/>
        <v>1200.7799999999988</v>
      </c>
      <c r="P25" s="213">
        <v>22</v>
      </c>
      <c r="Q25" s="215">
        <v>21</v>
      </c>
      <c r="R25" s="215">
        <v>21</v>
      </c>
      <c r="S25" s="97">
        <f>24213.05+6197.08+341.06</f>
        <v>30751.19</v>
      </c>
      <c r="T25" s="97">
        <f>24213.05+6197.08+341.06</f>
        <v>30751.19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210">
        <v>11</v>
      </c>
      <c r="J26" s="210">
        <v>18</v>
      </c>
      <c r="K26" s="209">
        <v>18</v>
      </c>
      <c r="L26" s="210">
        <v>18</v>
      </c>
      <c r="M26" s="211">
        <f>3777.1+6399.51+6251.64+358.88</f>
        <v>16787.13</v>
      </c>
      <c r="N26" s="211">
        <f>3777.1+6399.51+6251.64+358.88</f>
        <v>16787.13</v>
      </c>
      <c r="O26" s="212">
        <f t="shared" si="1"/>
        <v>0</v>
      </c>
      <c r="P26" s="213">
        <v>12</v>
      </c>
      <c r="Q26" s="214">
        <v>12</v>
      </c>
      <c r="R26" s="215">
        <v>12</v>
      </c>
      <c r="S26" s="97">
        <f>3386.7+2140.45</f>
        <v>5527.15</v>
      </c>
      <c r="T26" s="97">
        <f>3386.7+2140.45</f>
        <v>5527.15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32</v>
      </c>
      <c r="I27" s="210">
        <v>20</v>
      </c>
      <c r="J27" s="210">
        <v>36</v>
      </c>
      <c r="K27" s="209">
        <v>36</v>
      </c>
      <c r="L27" s="210">
        <v>36</v>
      </c>
      <c r="M27" s="211">
        <f>6801.73+4254.18+3948.81+757.9+1004.85+1005.5+5240.86</f>
        <v>23013.829999999998</v>
      </c>
      <c r="N27" s="211">
        <f>6801.73+4254.18+3948.81+757.9+1004.85+1005.5</f>
        <v>17772.969999999998</v>
      </c>
      <c r="O27" s="212">
        <f t="shared" si="1"/>
        <v>5240.8600000000006</v>
      </c>
      <c r="P27" s="213">
        <v>14</v>
      </c>
      <c r="Q27" s="21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210"/>
      <c r="J28" s="210"/>
      <c r="K28" s="209"/>
      <c r="L28" s="210"/>
      <c r="M28" s="211"/>
      <c r="N28" s="211"/>
      <c r="O28" s="212">
        <f t="shared" si="1"/>
        <v>0</v>
      </c>
      <c r="P28" s="213"/>
      <c r="Q28" s="21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26</v>
      </c>
      <c r="I29" s="210">
        <v>22</v>
      </c>
      <c r="J29" s="210">
        <v>33</v>
      </c>
      <c r="K29" s="209">
        <v>33</v>
      </c>
      <c r="L29" s="210">
        <v>28</v>
      </c>
      <c r="M29" s="211">
        <f>7765.28+1107.91+3282.4+1320.23+1580.98+622.05+447.4+992.16</f>
        <v>17118.41</v>
      </c>
      <c r="N29" s="211">
        <f>7765.28+1107.91+3282.4+1320.23+1580.98+622.05+447.4</f>
        <v>16126.249999999998</v>
      </c>
      <c r="O29" s="212">
        <f t="shared" si="1"/>
        <v>992.16000000000167</v>
      </c>
      <c r="P29" s="213">
        <v>14</v>
      </c>
      <c r="Q29" s="21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40</v>
      </c>
      <c r="I30" s="210">
        <v>34</v>
      </c>
      <c r="J30" s="210">
        <v>49</v>
      </c>
      <c r="K30" s="210">
        <v>49</v>
      </c>
      <c r="L30" s="210">
        <v>44</v>
      </c>
      <c r="M30" s="211">
        <f>5246.17+4965.96+1939.12+3762.43+2342.38+4011.61+2238.08+5198.79</f>
        <v>29704.54</v>
      </c>
      <c r="N30" s="211">
        <f>5246.17+4965.96+1939.12+3762.43+2342.38+4011.61</f>
        <v>22267.670000000002</v>
      </c>
      <c r="O30" s="212">
        <f t="shared" si="1"/>
        <v>7436.869999999999</v>
      </c>
      <c r="P30" s="213">
        <v>23</v>
      </c>
      <c r="Q30" s="215">
        <v>23</v>
      </c>
      <c r="R30" s="215">
        <v>23</v>
      </c>
      <c r="S30" s="97">
        <f>39414.6+4786.67+1562.33+638.43+2216.93+1293.2</f>
        <v>49912.159999999996</v>
      </c>
      <c r="T30" s="97">
        <f>39414.6+4786.67+1562.33+638.43+2216.93+1293.2</f>
        <v>49912.159999999996</v>
      </c>
      <c r="U30" s="97">
        <f t="shared" si="2"/>
        <v>0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210">
        <v>1</v>
      </c>
      <c r="J31" s="210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21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210"/>
      <c r="J32" s="210"/>
      <c r="K32" s="209"/>
      <c r="L32" s="210"/>
      <c r="M32" s="211"/>
      <c r="N32" s="211"/>
      <c r="O32" s="212">
        <f t="shared" si="1"/>
        <v>0</v>
      </c>
      <c r="P32" s="213"/>
      <c r="Q32" s="21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customFormat="1" ht="31.5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14</v>
      </c>
      <c r="I33" s="210">
        <v>9</v>
      </c>
      <c r="J33" s="210">
        <v>12</v>
      </c>
      <c r="K33" s="209">
        <v>12</v>
      </c>
      <c r="L33" s="210">
        <v>12</v>
      </c>
      <c r="M33" s="211">
        <f>4065+2226.4+2915.4+290+826.8</f>
        <v>10323.599999999999</v>
      </c>
      <c r="N33" s="211">
        <f>4065+2226.4+2915.4+290</f>
        <v>9496.7999999999993</v>
      </c>
      <c r="O33" s="212">
        <f t="shared" si="1"/>
        <v>826.79999999999927</v>
      </c>
      <c r="P33" s="213"/>
      <c r="Q33" s="21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customFormat="1" ht="31.5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210">
        <v>14</v>
      </c>
      <c r="J34" s="210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customFormat="1" ht="31.5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12</v>
      </c>
      <c r="I35" s="210">
        <v>6</v>
      </c>
      <c r="J35" s="210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customFormat="1" ht="31.5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23</v>
      </c>
      <c r="I36" s="210">
        <v>13</v>
      </c>
      <c r="J36" s="210">
        <v>16</v>
      </c>
      <c r="K36" s="209">
        <v>16</v>
      </c>
      <c r="L36" s="210">
        <v>16</v>
      </c>
      <c r="M36" s="211">
        <f>2360+2665.25+2800.06+3488.89+1050.79</f>
        <v>12364.989999999998</v>
      </c>
      <c r="N36" s="211">
        <f>2360+2665.25+2800.06+3488.89</f>
        <v>11314.199999999999</v>
      </c>
      <c r="O36" s="212">
        <f t="shared" si="1"/>
        <v>1050.7899999999991</v>
      </c>
      <c r="P36" s="213">
        <v>6</v>
      </c>
      <c r="Q36" s="214">
        <v>6</v>
      </c>
      <c r="R36" s="215">
        <v>6</v>
      </c>
      <c r="S36" s="97">
        <f>1436.08+3433.93+5939.33+1723.52</f>
        <v>12532.86</v>
      </c>
      <c r="T36" s="97">
        <f>1436.08+3433.93+5939.33+1723.52</f>
        <v>12532.86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customFormat="1" ht="31.5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21</v>
      </c>
      <c r="I37" s="210">
        <v>13</v>
      </c>
      <c r="J37" s="210">
        <v>18</v>
      </c>
      <c r="K37" s="209">
        <v>18</v>
      </c>
      <c r="L37" s="210">
        <v>16</v>
      </c>
      <c r="M37" s="211">
        <f>4126.56+990.2+862.75+145+358.88+1424.06+2121.03</f>
        <v>10028.480000000001</v>
      </c>
      <c r="N37" s="211">
        <f>4126.56+990.2+862.75+145+358.88+1424.06</f>
        <v>7907.4500000000007</v>
      </c>
      <c r="O37" s="212">
        <f t="shared" si="1"/>
        <v>2121.0300000000007</v>
      </c>
      <c r="P37" s="213">
        <v>2</v>
      </c>
      <c r="Q37" s="214">
        <v>2</v>
      </c>
      <c r="R37" s="215">
        <v>2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customFormat="1" ht="31.5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82</v>
      </c>
      <c r="I38" s="210">
        <v>43</v>
      </c>
      <c r="J38" s="210">
        <v>60</v>
      </c>
      <c r="K38" s="209">
        <v>60</v>
      </c>
      <c r="L38" s="210">
        <v>59</v>
      </c>
      <c r="M38" s="211">
        <f>18043.85+1739.74+12219.36+4084.73+2867.69+2388.56+1377.5+2533.95+5859.96+4779.49</f>
        <v>55894.829999999994</v>
      </c>
      <c r="N38" s="211">
        <f>18043.85+1739.74+12219.36+4084.73+2867.69+2388.56+1377.5+2533.95</f>
        <v>45255.38</v>
      </c>
      <c r="O38" s="212">
        <f t="shared" si="1"/>
        <v>10639.449999999997</v>
      </c>
      <c r="P38" s="213">
        <v>21</v>
      </c>
      <c r="Q38" s="214">
        <v>21</v>
      </c>
      <c r="R38" s="215">
        <v>21</v>
      </c>
      <c r="S38" s="97">
        <f>22326.77+417.74+1031.26</f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customFormat="1" ht="31.5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29</v>
      </c>
      <c r="I39" s="210">
        <v>16</v>
      </c>
      <c r="J39" s="210">
        <v>21</v>
      </c>
      <c r="K39" s="209">
        <v>19</v>
      </c>
      <c r="L39" s="210">
        <v>18</v>
      </c>
      <c r="M39" s="211">
        <f>4309.67+3353.38+84.05+2832.72+349.74+868+1575.33</f>
        <v>13372.89</v>
      </c>
      <c r="N39" s="211">
        <f>4309.67+3353.38+84.05+2832.72+349.74+868</f>
        <v>11797.56</v>
      </c>
      <c r="O39" s="212">
        <f t="shared" si="1"/>
        <v>1575.33</v>
      </c>
      <c r="P39" s="213">
        <v>3</v>
      </c>
      <c r="Q39" s="214">
        <v>3</v>
      </c>
      <c r="R39" s="215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customFormat="1" ht="31.5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9</v>
      </c>
      <c r="I40" s="210">
        <v>6</v>
      </c>
      <c r="J40" s="210">
        <v>7</v>
      </c>
      <c r="K40" s="209">
        <v>6</v>
      </c>
      <c r="L40" s="210">
        <v>6</v>
      </c>
      <c r="M40" s="211">
        <f>5430.01+287.1</f>
        <v>5717.1100000000006</v>
      </c>
      <c r="N40" s="211">
        <v>5430.01</v>
      </c>
      <c r="O40" s="212">
        <f t="shared" si="1"/>
        <v>287.10000000000036</v>
      </c>
      <c r="P40" s="213">
        <v>4</v>
      </c>
      <c r="Q40" s="214">
        <v>4</v>
      </c>
      <c r="R40" s="215">
        <v>4</v>
      </c>
      <c r="S40" s="97">
        <f>3996.7+1341.47+7404.94</f>
        <v>12743.11</v>
      </c>
      <c r="T40" s="97">
        <f>3996.7+1341.47</f>
        <v>5338.17</v>
      </c>
      <c r="U40" s="97">
        <f t="shared" si="2"/>
        <v>7404.9400000000005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customFormat="1" ht="31.5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23</v>
      </c>
      <c r="I41" s="210">
        <v>17</v>
      </c>
      <c r="J41" s="210">
        <v>19</v>
      </c>
      <c r="K41" s="209">
        <v>19</v>
      </c>
      <c r="L41" s="210">
        <v>19</v>
      </c>
      <c r="M41" s="211">
        <f>4892.78+1033.5+545.69+1551.08+3520.24</f>
        <v>11543.289999999999</v>
      </c>
      <c r="N41" s="211">
        <f>4892.78+1033.5+545.69+1551.08</f>
        <v>8023.0499999999993</v>
      </c>
      <c r="O41" s="212">
        <f t="shared" si="1"/>
        <v>3520.24</v>
      </c>
      <c r="P41" s="213">
        <v>4</v>
      </c>
      <c r="Q41" s="214">
        <v>4</v>
      </c>
      <c r="R41" s="215">
        <v>4</v>
      </c>
      <c r="S41" s="97">
        <f>1842.88+373.68</f>
        <v>2216.56</v>
      </c>
      <c r="T41" s="97">
        <f>1842.88+373.68</f>
        <v>2216.56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customFormat="1" ht="31.5" x14ac:dyDescent="0.25">
      <c r="A42" s="155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15</v>
      </c>
      <c r="I42" s="210">
        <v>7</v>
      </c>
      <c r="J42" s="210">
        <v>12</v>
      </c>
      <c r="K42" s="209">
        <v>12</v>
      </c>
      <c r="L42" s="210">
        <v>11</v>
      </c>
      <c r="M42" s="211">
        <f>5095.29+1605.75+430.65+529.04+145</f>
        <v>7805.73</v>
      </c>
      <c r="N42" s="211">
        <f>5095.29+1605.75+430.65</f>
        <v>7131.69</v>
      </c>
      <c r="O42" s="212">
        <f t="shared" si="1"/>
        <v>674.04</v>
      </c>
      <c r="P42" s="213">
        <v>5</v>
      </c>
      <c r="Q42" s="21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customFormat="1" ht="31.5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21</v>
      </c>
      <c r="I43" s="210">
        <v>11</v>
      </c>
      <c r="J43" s="210">
        <v>18</v>
      </c>
      <c r="K43" s="209">
        <v>18</v>
      </c>
      <c r="L43" s="210">
        <v>18</v>
      </c>
      <c r="M43" s="211">
        <f>1949.94+11241.95+1670.56+979+622.78+145+551.2+2279.66+3262.66</f>
        <v>22702.75</v>
      </c>
      <c r="N43" s="211">
        <f>1949.94+11241.95+1670.56+979+622.78+145+551.2</f>
        <v>17160.43</v>
      </c>
      <c r="O43" s="212">
        <f t="shared" si="1"/>
        <v>5542.32</v>
      </c>
      <c r="P43" s="213">
        <v>7</v>
      </c>
      <c r="Q43" s="214">
        <v>7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customFormat="1" ht="31.5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14</v>
      </c>
      <c r="I44" s="210">
        <v>9</v>
      </c>
      <c r="J44" s="210">
        <v>15</v>
      </c>
      <c r="K44" s="209">
        <v>15</v>
      </c>
      <c r="L44" s="210">
        <v>13</v>
      </c>
      <c r="M44" s="211">
        <f>9600.95+145+2182.75+7980.88+580+287.1</f>
        <v>20776.68</v>
      </c>
      <c r="N44" s="211">
        <f>9600.95+145+2182.75+7980.88+580+287.1</f>
        <v>20776.68</v>
      </c>
      <c r="O44" s="212">
        <f t="shared" si="1"/>
        <v>0</v>
      </c>
      <c r="P44" s="213">
        <v>8</v>
      </c>
      <c r="Q44" s="214">
        <v>8</v>
      </c>
      <c r="R44" s="215">
        <v>8</v>
      </c>
      <c r="S44" s="97">
        <f>3997.92+850.65+4367.7+2262.73+189.48</f>
        <v>11668.48</v>
      </c>
      <c r="T44" s="97">
        <f>3997.92+850.65+4367.7+2262.73+189.48</f>
        <v>11668.48</v>
      </c>
      <c r="U44" s="97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customFormat="1" x14ac:dyDescent="0.25">
      <c r="A45" s="155"/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210"/>
      <c r="J45" s="210"/>
      <c r="K45" s="209"/>
      <c r="L45" s="210"/>
      <c r="M45" s="211"/>
      <c r="N45" s="211"/>
      <c r="O45" s="212">
        <f t="shared" si="1"/>
        <v>0</v>
      </c>
      <c r="P45" s="213"/>
      <c r="Q45" s="21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customFormat="1" ht="31.5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19</v>
      </c>
      <c r="I46" s="210">
        <v>11</v>
      </c>
      <c r="J46" s="210">
        <v>12</v>
      </c>
      <c r="K46" s="209">
        <v>12</v>
      </c>
      <c r="L46" s="210">
        <v>12</v>
      </c>
      <c r="M46" s="211">
        <f>1290.6+2343.84+935.25</f>
        <v>4569.6900000000005</v>
      </c>
      <c r="N46" s="211">
        <f>1290.6+2343.84+935.25</f>
        <v>4569.6900000000005</v>
      </c>
      <c r="O46" s="212">
        <f t="shared" si="1"/>
        <v>0</v>
      </c>
      <c r="P46" s="213">
        <v>2</v>
      </c>
      <c r="Q46" s="21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customFormat="1" ht="31.5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44</v>
      </c>
      <c r="I47" s="210">
        <v>28</v>
      </c>
      <c r="J47" s="210">
        <v>38</v>
      </c>
      <c r="K47" s="209">
        <v>36</v>
      </c>
      <c r="L47" s="210">
        <v>30</v>
      </c>
      <c r="M47" s="211">
        <f>9335.56+3507.6+826.8+2284.16+1015+1378</f>
        <v>18347.12</v>
      </c>
      <c r="N47" s="211">
        <f>9335.56+3507.6+826.8+2284.16+1015</f>
        <v>16969.12</v>
      </c>
      <c r="O47" s="212">
        <f t="shared" si="1"/>
        <v>1378</v>
      </c>
      <c r="P47" s="213">
        <v>2</v>
      </c>
      <c r="Q47" s="21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customFormat="1" ht="31.5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19</v>
      </c>
      <c r="I48" s="210">
        <v>7</v>
      </c>
      <c r="J48" s="210">
        <v>10</v>
      </c>
      <c r="K48" s="209">
        <v>9</v>
      </c>
      <c r="L48" s="210">
        <v>9</v>
      </c>
      <c r="M48" s="211">
        <f>8890.84+1828.05+435</f>
        <v>11153.89</v>
      </c>
      <c r="N48" s="211">
        <f>8890.84+1828.05+435</f>
        <v>11153.89</v>
      </c>
      <c r="O48" s="212">
        <f t="shared" si="1"/>
        <v>0</v>
      </c>
      <c r="P48" s="213">
        <v>3</v>
      </c>
      <c r="Q48" s="21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customFormat="1" ht="31.5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20</v>
      </c>
      <c r="I49" s="210">
        <v>11</v>
      </c>
      <c r="J49" s="210">
        <v>14</v>
      </c>
      <c r="K49" s="209">
        <v>14</v>
      </c>
      <c r="L49" s="210">
        <v>14</v>
      </c>
      <c r="M49" s="211">
        <f>1831.71+137.8+1816.78+290+420.6+435</f>
        <v>4931.8900000000003</v>
      </c>
      <c r="N49" s="211">
        <f>1831.71+137.8+1816.78+290</f>
        <v>4076.29</v>
      </c>
      <c r="O49" s="212">
        <f t="shared" si="1"/>
        <v>855.60000000000036</v>
      </c>
      <c r="P49" s="213">
        <v>9</v>
      </c>
      <c r="Q49" s="214">
        <v>9</v>
      </c>
      <c r="R49" s="215">
        <v>9</v>
      </c>
      <c r="S49" s="97">
        <f>8296.23+1378+5368</f>
        <v>15042.23</v>
      </c>
      <c r="T49" s="97">
        <f>8296.23+1378+5368</f>
        <v>15042.23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customFormat="1" ht="31.5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24</v>
      </c>
      <c r="I50" s="210">
        <v>17</v>
      </c>
      <c r="J50" s="210">
        <v>19</v>
      </c>
      <c r="K50" s="209">
        <v>19</v>
      </c>
      <c r="L50" s="210">
        <v>19</v>
      </c>
      <c r="M50" s="211">
        <f>8308.92+786.44+453+302+1256.5</f>
        <v>11106.86</v>
      </c>
      <c r="N50" s="211">
        <f>8308.92+786.44+453+302+1256.5</f>
        <v>11106.86</v>
      </c>
      <c r="O50" s="212">
        <f t="shared" si="1"/>
        <v>0</v>
      </c>
      <c r="P50" s="213">
        <v>6</v>
      </c>
      <c r="Q50" s="214">
        <v>6</v>
      </c>
      <c r="R50" s="215">
        <v>6</v>
      </c>
      <c r="S50" s="97">
        <f>2457.28+1725.6+5017.9+1584.7</f>
        <v>10785.48</v>
      </c>
      <c r="T50" s="97">
        <f>2457.28+1725.6+5017.9+1584.7</f>
        <v>10785.48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customFormat="1" ht="31.5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26</v>
      </c>
      <c r="I51" s="210">
        <v>13</v>
      </c>
      <c r="J51" s="210">
        <v>15</v>
      </c>
      <c r="K51" s="209">
        <v>15</v>
      </c>
      <c r="L51" s="210">
        <v>15</v>
      </c>
      <c r="M51" s="211">
        <f>5580.75+571.11+696.2+574.2+408.03+1234.53+1446.9+620.1</f>
        <v>11131.82</v>
      </c>
      <c r="N51" s="211">
        <f>5580.75+571.11+696.2+574.2+408.03+1234.53+1446.9</f>
        <v>10511.72</v>
      </c>
      <c r="O51" s="212">
        <f t="shared" si="1"/>
        <v>620.10000000000036</v>
      </c>
      <c r="P51" s="213">
        <v>1</v>
      </c>
      <c r="Q51" s="214">
        <v>1</v>
      </c>
      <c r="R51" s="215">
        <v>1</v>
      </c>
      <c r="S51" s="97">
        <f>728.15</f>
        <v>728.15</v>
      </c>
      <c r="T51" s="97">
        <f>728.15</f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customFormat="1" ht="31.5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24</v>
      </c>
      <c r="I52" s="210">
        <v>14</v>
      </c>
      <c r="J52" s="210">
        <v>17</v>
      </c>
      <c r="K52" s="209">
        <v>17</v>
      </c>
      <c r="L52" s="210">
        <v>15</v>
      </c>
      <c r="M52" s="211">
        <f>3782.6+430.65+1221.61+2194.55+452.33+1392</f>
        <v>9473.74</v>
      </c>
      <c r="N52" s="211">
        <f>3782.6+430.65+1221.61+2194.55</f>
        <v>7629.41</v>
      </c>
      <c r="O52" s="212">
        <f t="shared" si="1"/>
        <v>1844.33</v>
      </c>
      <c r="P52" s="213">
        <v>10</v>
      </c>
      <c r="Q52" s="214">
        <v>10</v>
      </c>
      <c r="R52" s="215">
        <v>10</v>
      </c>
      <c r="S52" s="97">
        <f>1535.39+1035.3+828.82+12756.45+716.22</f>
        <v>16872.18</v>
      </c>
      <c r="T52" s="97">
        <f>1535.39+1035.3+828.82+12756.45</f>
        <v>16155.960000000001</v>
      </c>
      <c r="U52" s="97">
        <f t="shared" si="2"/>
        <v>716.21999999999935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customFormat="1" ht="31.5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9</v>
      </c>
      <c r="I53" s="210">
        <v>3</v>
      </c>
      <c r="J53" s="210">
        <v>3</v>
      </c>
      <c r="K53" s="209">
        <v>3</v>
      </c>
      <c r="L53" s="210">
        <v>3</v>
      </c>
      <c r="M53" s="211">
        <f>1102.4+328.37</f>
        <v>1430.77</v>
      </c>
      <c r="N53" s="211">
        <f>1102.4+328.37</f>
        <v>1430.77</v>
      </c>
      <c r="O53" s="212">
        <f t="shared" si="1"/>
        <v>0</v>
      </c>
      <c r="P53" s="213">
        <v>2</v>
      </c>
      <c r="Q53" s="21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customFormat="1" ht="31.5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112</v>
      </c>
      <c r="I54" s="210">
        <v>99</v>
      </c>
      <c r="J54" s="210">
        <v>116</v>
      </c>
      <c r="K54" s="209">
        <v>101</v>
      </c>
      <c r="L54" s="210">
        <v>89</v>
      </c>
      <c r="M54" s="211">
        <f>12031.27+4728.85+7137.01+1218+507+4175.93+5308.12+6184.37</f>
        <v>41290.55000000001</v>
      </c>
      <c r="N54" s="211">
        <f>12031.27+4728.85+7137.01+1218+507+4175.93+5308.12</f>
        <v>35106.180000000008</v>
      </c>
      <c r="O54" s="212">
        <f t="shared" si="1"/>
        <v>6184.3700000000026</v>
      </c>
      <c r="P54" s="213">
        <v>17</v>
      </c>
      <c r="Q54" s="21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customFormat="1" ht="31.5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8</v>
      </c>
      <c r="I55" s="210">
        <v>3</v>
      </c>
      <c r="J55" s="210">
        <v>4</v>
      </c>
      <c r="K55" s="209">
        <v>4</v>
      </c>
      <c r="L55" s="210">
        <v>4</v>
      </c>
      <c r="M55" s="211">
        <f>5677.4+870+2962.7</f>
        <v>9510.0999999999985</v>
      </c>
      <c r="N55" s="211">
        <f>5677.4+870-5307.82</f>
        <v>1239.58</v>
      </c>
      <c r="O55" s="212">
        <f t="shared" si="1"/>
        <v>8270.5199999999986</v>
      </c>
      <c r="P55" s="213">
        <v>3</v>
      </c>
      <c r="Q55" s="21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customFormat="1" ht="31.5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64</v>
      </c>
      <c r="I56" s="210">
        <v>42</v>
      </c>
      <c r="J56" s="210">
        <v>62</v>
      </c>
      <c r="K56" s="209">
        <v>62</v>
      </c>
      <c r="L56" s="210">
        <v>55</v>
      </c>
      <c r="M56" s="211">
        <f>13145.7+14183.3+726.22+3195.47+5181.98+1425.26+6804.83+1811+6356.42+2151.08+5494.6</f>
        <v>60475.86</v>
      </c>
      <c r="N56" s="211">
        <f>13145.7+14183.3+726.22+3195.47+5181.98+1425.26+6804.83+1811+6356.42-6356.42</f>
        <v>46473.760000000002</v>
      </c>
      <c r="O56" s="212">
        <f t="shared" si="1"/>
        <v>14002.099999999999</v>
      </c>
      <c r="P56" s="213">
        <v>35</v>
      </c>
      <c r="Q56" s="214">
        <v>35</v>
      </c>
      <c r="R56" s="215">
        <v>32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customFormat="1" ht="31.5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210">
        <v>9</v>
      </c>
      <c r="J57" s="210">
        <v>10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21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customFormat="1" ht="31.5" x14ac:dyDescent="0.25">
      <c r="A58" s="155"/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210"/>
      <c r="J58" s="210"/>
      <c r="K58" s="209"/>
      <c r="L58" s="210"/>
      <c r="M58" s="211"/>
      <c r="N58" s="211"/>
      <c r="O58" s="212">
        <f t="shared" si="1"/>
        <v>0</v>
      </c>
      <c r="P58" s="213">
        <v>1</v>
      </c>
      <c r="Q58" s="214">
        <v>1</v>
      </c>
      <c r="R58" s="215">
        <v>1</v>
      </c>
      <c r="S58" s="97">
        <v>548.1</v>
      </c>
      <c r="T58" s="97">
        <v>548.1</v>
      </c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customFormat="1" ht="31.5" x14ac:dyDescent="0.25">
      <c r="A59" s="155"/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210"/>
      <c r="J59" s="210"/>
      <c r="K59" s="209"/>
      <c r="L59" s="210"/>
      <c r="M59" s="211"/>
      <c r="N59" s="211"/>
      <c r="O59" s="212">
        <f t="shared" si="1"/>
        <v>0</v>
      </c>
      <c r="P59" s="213"/>
      <c r="Q59" s="21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customFormat="1" ht="31.5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57</v>
      </c>
      <c r="I60" s="210">
        <v>33</v>
      </c>
      <c r="J60" s="210">
        <v>48</v>
      </c>
      <c r="K60" s="209">
        <v>48</v>
      </c>
      <c r="L60" s="210">
        <v>42</v>
      </c>
      <c r="M60" s="211">
        <f>19657.67+3859.57+3638.88+11285.84+2356.7+1870.22+2374.32+1250.63</f>
        <v>46293.829999999994</v>
      </c>
      <c r="N60" s="211">
        <f>19657.67+3859.57+3638.88+11285.84+2356.7+1870.22+2374.32</f>
        <v>45043.199999999997</v>
      </c>
      <c r="O60" s="212">
        <f t="shared" si="1"/>
        <v>1250.6299999999974</v>
      </c>
      <c r="P60" s="213">
        <v>7</v>
      </c>
      <c r="Q60" s="214">
        <v>7</v>
      </c>
      <c r="R60" s="215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customFormat="1" ht="31.5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29</v>
      </c>
      <c r="I61" s="210">
        <v>17</v>
      </c>
      <c r="J61" s="210">
        <v>26</v>
      </c>
      <c r="K61" s="209">
        <v>18</v>
      </c>
      <c r="L61" s="210">
        <v>18</v>
      </c>
      <c r="M61" s="211">
        <f>3986.21+989.8+3814.75+1492.92+2107.58+1990.86</f>
        <v>14382.12</v>
      </c>
      <c r="N61" s="211">
        <f>3986.21+989.8+3814.75+1492.92+2107.58+1990.86</f>
        <v>14382.12</v>
      </c>
      <c r="O61" s="212">
        <f t="shared" si="1"/>
        <v>0</v>
      </c>
      <c r="P61" s="213"/>
      <c r="Q61" s="21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customFormat="1" ht="31.5" x14ac:dyDescent="0.25">
      <c r="A62" s="155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19</v>
      </c>
      <c r="I62" s="210">
        <v>11</v>
      </c>
      <c r="J62" s="210">
        <v>14</v>
      </c>
      <c r="K62" s="209">
        <v>14</v>
      </c>
      <c r="L62" s="210">
        <v>14</v>
      </c>
      <c r="M62" s="211">
        <f>1263.45+2111.32+5011.35+4260.64</f>
        <v>12646.760000000002</v>
      </c>
      <c r="N62" s="211">
        <f>1263.45+2111.32+5011.35+4260.64</f>
        <v>12646.760000000002</v>
      </c>
      <c r="O62" s="212">
        <f t="shared" si="1"/>
        <v>0</v>
      </c>
      <c r="P62" s="213">
        <v>7</v>
      </c>
      <c r="Q62" s="214">
        <v>7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</row>
    <row r="63" spans="1:40" customFormat="1" ht="31.5" x14ac:dyDescent="0.25">
      <c r="A63" s="155"/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210"/>
      <c r="J63" s="210"/>
      <c r="K63" s="209"/>
      <c r="L63" s="210"/>
      <c r="M63" s="211"/>
      <c r="N63" s="211"/>
      <c r="O63" s="212">
        <f t="shared" si="1"/>
        <v>0</v>
      </c>
      <c r="P63" s="213">
        <v>29</v>
      </c>
      <c r="Q63" s="214">
        <v>29</v>
      </c>
      <c r="R63" s="215">
        <v>29</v>
      </c>
      <c r="S63" s="97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</row>
    <row r="64" spans="1:40" customFormat="1" ht="31.5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32</v>
      </c>
      <c r="I64" s="210">
        <v>21</v>
      </c>
      <c r="J64" s="210">
        <v>23</v>
      </c>
      <c r="K64" s="209">
        <v>22</v>
      </c>
      <c r="L64" s="210">
        <v>16</v>
      </c>
      <c r="M64" s="211">
        <f>6496.16+4335.01+2477.65+2687.1+609</f>
        <v>16604.919999999998</v>
      </c>
      <c r="N64" s="211">
        <f>6496.16+4335.01+2477.65+2687.1+609</f>
        <v>16604.919999999998</v>
      </c>
      <c r="O64" s="212">
        <f t="shared" si="1"/>
        <v>0</v>
      </c>
      <c r="P64" s="213">
        <v>12</v>
      </c>
      <c r="Q64" s="214">
        <v>12</v>
      </c>
      <c r="R64" s="215">
        <v>12</v>
      </c>
      <c r="S64" s="97">
        <f>6866.56+548.1</f>
        <v>7414.6600000000008</v>
      </c>
      <c r="T64" s="97">
        <f>6866.56+548.1</f>
        <v>7414.6600000000008</v>
      </c>
      <c r="U64" s="97">
        <f t="shared" si="2"/>
        <v>0</v>
      </c>
      <c r="V64" s="161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</row>
    <row r="65" spans="1:22" customFormat="1" ht="31.5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59</v>
      </c>
      <c r="I65" s="210">
        <v>49</v>
      </c>
      <c r="J65" s="210">
        <v>60</v>
      </c>
      <c r="K65" s="209">
        <v>49</v>
      </c>
      <c r="L65" s="210">
        <v>49</v>
      </c>
      <c r="M65" s="211">
        <f>21561.61+5719.7+1305+4149.27+2397.37+5906.18+1251.03+829.55+4633.7+2607.11+652.5</f>
        <v>51013.020000000004</v>
      </c>
      <c r="N65" s="211">
        <f>21561.61+5719.7+1305+4149.27+2397.37+5906.18+1251.03+829.55+4633.7</f>
        <v>47753.41</v>
      </c>
      <c r="O65" s="212">
        <f t="shared" si="1"/>
        <v>3259.6100000000006</v>
      </c>
      <c r="P65" s="213">
        <v>11</v>
      </c>
      <c r="Q65" s="214">
        <v>11</v>
      </c>
      <c r="R65" s="215">
        <v>11</v>
      </c>
      <c r="S65" s="97">
        <f>7456.7+19131.63</f>
        <v>26588.33</v>
      </c>
      <c r="T65" s="97">
        <f>7456.7+19131.63</f>
        <v>26588.33</v>
      </c>
      <c r="U65" s="97">
        <f t="shared" si="2"/>
        <v>0</v>
      </c>
      <c r="V65" s="161"/>
    </row>
    <row r="66" spans="1:22" customFormat="1" ht="31.5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210">
        <v>2</v>
      </c>
      <c r="J66" s="210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</row>
    <row r="67" spans="1:22" customFormat="1" ht="31.5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61</v>
      </c>
      <c r="I67" s="210">
        <v>45</v>
      </c>
      <c r="J67" s="210">
        <v>57</v>
      </c>
      <c r="K67" s="209">
        <v>61</v>
      </c>
      <c r="L67" s="210">
        <v>60</v>
      </c>
      <c r="M67" s="211">
        <f>19710.93+7009.96+ 8900.54+165.98+1497.55+1081.95+652.5+834+4814.12+3405.33+4696.24</f>
        <v>52769.100000000006</v>
      </c>
      <c r="N67" s="211">
        <f>19710.93+7009.96+ 8900.54+165.98+1497.55+1081.95+652.5+834</f>
        <v>39853.410000000003</v>
      </c>
      <c r="O67" s="212">
        <f t="shared" si="1"/>
        <v>12915.690000000002</v>
      </c>
      <c r="P67" s="213">
        <v>11</v>
      </c>
      <c r="Q67" s="21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</row>
    <row r="68" spans="1:22" customFormat="1" ht="31.5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40</v>
      </c>
      <c r="I68" s="210">
        <v>29</v>
      </c>
      <c r="J68" s="210">
        <v>50</v>
      </c>
      <c r="K68" s="209">
        <v>50</v>
      </c>
      <c r="L68" s="210">
        <v>50</v>
      </c>
      <c r="M68" s="211">
        <f>18750.75+2683.13+8424.37+2797.92</f>
        <v>32656.17</v>
      </c>
      <c r="N68" s="211">
        <f>18750.75+2683.13</f>
        <v>21433.88</v>
      </c>
      <c r="O68" s="212">
        <f t="shared" si="1"/>
        <v>11222.289999999997</v>
      </c>
      <c r="P68" s="213">
        <v>11</v>
      </c>
      <c r="Q68" s="214">
        <v>11</v>
      </c>
      <c r="R68" s="215">
        <v>11</v>
      </c>
      <c r="S68" s="97">
        <v>6249.15</v>
      </c>
      <c r="T68" s="97">
        <v>6249.15</v>
      </c>
      <c r="U68" s="97">
        <f t="shared" si="2"/>
        <v>0</v>
      </c>
      <c r="V68" s="161"/>
    </row>
    <row r="69" spans="1:22" customFormat="1" ht="31.5" x14ac:dyDescent="0.25">
      <c r="A69" s="155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11</v>
      </c>
      <c r="I69" s="210">
        <v>6</v>
      </c>
      <c r="J69" s="210">
        <v>6</v>
      </c>
      <c r="K69" s="209">
        <v>6</v>
      </c>
      <c r="L69" s="210">
        <v>6</v>
      </c>
      <c r="M69" s="211">
        <f>2756+1240.2+1305+1087.5</f>
        <v>6388.7</v>
      </c>
      <c r="N69" s="211">
        <f>2756+1240.2+1305</f>
        <v>5301.2</v>
      </c>
      <c r="O69" s="212">
        <f t="shared" si="1"/>
        <v>1087.5</v>
      </c>
      <c r="P69" s="213"/>
      <c r="Q69" s="214"/>
      <c r="R69" s="215"/>
      <c r="S69" s="97"/>
      <c r="T69" s="97"/>
      <c r="U69" s="97">
        <f t="shared" si="2"/>
        <v>0</v>
      </c>
      <c r="V69" s="161"/>
    </row>
    <row r="70" spans="1:22" customFormat="1" ht="31.5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18</v>
      </c>
      <c r="I70" s="210">
        <v>12</v>
      </c>
      <c r="J70" s="210">
        <v>13</v>
      </c>
      <c r="K70" s="209">
        <v>13</v>
      </c>
      <c r="L70" s="210">
        <v>12</v>
      </c>
      <c r="M70" s="211">
        <f>2039.44+3242.32+2027.39+3567+822.15+2588.88</f>
        <v>14287.18</v>
      </c>
      <c r="N70" s="211">
        <f>2039.44+3242.32+2027.39+3567+822.15</f>
        <v>11698.300000000001</v>
      </c>
      <c r="O70" s="212">
        <f t="shared" si="1"/>
        <v>2588.8799999999992</v>
      </c>
      <c r="P70" s="213">
        <v>6</v>
      </c>
      <c r="Q70" s="214">
        <v>6</v>
      </c>
      <c r="R70" s="215">
        <v>6</v>
      </c>
      <c r="S70" s="97">
        <v>3513.9</v>
      </c>
      <c r="T70" s="97">
        <v>3513.9</v>
      </c>
      <c r="U70" s="97">
        <f t="shared" si="2"/>
        <v>0</v>
      </c>
      <c r="V70" s="161"/>
    </row>
    <row r="71" spans="1:22" customFormat="1" ht="31.5" x14ac:dyDescent="0.25">
      <c r="A71" s="155">
        <v>57</v>
      </c>
      <c r="B71" s="99">
        <f t="shared" si="3"/>
        <v>62</v>
      </c>
      <c r="C71" s="171" t="s">
        <v>74</v>
      </c>
      <c r="D71" s="168" t="s">
        <v>124</v>
      </c>
      <c r="E71" s="101"/>
      <c r="F71" s="170" t="s">
        <v>111</v>
      </c>
      <c r="G71" s="72" t="s">
        <v>190</v>
      </c>
      <c r="H71" s="77">
        <v>28</v>
      </c>
      <c r="I71" s="210">
        <v>16</v>
      </c>
      <c r="J71" s="210">
        <v>20</v>
      </c>
      <c r="K71" s="209">
        <v>17</v>
      </c>
      <c r="L71" s="210">
        <v>17</v>
      </c>
      <c r="M71" s="211">
        <f>2383.53+3781.9+7505.17+507+5161.87+1335.02+1152.8</f>
        <v>21827.29</v>
      </c>
      <c r="N71" s="211">
        <f>2383.53+3781.9+7505.17+507+5161.87+1335.02</f>
        <v>20674.490000000002</v>
      </c>
      <c r="O71" s="212">
        <f t="shared" si="1"/>
        <v>1152.7999999999993</v>
      </c>
      <c r="P71" s="213">
        <v>24</v>
      </c>
      <c r="Q71" s="214">
        <v>24</v>
      </c>
      <c r="R71" s="215">
        <v>24</v>
      </c>
      <c r="S71" s="97">
        <f>52337.46+18000.02+1926.09</f>
        <v>72263.569999999992</v>
      </c>
      <c r="T71" s="97">
        <f>52337.46+18000.02+1926.09</f>
        <v>72263.569999999992</v>
      </c>
      <c r="U71" s="97">
        <f t="shared" si="2"/>
        <v>0</v>
      </c>
      <c r="V71" s="161"/>
    </row>
    <row r="72" spans="1:22" customFormat="1" ht="31.5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20</v>
      </c>
      <c r="I72" s="210">
        <v>12</v>
      </c>
      <c r="J72" s="210">
        <v>15</v>
      </c>
      <c r="K72" s="209">
        <v>13</v>
      </c>
      <c r="L72" s="210">
        <v>13</v>
      </c>
      <c r="M72" s="211">
        <f>4703.53+544.32+1960.26+2120.63+1914.44</f>
        <v>11243.18</v>
      </c>
      <c r="N72" s="211">
        <f>4703.53+544.32+1960.26</f>
        <v>7208.11</v>
      </c>
      <c r="O72" s="212">
        <f t="shared" si="1"/>
        <v>4035.0700000000006</v>
      </c>
      <c r="P72" s="213">
        <v>7</v>
      </c>
      <c r="Q72" s="21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</row>
    <row r="73" spans="1:22" customFormat="1" ht="31.5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42</v>
      </c>
      <c r="I73" s="210">
        <v>25</v>
      </c>
      <c r="J73" s="210">
        <v>25</v>
      </c>
      <c r="K73" s="209">
        <v>25</v>
      </c>
      <c r="L73" s="210">
        <v>25</v>
      </c>
      <c r="M73" s="211">
        <f>2095.52+746.9+4941.1+3310.3+2104.91</f>
        <v>13198.73</v>
      </c>
      <c r="N73" s="211">
        <f>2095.52+746.9+4941.1+3310.3+2104.91</f>
        <v>13198.73</v>
      </c>
      <c r="O73" s="212">
        <f t="shared" si="1"/>
        <v>0</v>
      </c>
      <c r="P73" s="213">
        <v>7</v>
      </c>
      <c r="Q73" s="214">
        <v>7</v>
      </c>
      <c r="R73" s="215">
        <v>7</v>
      </c>
      <c r="S73" s="97">
        <f>1821.06+4580.19+1240.2</f>
        <v>7641.45</v>
      </c>
      <c r="T73" s="97">
        <f>1821.06+4580.19+1240.2</f>
        <v>7641.45</v>
      </c>
      <c r="U73" s="97">
        <f t="shared" si="2"/>
        <v>0</v>
      </c>
      <c r="V73" s="161"/>
    </row>
    <row r="74" spans="1:22" customFormat="1" ht="31.5" x14ac:dyDescent="0.25">
      <c r="A74" s="155"/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210"/>
      <c r="J74" s="210"/>
      <c r="K74" s="209"/>
      <c r="L74" s="210"/>
      <c r="M74" s="211"/>
      <c r="N74" s="211"/>
      <c r="O74" s="212">
        <f t="shared" si="1"/>
        <v>0</v>
      </c>
      <c r="P74" s="213">
        <v>1</v>
      </c>
      <c r="Q74" s="21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</row>
    <row r="75" spans="1:22" customFormat="1" ht="31.5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18</v>
      </c>
      <c r="I75" s="210">
        <v>5</v>
      </c>
      <c r="J75" s="210">
        <v>8</v>
      </c>
      <c r="K75" s="209">
        <v>8</v>
      </c>
      <c r="L75" s="210">
        <v>8</v>
      </c>
      <c r="M75" s="211">
        <f>275.6+741.36+14287.26+2399.03</f>
        <v>17703.25</v>
      </c>
      <c r="N75" s="211">
        <f>275.6+741.36+14287.26</f>
        <v>15304.220000000001</v>
      </c>
      <c r="O75" s="212">
        <f t="shared" ref="O75:O104" si="4" xml:space="preserve"> (M75-N75)</f>
        <v>2399.0299999999988</v>
      </c>
      <c r="P75" s="213">
        <v>3</v>
      </c>
      <c r="Q75" s="21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</row>
    <row r="76" spans="1:22" customFormat="1" ht="31.5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37</v>
      </c>
      <c r="I76" s="210">
        <v>27</v>
      </c>
      <c r="J76" s="210">
        <v>36</v>
      </c>
      <c r="K76" s="209">
        <v>36</v>
      </c>
      <c r="L76" s="210">
        <v>32</v>
      </c>
      <c r="M76" s="211">
        <f>11803.63+1320.23+3132.15+12104.63+822.42+4875.99+435.02</f>
        <v>34494.069999999992</v>
      </c>
      <c r="N76" s="211">
        <f>11803.63+1320.23+3132.15+12104.63+822.42+4875.99</f>
        <v>34059.049999999996</v>
      </c>
      <c r="O76" s="212">
        <f t="shared" si="4"/>
        <v>435.0199999999968</v>
      </c>
      <c r="P76" s="213">
        <v>5</v>
      </c>
      <c r="Q76" s="214">
        <v>5</v>
      </c>
      <c r="R76" s="215">
        <v>5</v>
      </c>
      <c r="S76" s="97">
        <v>5751.78</v>
      </c>
      <c r="T76" s="97">
        <v>5751.78</v>
      </c>
      <c r="U76" s="97">
        <f t="shared" si="5"/>
        <v>0</v>
      </c>
      <c r="V76" s="161"/>
    </row>
    <row r="77" spans="1:22" customFormat="1" ht="31.5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24</v>
      </c>
      <c r="I77" s="210">
        <v>12</v>
      </c>
      <c r="J77" s="210">
        <v>16</v>
      </c>
      <c r="K77" s="209">
        <v>16</v>
      </c>
      <c r="L77" s="210">
        <v>16</v>
      </c>
      <c r="M77" s="211">
        <f>4234.67+4498.63+1766.87+2083.87+1368.44+4016.5</f>
        <v>17968.979999999996</v>
      </c>
      <c r="N77" s="211">
        <f>4234.67+4498.63+1766.87+2083.87+1368.44</f>
        <v>13952.479999999998</v>
      </c>
      <c r="O77" s="212">
        <f t="shared" si="4"/>
        <v>4016.4999999999982</v>
      </c>
      <c r="P77" s="213"/>
      <c r="Q77" s="214"/>
      <c r="R77" s="215"/>
      <c r="S77" s="97"/>
      <c r="T77" s="97"/>
      <c r="U77" s="97">
        <f t="shared" si="5"/>
        <v>0</v>
      </c>
      <c r="V77" s="161"/>
    </row>
    <row r="78" spans="1:22" customFormat="1" ht="31.5" x14ac:dyDescent="0.25">
      <c r="A78" s="155" t="s">
        <v>315</v>
      </c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210"/>
      <c r="J78" s="210"/>
      <c r="K78" s="209"/>
      <c r="L78" s="210"/>
      <c r="M78" s="211"/>
      <c r="N78" s="211"/>
      <c r="O78" s="212">
        <f t="shared" si="4"/>
        <v>0</v>
      </c>
      <c r="P78" s="213">
        <v>9</v>
      </c>
      <c r="Q78" s="214">
        <v>9</v>
      </c>
      <c r="R78" s="215">
        <v>9</v>
      </c>
      <c r="S78" s="97">
        <f>3889.76+778.48</f>
        <v>4668.24</v>
      </c>
      <c r="T78" s="97">
        <v>3889.76</v>
      </c>
      <c r="U78" s="97">
        <f t="shared" si="5"/>
        <v>778.47999999999956</v>
      </c>
      <c r="V78" s="161"/>
    </row>
    <row r="79" spans="1:22" customFormat="1" ht="31.5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25</v>
      </c>
      <c r="I79" s="210">
        <v>15</v>
      </c>
      <c r="J79" s="210">
        <v>21</v>
      </c>
      <c r="K79" s="209">
        <v>21</v>
      </c>
      <c r="L79" s="210">
        <v>21</v>
      </c>
      <c r="M79" s="211">
        <f>8913.81+7027.61+1244.33+15395.91+4278.3</f>
        <v>36859.96</v>
      </c>
      <c r="N79" s="211">
        <f>8913.81+7027.61+1244.33+15395.91+4278.3</f>
        <v>36859.96</v>
      </c>
      <c r="O79" s="212">
        <f t="shared" si="4"/>
        <v>0</v>
      </c>
      <c r="P79" s="213">
        <v>4</v>
      </c>
      <c r="Q79" s="21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</row>
    <row r="80" spans="1:22" customFormat="1" ht="31.5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19</v>
      </c>
      <c r="I80" s="210">
        <v>14</v>
      </c>
      <c r="J80" s="210">
        <v>21</v>
      </c>
      <c r="K80" s="209">
        <v>21</v>
      </c>
      <c r="L80" s="210">
        <v>21</v>
      </c>
      <c r="M80" s="211">
        <f>14959.64+7384.39+14758.51+362.5+822.42</f>
        <v>38287.46</v>
      </c>
      <c r="N80" s="211">
        <f>14959.64+7384.39+14758.51+362.5</f>
        <v>37465.040000000001</v>
      </c>
      <c r="O80" s="212">
        <f t="shared" si="4"/>
        <v>822.41999999999825</v>
      </c>
      <c r="P80" s="213">
        <v>10</v>
      </c>
      <c r="Q80" s="214">
        <v>10</v>
      </c>
      <c r="R80" s="215">
        <v>10</v>
      </c>
      <c r="S80" s="97">
        <f>13554.7+2057.24+454.74</f>
        <v>16066.68</v>
      </c>
      <c r="T80" s="97">
        <f>13554.7+2057.24</f>
        <v>15611.94</v>
      </c>
      <c r="U80" s="97">
        <f t="shared" si="5"/>
        <v>454.73999999999978</v>
      </c>
      <c r="V80" s="161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210">
        <v>2</v>
      </c>
      <c r="J81" s="210">
        <v>4</v>
      </c>
      <c r="K81" s="209">
        <v>4</v>
      </c>
      <c r="L81" s="210">
        <v>3</v>
      </c>
      <c r="M81" s="211">
        <f>287.1+4640.98</f>
        <v>4928.08</v>
      </c>
      <c r="N81" s="211"/>
      <c r="O81" s="212">
        <f t="shared" si="4"/>
        <v>4928.08</v>
      </c>
      <c r="P81" s="213">
        <v>1</v>
      </c>
      <c r="Q81" s="214">
        <v>1</v>
      </c>
      <c r="R81" s="215">
        <v>1</v>
      </c>
      <c r="S81" s="97">
        <v>2673.24</v>
      </c>
      <c r="T81" s="97">
        <v>2673.24</v>
      </c>
      <c r="U81" s="97">
        <f t="shared" si="5"/>
        <v>0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21</v>
      </c>
      <c r="I82" s="210">
        <v>16</v>
      </c>
      <c r="J82" s="210">
        <v>17</v>
      </c>
      <c r="K82" s="209">
        <v>17</v>
      </c>
      <c r="L82" s="210">
        <v>17</v>
      </c>
      <c r="M82" s="211">
        <f>2626.75+8084.46+600.05+7445.83+942.5+668.95</f>
        <v>20368.539999999997</v>
      </c>
      <c r="N82" s="211">
        <f>2626.75+8084.46+600.05+7445.83+942.5+668.95</f>
        <v>20368.539999999997</v>
      </c>
      <c r="O82" s="212">
        <f t="shared" si="4"/>
        <v>0</v>
      </c>
      <c r="P82" s="213">
        <v>10</v>
      </c>
      <c r="Q82" s="214">
        <v>10</v>
      </c>
      <c r="R82" s="215">
        <v>10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24</v>
      </c>
      <c r="I83" s="210">
        <v>14</v>
      </c>
      <c r="J83" s="210">
        <v>25</v>
      </c>
      <c r="K83" s="209">
        <v>25</v>
      </c>
      <c r="L83" s="210">
        <v>25</v>
      </c>
      <c r="M83" s="211">
        <f>11232.31+3440.1+14435.12-1360.99+3088.95+2556.06</f>
        <v>33391.549999999996</v>
      </c>
      <c r="N83" s="211">
        <f>11232.31+3440.1+14435.12-1360.99+3088.95+2556.06</f>
        <v>33391.549999999996</v>
      </c>
      <c r="O83" s="212">
        <f t="shared" si="4"/>
        <v>0</v>
      </c>
      <c r="P83" s="213">
        <v>7</v>
      </c>
      <c r="Q83" s="21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20</v>
      </c>
      <c r="I84" s="210">
        <v>15</v>
      </c>
      <c r="J84" s="210">
        <v>24</v>
      </c>
      <c r="K84" s="209">
        <v>24</v>
      </c>
      <c r="L84" s="210">
        <v>23</v>
      </c>
      <c r="M84" s="211">
        <f>5429.56+2272.28+2029.9+2976.46+1243.6+3190.51</f>
        <v>17142.310000000001</v>
      </c>
      <c r="N84" s="211">
        <f>5429.56+2272.28+2029.9+2976.46+1243.6</f>
        <v>13951.800000000001</v>
      </c>
      <c r="O84" s="212">
        <f t="shared" si="4"/>
        <v>3190.51</v>
      </c>
      <c r="P84" s="213">
        <v>1</v>
      </c>
      <c r="Q84" s="21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43</v>
      </c>
      <c r="I85" s="210">
        <v>36</v>
      </c>
      <c r="J85" s="210">
        <v>62</v>
      </c>
      <c r="K85" s="209">
        <v>61</v>
      </c>
      <c r="L85" s="210">
        <v>61</v>
      </c>
      <c r="M85" s="211">
        <f>15506.09+4089.12+1924.78+1267.55+6546.86+1962.04+654.22+1080.22+392.95+1059.68+8180.45</f>
        <v>42663.959999999992</v>
      </c>
      <c r="N85" s="211">
        <f>15506.09+4089.12+1924.78+1267.55+6546.86+1962.04+654.22+1080.22+392.95</f>
        <v>33423.829999999994</v>
      </c>
      <c r="O85" s="212">
        <f t="shared" si="4"/>
        <v>9240.1299999999974</v>
      </c>
      <c r="P85" s="213">
        <v>5</v>
      </c>
      <c r="Q85" s="21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21</v>
      </c>
      <c r="I86" s="210">
        <v>13</v>
      </c>
      <c r="J86" s="210">
        <v>14</v>
      </c>
      <c r="K86" s="209">
        <v>14</v>
      </c>
      <c r="L86" s="210">
        <v>9</v>
      </c>
      <c r="M86" s="211">
        <f>1956.76+1128.38+1752.82</f>
        <v>4837.96</v>
      </c>
      <c r="N86" s="211">
        <f>1956.76+1128.38</f>
        <v>3085.1400000000003</v>
      </c>
      <c r="O86" s="212">
        <f t="shared" si="4"/>
        <v>1752.8199999999997</v>
      </c>
      <c r="P86" s="213">
        <v>2</v>
      </c>
      <c r="Q86" s="21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9</v>
      </c>
      <c r="I87" s="210">
        <v>7</v>
      </c>
      <c r="J87" s="210">
        <v>10</v>
      </c>
      <c r="K87" s="209">
        <v>10</v>
      </c>
      <c r="L87" s="210">
        <v>10</v>
      </c>
      <c r="M87" s="211">
        <f>795.8+4099.92+1305+358.88+1643.65+1026.38</f>
        <v>9229.630000000001</v>
      </c>
      <c r="N87" s="211">
        <f>795.8+4099.92+1305+358.88+1643.65</f>
        <v>8203.25</v>
      </c>
      <c r="O87" s="212">
        <f t="shared" si="4"/>
        <v>1026.380000000001</v>
      </c>
      <c r="P87" s="213">
        <v>6</v>
      </c>
      <c r="Q87" s="214">
        <v>6</v>
      </c>
      <c r="R87" s="215">
        <v>6</v>
      </c>
      <c r="S87" s="97">
        <f>2723.78+3718.48+4265.16+4595.62</f>
        <v>15303.04</v>
      </c>
      <c r="T87" s="97">
        <f>2723.78+3718.48+4265.16</f>
        <v>10707.42</v>
      </c>
      <c r="U87" s="97">
        <f t="shared" si="5"/>
        <v>4595.6200000000008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210"/>
      <c r="J88" s="210"/>
      <c r="K88" s="209"/>
      <c r="L88" s="210"/>
      <c r="M88" s="211"/>
      <c r="N88" s="211"/>
      <c r="O88" s="212">
        <f t="shared" si="4"/>
        <v>0</v>
      </c>
      <c r="P88" s="213">
        <v>6</v>
      </c>
      <c r="Q88" s="21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15</v>
      </c>
      <c r="I89" s="210">
        <v>8</v>
      </c>
      <c r="J89" s="210">
        <v>11</v>
      </c>
      <c r="K89" s="209">
        <v>11</v>
      </c>
      <c r="L89" s="210">
        <v>10</v>
      </c>
      <c r="M89" s="211">
        <f>2874.33+1509.2+1943+315.81+145</f>
        <v>6787.34</v>
      </c>
      <c r="N89" s="211">
        <f>2874.33+1509.2+1943+315.81</f>
        <v>6642.34</v>
      </c>
      <c r="O89" s="212">
        <f t="shared" si="4"/>
        <v>145</v>
      </c>
      <c r="P89" s="213">
        <v>7</v>
      </c>
      <c r="Q89" s="214">
        <v>7</v>
      </c>
      <c r="R89" s="215">
        <v>7</v>
      </c>
      <c r="S89" s="97">
        <f>8161.92+1118.75+3779.58+1127.2+2077.34</f>
        <v>16264.79</v>
      </c>
      <c r="T89" s="97">
        <f>8161.92+1118.75+3779.58+1127.2</f>
        <v>14187.45</v>
      </c>
      <c r="U89" s="97">
        <f t="shared" si="5"/>
        <v>2077.34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49</v>
      </c>
      <c r="I90" s="210">
        <v>47</v>
      </c>
      <c r="J90" s="210">
        <v>82</v>
      </c>
      <c r="K90" s="209">
        <v>82</v>
      </c>
      <c r="L90" s="210">
        <v>66</v>
      </c>
      <c r="M90" s="211">
        <f>14303.46+6714.67+1828.05+13505.93+582.9+8733.75+358.88+2031</f>
        <v>48058.64</v>
      </c>
      <c r="N90" s="211">
        <f>14303.46+6714.67+1828.05+13505.93+582.9+8733.75+358.88</f>
        <v>46027.64</v>
      </c>
      <c r="O90" s="212">
        <f t="shared" si="4"/>
        <v>2031</v>
      </c>
      <c r="P90" s="213">
        <v>8</v>
      </c>
      <c r="Q90" s="214">
        <v>8</v>
      </c>
      <c r="R90" s="215">
        <v>8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32</v>
      </c>
      <c r="I91" s="210">
        <v>17</v>
      </c>
      <c r="J91" s="210">
        <v>24</v>
      </c>
      <c r="K91" s="209">
        <v>23</v>
      </c>
      <c r="L91" s="210">
        <v>21</v>
      </c>
      <c r="M91" s="211">
        <f>5384.83+3572.76+8100.09+725+145</f>
        <v>17927.68</v>
      </c>
      <c r="N91" s="211">
        <f>5384.83+3572.76+8100.09</f>
        <v>17057.68</v>
      </c>
      <c r="O91" s="212">
        <f t="shared" si="4"/>
        <v>870</v>
      </c>
      <c r="P91" s="213">
        <v>7</v>
      </c>
      <c r="Q91" s="214">
        <v>7</v>
      </c>
      <c r="R91" s="215">
        <v>7</v>
      </c>
      <c r="S91" s="97">
        <f>6219.66+748.35+1502.94</f>
        <v>8470.9500000000007</v>
      </c>
      <c r="T91" s="97">
        <f>6219.66+748.35+1502.94</f>
        <v>8470.9500000000007</v>
      </c>
      <c r="U91" s="97">
        <f t="shared" si="5"/>
        <v>0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26</v>
      </c>
      <c r="I92" s="210">
        <v>15</v>
      </c>
      <c r="J92" s="210">
        <v>21</v>
      </c>
      <c r="K92" s="209">
        <v>21</v>
      </c>
      <c r="L92" s="210">
        <v>21</v>
      </c>
      <c r="M92" s="211">
        <f>2301.54+4352.56+3555.69+1798.94+1481.14+763.69+2342.6+947.21+1435.6</f>
        <v>18978.969999999998</v>
      </c>
      <c r="N92" s="211">
        <f>2301.54+4352.56+3555.69+1798.94+1481.14+763.69+2342.6</f>
        <v>16596.16</v>
      </c>
      <c r="O92" s="212">
        <f t="shared" si="4"/>
        <v>2382.8099999999977</v>
      </c>
      <c r="P92" s="213">
        <v>1</v>
      </c>
      <c r="Q92" s="21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116</v>
      </c>
      <c r="I93" s="210">
        <v>96</v>
      </c>
      <c r="J93" s="210">
        <v>106</v>
      </c>
      <c r="K93" s="209">
        <v>83</v>
      </c>
      <c r="L93" s="210">
        <v>83</v>
      </c>
      <c r="M93" s="211">
        <f>14656.12+3543.47+2420.25+2112.66+1299.21+2099.6+145+12320.24+7256.93+7391.73</f>
        <v>53245.209999999992</v>
      </c>
      <c r="N93" s="211">
        <f>14656.12+3543.47+2420.25+2112.66+1299.21+2099.6+145-10054.69</f>
        <v>16221.619999999997</v>
      </c>
      <c r="O93" s="212">
        <f t="shared" si="4"/>
        <v>37023.589999999997</v>
      </c>
      <c r="P93" s="213">
        <v>10</v>
      </c>
      <c r="Q93" s="214">
        <v>10</v>
      </c>
      <c r="R93" s="215">
        <v>10</v>
      </c>
      <c r="S93" s="97">
        <f>11083.64+344.5</f>
        <v>11428.14</v>
      </c>
      <c r="T93" s="97">
        <f>11083.64+344.5</f>
        <v>11428.14</v>
      </c>
      <c r="U93" s="97">
        <f t="shared" si="5"/>
        <v>0</v>
      </c>
      <c r="V93" s="161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44</v>
      </c>
      <c r="I94" s="210">
        <v>26</v>
      </c>
      <c r="J94" s="210">
        <v>30</v>
      </c>
      <c r="K94" s="210">
        <v>25</v>
      </c>
      <c r="L94" s="210">
        <v>23</v>
      </c>
      <c r="M94" s="211">
        <f>6576.32+217.5+2898.52+939.6+1008.45+1200.17+3722.95+4136.2</f>
        <v>20699.710000000003</v>
      </c>
      <c r="N94" s="211">
        <f>6576.32+217.5+2898.52+939.6+1008.45+1200.17</f>
        <v>12840.560000000001</v>
      </c>
      <c r="O94" s="212">
        <f t="shared" si="4"/>
        <v>7859.1500000000015</v>
      </c>
      <c r="P94" s="213">
        <v>24</v>
      </c>
      <c r="Q94" s="215">
        <v>24</v>
      </c>
      <c r="R94" s="215">
        <v>24</v>
      </c>
      <c r="S94" s="97">
        <f>18253.04+4245.2+858.65+1546.26+14802.65</f>
        <v>39705.800000000003</v>
      </c>
      <c r="T94" s="97">
        <f>18253.04+4245.2+858.65+1546.26+14802.65</f>
        <v>39705.800000000003</v>
      </c>
      <c r="U94" s="97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33</v>
      </c>
      <c r="I95" s="210">
        <v>16</v>
      </c>
      <c r="J95" s="210">
        <v>23</v>
      </c>
      <c r="K95" s="209">
        <v>23</v>
      </c>
      <c r="L95" s="210">
        <v>20</v>
      </c>
      <c r="M95" s="211">
        <f>2362.32+22110.36+455.21+2039.58+953.22+699.73+275.6+9654.91+1049.22+2185.88</f>
        <v>41786.03</v>
      </c>
      <c r="N95" s="211">
        <f>2362.32+22110.36+455.21+2039.58+953.22+699.73+275.6+9654.91</f>
        <v>38550.93</v>
      </c>
      <c r="O95" s="212">
        <f t="shared" si="4"/>
        <v>3235.0999999999985</v>
      </c>
      <c r="P95" s="213">
        <v>16</v>
      </c>
      <c r="Q95" s="214">
        <v>16</v>
      </c>
      <c r="R95" s="215">
        <v>16</v>
      </c>
      <c r="S95" s="97">
        <f>24552.24+1001.28+122.46+1729.98-1</f>
        <v>27404.959999999999</v>
      </c>
      <c r="T95" s="97">
        <f>24552.24+1001.28+122.46+1729.98-1</f>
        <v>27404.959999999999</v>
      </c>
      <c r="U95" s="97">
        <f t="shared" si="5"/>
        <v>0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11</v>
      </c>
      <c r="I96" s="210">
        <v>7</v>
      </c>
      <c r="J96" s="210">
        <v>11</v>
      </c>
      <c r="K96" s="209">
        <v>10</v>
      </c>
      <c r="L96" s="210">
        <v>10</v>
      </c>
      <c r="M96" s="211">
        <f>826.8+2786.41+2401.3</f>
        <v>6014.51</v>
      </c>
      <c r="N96" s="211">
        <f>826.8+2786.41+2401.3</f>
        <v>6014.51</v>
      </c>
      <c r="O96" s="212">
        <f t="shared" si="4"/>
        <v>0</v>
      </c>
      <c r="P96" s="213"/>
      <c r="Q96" s="214"/>
      <c r="R96" s="215"/>
      <c r="S96" s="97"/>
      <c r="T96" s="97"/>
      <c r="U96" s="97">
        <f t="shared" si="5"/>
        <v>0</v>
      </c>
      <c r="V96" s="161"/>
    </row>
    <row r="97" spans="1:35" customFormat="1" ht="31.5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210">
        <v>7</v>
      </c>
      <c r="J97" s="210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3171.93+1457.25+380.63</f>
        <v>5009.8100000000004</v>
      </c>
      <c r="O97" s="212">
        <f t="shared" si="4"/>
        <v>0</v>
      </c>
      <c r="P97" s="213">
        <v>4</v>
      </c>
      <c r="Q97" s="21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</row>
    <row r="98" spans="1:35" customFormat="1" ht="31.5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19</v>
      </c>
      <c r="I98" s="210">
        <v>11</v>
      </c>
      <c r="J98" s="210">
        <v>12</v>
      </c>
      <c r="K98" s="209">
        <v>12</v>
      </c>
      <c r="L98" s="210">
        <v>11</v>
      </c>
      <c r="M98" s="211">
        <f>757.9+551.2+895.7+290+725+841.2</f>
        <v>4061</v>
      </c>
      <c r="N98" s="211">
        <f>757.9+551.2+895.7+290+725</f>
        <v>3219.8</v>
      </c>
      <c r="O98" s="212">
        <f t="shared" si="4"/>
        <v>841.19999999999982</v>
      </c>
      <c r="P98" s="213">
        <v>13</v>
      </c>
      <c r="Q98" s="214">
        <v>13</v>
      </c>
      <c r="R98" s="215">
        <v>13</v>
      </c>
      <c r="S98" s="97">
        <f>8034.56+3466.13+4060.73+413.4</f>
        <v>15974.82</v>
      </c>
      <c r="T98" s="97">
        <f>8034.56+3466.13+4060.73</f>
        <v>15561.42</v>
      </c>
      <c r="U98" s="97">
        <f t="shared" si="5"/>
        <v>413.39999999999964</v>
      </c>
      <c r="V98" s="161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</row>
    <row r="99" spans="1:35" customFormat="1" ht="31.5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28</v>
      </c>
      <c r="I99" s="210">
        <v>21</v>
      </c>
      <c r="J99" s="210">
        <v>27</v>
      </c>
      <c r="K99" s="209">
        <v>27</v>
      </c>
      <c r="L99" s="210">
        <v>20</v>
      </c>
      <c r="M99" s="211">
        <f>4782.23+1353.89+2195.41+1197.7+1340.79+681.5+699.48+1909.51</f>
        <v>14160.51</v>
      </c>
      <c r="N99" s="211">
        <f>4782.23+1353.89+2195.41+1197.7+1340.79+681.5</f>
        <v>11551.52</v>
      </c>
      <c r="O99" s="212">
        <f t="shared" si="4"/>
        <v>2608.9899999999998</v>
      </c>
      <c r="P99" s="213">
        <v>11</v>
      </c>
      <c r="Q99" s="214">
        <v>11</v>
      </c>
      <c r="R99" s="215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</row>
    <row r="100" spans="1:35" customFormat="1" ht="31.5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31</v>
      </c>
      <c r="I100" s="210">
        <v>12</v>
      </c>
      <c r="J100" s="210">
        <v>21</v>
      </c>
      <c r="K100" s="209">
        <v>21</v>
      </c>
      <c r="L100" s="210">
        <v>20</v>
      </c>
      <c r="M100" s="211">
        <f>10862.96+2375.03+5632.11+356.47+2077.94+874.35</f>
        <v>22178.859999999997</v>
      </c>
      <c r="N100" s="211">
        <f>10862.96+2375.03+5632.11+356.47</f>
        <v>19226.57</v>
      </c>
      <c r="O100" s="212">
        <f t="shared" si="4"/>
        <v>2952.2899999999972</v>
      </c>
      <c r="P100" s="213">
        <v>10</v>
      </c>
      <c r="Q100" s="214">
        <v>10</v>
      </c>
      <c r="R100" s="215">
        <v>10</v>
      </c>
      <c r="S100" s="97">
        <f>4780.1+2135.9</f>
        <v>6916</v>
      </c>
      <c r="T100" s="97">
        <f>4780.1+2135.9</f>
        <v>6916</v>
      </c>
      <c r="U100" s="97">
        <f t="shared" si="5"/>
        <v>0</v>
      </c>
      <c r="V100" s="161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</row>
    <row r="101" spans="1:35" customFormat="1" ht="31.5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98</v>
      </c>
      <c r="I101" s="210">
        <v>65</v>
      </c>
      <c r="J101" s="210">
        <v>74</v>
      </c>
      <c r="K101" s="209">
        <v>55</v>
      </c>
      <c r="L101" s="210">
        <v>55</v>
      </c>
      <c r="M101" s="211">
        <f>16276.16+4466.66+1078.5+4011.53+435+1493.5+2243.15+1864.7+4804.86+840</f>
        <v>37514.06</v>
      </c>
      <c r="N101" s="211">
        <f>16276.16+4466.66+1078.5+4011.53+435+1493.5+2243.15-144.3</f>
        <v>29860.2</v>
      </c>
      <c r="O101" s="212">
        <f t="shared" si="4"/>
        <v>7653.8599999999969</v>
      </c>
      <c r="P101" s="213">
        <v>35</v>
      </c>
      <c r="Q101" s="214">
        <v>35</v>
      </c>
      <c r="R101" s="215">
        <v>35</v>
      </c>
      <c r="S101" s="97">
        <f>21329.45-2252.12+532.3+345.99+26455.28+1.67+3039.85-3960.98+551.2+1658</f>
        <v>47700.639999999992</v>
      </c>
      <c r="T101" s="97">
        <f>21329.45-2252.12+532.3+345.99+26455.28+1.67+3039.85-3960.98</f>
        <v>45491.439999999995</v>
      </c>
      <c r="U101" s="97">
        <f t="shared" si="5"/>
        <v>2209.1999999999971</v>
      </c>
      <c r="V101" s="161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</row>
    <row r="102" spans="1:35" customFormat="1" ht="31.5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13</v>
      </c>
      <c r="I102" s="217">
        <v>8</v>
      </c>
      <c r="J102" s="217">
        <v>11</v>
      </c>
      <c r="K102" s="216">
        <v>11</v>
      </c>
      <c r="L102" s="217">
        <v>11</v>
      </c>
      <c r="M102" s="218">
        <f>3259.83+1328.19+2964.21+8477.2</f>
        <v>16029.43</v>
      </c>
      <c r="N102" s="218">
        <f>3259.83+1328.19+2964.21+8477.2</f>
        <v>16029.43</v>
      </c>
      <c r="O102" s="212">
        <f t="shared" si="4"/>
        <v>0</v>
      </c>
      <c r="P102" s="219">
        <v>4</v>
      </c>
      <c r="Q102" s="220">
        <v>4</v>
      </c>
      <c r="R102" s="221">
        <v>4</v>
      </c>
      <c r="S102" s="147">
        <f>1193.3+5843.89</f>
        <v>7037.1900000000005</v>
      </c>
      <c r="T102" s="147">
        <f>1193.3+5843.89</f>
        <v>7037.1900000000005</v>
      </c>
      <c r="U102" s="147">
        <f t="shared" si="5"/>
        <v>0</v>
      </c>
      <c r="V102" s="161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</row>
    <row r="103" spans="1:35" customFormat="1" ht="31.5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24</v>
      </c>
      <c r="I103" s="210">
        <v>6</v>
      </c>
      <c r="J103" s="210">
        <v>8</v>
      </c>
      <c r="K103" s="209">
        <v>8</v>
      </c>
      <c r="L103" s="210">
        <v>8</v>
      </c>
      <c r="M103" s="211">
        <f>699.33+580+1941.55</f>
        <v>3220.88</v>
      </c>
      <c r="N103" s="211">
        <f>699.33+580</f>
        <v>1279.33</v>
      </c>
      <c r="O103" s="212">
        <f t="shared" si="4"/>
        <v>1941.5500000000002</v>
      </c>
      <c r="P103" s="215"/>
      <c r="Q103" s="214"/>
      <c r="R103" s="215"/>
      <c r="S103" s="97"/>
      <c r="T103" s="97"/>
      <c r="U103" s="147">
        <f t="shared" si="5"/>
        <v>0</v>
      </c>
      <c r="V103" s="161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</row>
    <row r="104" spans="1:35" customFormat="1" ht="31.5" x14ac:dyDescent="0.25">
      <c r="A104" s="155"/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210">
        <v>2</v>
      </c>
      <c r="J104" s="210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214"/>
      <c r="R104" s="215"/>
      <c r="S104" s="97"/>
      <c r="T104" s="97"/>
      <c r="U104" s="97">
        <f t="shared" si="5"/>
        <v>0</v>
      </c>
      <c r="V104" s="161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45"/>
      <c r="AG104" s="134"/>
      <c r="AH104" s="134"/>
      <c r="AI104" s="134"/>
    </row>
    <row r="105" spans="1:35" customFormat="1" x14ac:dyDescent="0.25">
      <c r="A105" s="155"/>
      <c r="B105" s="362"/>
      <c r="C105" s="362"/>
      <c r="D105" s="362"/>
      <c r="E105" s="362"/>
      <c r="F105" s="362"/>
      <c r="G105" s="362"/>
      <c r="H105" s="119">
        <f t="shared" ref="H105:P105" si="7">SUM(H10:H104)</f>
        <v>2565</v>
      </c>
      <c r="I105" s="223">
        <f t="shared" si="7"/>
        <v>1661</v>
      </c>
      <c r="J105" s="223">
        <f t="shared" si="7"/>
        <v>2219</v>
      </c>
      <c r="K105" s="222">
        <f t="shared" si="7"/>
        <v>2075</v>
      </c>
      <c r="L105" s="223">
        <f t="shared" si="7"/>
        <v>1956</v>
      </c>
      <c r="M105" s="224">
        <f t="shared" si="7"/>
        <v>1642279.21</v>
      </c>
      <c r="N105" s="224">
        <f t="shared" si="7"/>
        <v>1387027.8700000003</v>
      </c>
      <c r="O105" s="224">
        <f t="shared" si="7"/>
        <v>255251.34000000005</v>
      </c>
      <c r="P105" s="225">
        <f t="shared" si="7"/>
        <v>747</v>
      </c>
      <c r="Q105" s="226">
        <f>SUM(Q10:Q104)</f>
        <v>746</v>
      </c>
      <c r="R105" s="225">
        <f>SUM(R11:R104)</f>
        <v>728</v>
      </c>
      <c r="S105" s="151">
        <f>SUM(S10:S104)</f>
        <v>1039939.2799999999</v>
      </c>
      <c r="T105" s="151">
        <f>SUM(T10:T104)</f>
        <v>1011209.8299999997</v>
      </c>
      <c r="U105" s="151">
        <f>SUM(U10:U104)</f>
        <v>28729.449999999997</v>
      </c>
      <c r="V105" s="244"/>
      <c r="W105" s="245"/>
      <c r="X105" s="246"/>
      <c r="Y105" s="245"/>
      <c r="Z105" s="246"/>
      <c r="AA105" s="245"/>
      <c r="AB105" s="246"/>
      <c r="AC105" s="246"/>
      <c r="AD105" s="246"/>
      <c r="AE105" s="246"/>
      <c r="AF105" s="245" t="s">
        <v>318</v>
      </c>
      <c r="AG105" s="245"/>
      <c r="AH105" s="236"/>
      <c r="AI105" s="134"/>
    </row>
    <row r="106" spans="1:35" customFormat="1" x14ac:dyDescent="0.25">
      <c r="A106" s="155"/>
      <c r="B106" s="184"/>
      <c r="C106" s="184"/>
      <c r="D106" s="184"/>
      <c r="E106" s="184"/>
      <c r="F106" s="184"/>
      <c r="G106" s="184"/>
      <c r="H106" s="184"/>
      <c r="I106" s="184"/>
      <c r="J106" s="184"/>
      <c r="K106" s="227"/>
      <c r="L106" s="227"/>
      <c r="M106" s="228"/>
      <c r="N106" s="228"/>
      <c r="O106" s="228"/>
      <c r="P106" s="228"/>
      <c r="Q106" s="228"/>
      <c r="R106" s="228"/>
      <c r="S106" s="185"/>
      <c r="T106" s="185"/>
      <c r="U106" s="186"/>
      <c r="V106" s="246"/>
      <c r="W106" s="245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46"/>
      <c r="AH106" s="235"/>
      <c r="AI106" s="134"/>
    </row>
    <row r="107" spans="1:35" customFormat="1" x14ac:dyDescent="0.25">
      <c r="A107" s="155"/>
      <c r="B107" s="184"/>
      <c r="C107" s="184"/>
      <c r="D107" s="184"/>
      <c r="E107" s="184"/>
      <c r="F107" s="184"/>
      <c r="G107" s="184"/>
      <c r="H107" s="184"/>
      <c r="I107" s="184"/>
      <c r="J107" s="184"/>
      <c r="K107" s="227"/>
      <c r="L107" s="227"/>
      <c r="M107" s="228"/>
      <c r="N107" s="228"/>
      <c r="O107" s="228"/>
      <c r="P107" s="228"/>
      <c r="Q107" s="228"/>
      <c r="R107" s="228"/>
      <c r="S107" s="185"/>
      <c r="T107" s="185"/>
      <c r="U107" s="186"/>
      <c r="V107" s="245"/>
      <c r="W107" s="245"/>
      <c r="X107" s="246"/>
      <c r="Y107" s="246"/>
      <c r="Z107" s="246"/>
      <c r="AA107" s="246"/>
      <c r="AB107" s="246"/>
      <c r="AC107" s="246"/>
      <c r="AD107" s="246"/>
      <c r="AE107" s="246"/>
      <c r="AF107" s="245"/>
      <c r="AG107" s="245"/>
      <c r="AH107" s="234"/>
      <c r="AI107" s="145"/>
    </row>
    <row r="108" spans="1:35" customFormat="1" x14ac:dyDescent="0.25">
      <c r="A108" s="155"/>
      <c r="B108" s="184"/>
      <c r="C108" s="184"/>
      <c r="D108" s="184"/>
      <c r="E108" s="184"/>
      <c r="F108" s="184"/>
      <c r="G108" s="184"/>
      <c r="H108" s="184"/>
      <c r="I108" s="184"/>
      <c r="J108" s="184"/>
      <c r="K108" s="227"/>
      <c r="L108" s="227"/>
      <c r="M108" s="228"/>
      <c r="N108" s="228"/>
      <c r="O108" s="228"/>
      <c r="P108" s="228"/>
      <c r="Q108" s="228"/>
      <c r="R108" s="228"/>
      <c r="S108" s="185"/>
      <c r="T108" s="185"/>
      <c r="U108" s="186"/>
      <c r="V108" s="145"/>
      <c r="W108" s="145"/>
      <c r="X108" s="134"/>
      <c r="Y108" s="134"/>
      <c r="Z108" s="134"/>
      <c r="AA108" s="134"/>
      <c r="AB108" s="134"/>
      <c r="AC108" s="134"/>
      <c r="AD108" s="134"/>
      <c r="AE108" s="134"/>
      <c r="AF108" s="234"/>
      <c r="AG108" s="234"/>
      <c r="AH108" s="235"/>
      <c r="AI108" s="134"/>
    </row>
    <row r="109" spans="1:35" customFormat="1" x14ac:dyDescent="0.25">
      <c r="A109" s="155"/>
      <c r="B109" s="184"/>
      <c r="C109" s="184"/>
      <c r="D109" s="184"/>
      <c r="E109" s="184"/>
      <c r="F109" s="184"/>
      <c r="G109" s="184"/>
      <c r="H109" s="184"/>
      <c r="I109" s="184"/>
      <c r="J109" s="184"/>
      <c r="K109" s="227"/>
      <c r="L109" s="227"/>
      <c r="M109" s="228"/>
      <c r="N109" s="228"/>
      <c r="O109" s="228"/>
      <c r="P109" s="228"/>
      <c r="Q109" s="228"/>
      <c r="R109" s="228"/>
      <c r="S109" s="185"/>
      <c r="T109" s="185"/>
      <c r="U109" s="186"/>
      <c r="V109" s="145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235"/>
      <c r="AG109" s="235"/>
      <c r="AH109" s="234"/>
      <c r="AI109" s="134"/>
    </row>
    <row r="110" spans="1:35" customFormat="1" x14ac:dyDescent="0.25">
      <c r="A110" s="155"/>
      <c r="B110" s="184"/>
      <c r="C110" s="184"/>
      <c r="D110" s="184"/>
      <c r="E110" s="184"/>
      <c r="F110" s="184"/>
      <c r="G110" s="184"/>
      <c r="H110" s="184"/>
      <c r="I110" s="184"/>
      <c r="J110" s="184"/>
      <c r="K110" s="227"/>
      <c r="L110" s="227"/>
      <c r="M110" s="228"/>
      <c r="N110" s="228"/>
      <c r="O110" s="228"/>
      <c r="P110" s="228"/>
      <c r="Q110" s="228"/>
      <c r="R110" s="228"/>
      <c r="S110" s="185"/>
      <c r="T110" s="185"/>
      <c r="U110" s="186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235"/>
      <c r="AG110" s="235"/>
      <c r="AH110" s="234"/>
      <c r="AI110" s="134"/>
    </row>
    <row r="111" spans="1:35" customFormat="1" x14ac:dyDescent="0.25">
      <c r="A111" s="155"/>
      <c r="B111" s="184"/>
      <c r="C111" s="184"/>
      <c r="D111" s="184"/>
      <c r="E111" s="184"/>
      <c r="F111" s="184"/>
      <c r="G111" s="184"/>
      <c r="H111" s="184"/>
      <c r="I111" s="184"/>
      <c r="J111" s="184"/>
      <c r="K111" s="227"/>
      <c r="L111" s="227"/>
      <c r="M111" s="228"/>
      <c r="N111" s="228"/>
      <c r="O111" s="228"/>
      <c r="P111" s="228"/>
      <c r="Q111" s="228"/>
      <c r="R111" s="228"/>
      <c r="S111" s="185"/>
      <c r="T111" s="185"/>
      <c r="U111" s="186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235"/>
      <c r="AG111" s="235"/>
      <c r="AH111" s="235"/>
      <c r="AI111" s="134"/>
    </row>
    <row r="112" spans="1:35" customFormat="1" x14ac:dyDescent="0.25">
      <c r="A112" s="155"/>
      <c r="B112" s="184"/>
      <c r="C112" s="184"/>
      <c r="D112" s="184"/>
      <c r="E112" s="184"/>
      <c r="F112" s="184"/>
      <c r="G112" s="184"/>
      <c r="H112" s="184"/>
      <c r="I112" s="184"/>
      <c r="J112" s="184"/>
      <c r="K112" s="227"/>
      <c r="L112" s="227"/>
      <c r="M112" s="228"/>
      <c r="N112" s="228"/>
      <c r="O112" s="228"/>
      <c r="P112" s="228"/>
      <c r="Q112" s="228"/>
      <c r="R112" s="228"/>
      <c r="S112" s="185"/>
      <c r="T112" s="185"/>
      <c r="U112" s="186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235"/>
      <c r="AG112" s="235"/>
      <c r="AH112" s="235"/>
      <c r="AI112" s="134"/>
    </row>
    <row r="113" spans="11:34" customFormat="1" ht="15" x14ac:dyDescent="0.25">
      <c r="K113" s="243"/>
      <c r="L113" s="243"/>
      <c r="M113" s="243"/>
      <c r="N113" s="243"/>
      <c r="O113" s="243"/>
      <c r="P113" s="243"/>
      <c r="Q113" s="243"/>
      <c r="R113" s="243"/>
      <c r="S113" s="55"/>
      <c r="AF113" s="235"/>
      <c r="AG113" s="235"/>
      <c r="AH113" s="235"/>
    </row>
    <row r="114" spans="11:34" customFormat="1" ht="15" x14ac:dyDescent="0.25">
      <c r="K114" s="243"/>
      <c r="L114" s="243"/>
      <c r="M114" s="243"/>
      <c r="N114" s="243"/>
      <c r="O114" s="243"/>
      <c r="P114" s="243"/>
      <c r="Q114" s="243"/>
      <c r="R114" s="243"/>
      <c r="S114" s="55"/>
      <c r="AF114" s="235"/>
      <c r="AG114" s="235"/>
      <c r="AH114" s="23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235" priority="11" stopIfTrue="1" operator="equal">
      <formula>0</formula>
    </cfRule>
  </conditionalFormatting>
  <conditionalFormatting sqref="AL45">
    <cfRule type="cellIs" dxfId="234" priority="10" stopIfTrue="1" operator="equal">
      <formula>0</formula>
    </cfRule>
  </conditionalFormatting>
  <conditionalFormatting sqref="T45">
    <cfRule type="cellIs" dxfId="233" priority="9" stopIfTrue="1" operator="equal">
      <formula>0</formula>
    </cfRule>
  </conditionalFormatting>
  <conditionalFormatting sqref="T45">
    <cfRule type="cellIs" dxfId="232" priority="8" stopIfTrue="1" operator="equal">
      <formula>0</formula>
    </cfRule>
  </conditionalFormatting>
  <conditionalFormatting sqref="T45">
    <cfRule type="cellIs" dxfId="231" priority="7" stopIfTrue="1" operator="equal">
      <formula>0</formula>
    </cfRule>
  </conditionalFormatting>
  <conditionalFormatting sqref="T45">
    <cfRule type="cellIs" dxfId="230" priority="6" stopIfTrue="1" operator="equal">
      <formula>0</formula>
    </cfRule>
  </conditionalFormatting>
  <conditionalFormatting sqref="T45">
    <cfRule type="cellIs" dxfId="229" priority="5" stopIfTrue="1" operator="equal">
      <formula>0</formula>
    </cfRule>
  </conditionalFormatting>
  <conditionalFormatting sqref="T45">
    <cfRule type="cellIs" dxfId="228" priority="4" stopIfTrue="1" operator="equal">
      <formula>0</formula>
    </cfRule>
  </conditionalFormatting>
  <conditionalFormatting sqref="T45">
    <cfRule type="cellIs" dxfId="227" priority="3" stopIfTrue="1" operator="equal">
      <formula>0</formula>
    </cfRule>
  </conditionalFormatting>
  <conditionalFormatting sqref="T45">
    <cfRule type="cellIs" dxfId="226" priority="2" stopIfTrue="1" operator="equal">
      <formula>0</formula>
    </cfRule>
  </conditionalFormatting>
  <conditionalFormatting sqref="T45">
    <cfRule type="cellIs" dxfId="22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B94" zoomScale="80" zoomScaleNormal="80" workbookViewId="0">
      <selection activeCell="S105" sqref="S105"/>
    </sheetView>
  </sheetViews>
  <sheetFormatPr defaultRowHeight="15.75" x14ac:dyDescent="0.25"/>
  <cols>
    <col min="1" max="1" width="6.28515625" style="155" hidden="1" customWidth="1"/>
    <col min="2" max="2" width="7.425781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0" style="184" customWidth="1"/>
    <col min="7" max="7" width="18.5703125" style="184" customWidth="1"/>
    <col min="8" max="8" width="10.7109375" style="184" customWidth="1"/>
    <col min="9" max="10" width="9.140625" style="184" customWidth="1"/>
    <col min="11" max="12" width="9.140625" style="227" customWidth="1"/>
    <col min="13" max="13" width="14.5703125" style="228" customWidth="1"/>
    <col min="14" max="14" width="15.140625" style="185" customWidth="1"/>
    <col min="15" max="15" width="19.5703125" style="228" customWidth="1"/>
    <col min="16" max="18" width="11.85546875" style="228" customWidth="1"/>
    <col min="19" max="19" width="14.7109375" style="185" customWidth="1"/>
    <col min="20" max="20" width="17.140625" style="185" customWidth="1"/>
    <col min="21" max="21" width="17.85546875" style="186" customWidth="1"/>
    <col min="22" max="22" width="15" style="134" customWidth="1"/>
    <col min="23" max="23" width="14" style="134" hidden="1" customWidth="1"/>
    <col min="24" max="24" width="9.140625" style="134" hidden="1" customWidth="1"/>
    <col min="25" max="25" width="9.5703125" style="134" hidden="1" customWidth="1"/>
    <col min="26" max="26" width="9.140625" style="134" hidden="1" customWidth="1"/>
    <col min="27" max="27" width="9.5703125" style="134" hidden="1" customWidth="1"/>
    <col min="28" max="30" width="9.140625" style="134" hidden="1" customWidth="1"/>
    <col min="31" max="31" width="7.7109375" style="134" hidden="1" customWidth="1"/>
    <col min="32" max="32" width="12.28515625" style="134" customWidth="1"/>
    <col min="33" max="33" width="12.140625" style="134" bestFit="1" customWidth="1"/>
    <col min="34" max="34" width="13" style="134" customWidth="1"/>
    <col min="35" max="42" width="9.140625" style="134" customWidth="1"/>
  </cols>
  <sheetData>
    <row r="1" spans="1:40" customFormat="1" ht="16.5" thickBot="1" x14ac:dyDescent="0.3">
      <c r="A1" s="155"/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</row>
    <row r="2" spans="1:40" customFormat="1" x14ac:dyDescent="0.25">
      <c r="A2" s="155"/>
      <c r="B2" s="348" t="s">
        <v>319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</row>
    <row r="3" spans="1:40" customFormat="1" x14ac:dyDescent="0.25">
      <c r="A3" s="155"/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</row>
    <row r="4" spans="1:40" customFormat="1" x14ac:dyDescent="0.25">
      <c r="A4" s="155"/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</row>
    <row r="5" spans="1:40" customFormat="1" x14ac:dyDescent="0.25">
      <c r="A5" s="155"/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</row>
    <row r="6" spans="1:40" customFormat="1" ht="16.5" thickBot="1" x14ac:dyDescent="0.3">
      <c r="A6" s="155"/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</row>
    <row r="7" spans="1:40" customFormat="1" ht="121.5" customHeight="1" thickBot="1" x14ac:dyDescent="0.3">
      <c r="A7" s="155"/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320</v>
      </c>
      <c r="Q7" s="360"/>
      <c r="R7" s="360"/>
      <c r="S7" s="360"/>
      <c r="T7" s="360"/>
      <c r="U7" s="361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</row>
    <row r="8" spans="1:40" customFormat="1" ht="299.25" x14ac:dyDescent="0.25">
      <c r="A8" s="155"/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94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</row>
    <row r="9" spans="1:40" customFormat="1" x14ac:dyDescent="0.25">
      <c r="A9" s="155"/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122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</row>
    <row r="10" spans="1:40" customFormat="1" ht="31.5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43</v>
      </c>
      <c r="I10" s="210">
        <v>27</v>
      </c>
      <c r="J10" s="210">
        <v>30</v>
      </c>
      <c r="K10" s="209">
        <v>30</v>
      </c>
      <c r="L10" s="210">
        <v>29</v>
      </c>
      <c r="M10" s="211">
        <f>8818.63+2629.32+1661.28+2228.94+580+2232.29</f>
        <v>18150.46</v>
      </c>
      <c r="N10" s="97">
        <f>8818.63+2629.32+1661.28+2228.94+580+2232.29</f>
        <v>18150.46</v>
      </c>
      <c r="O10" s="212">
        <f xml:space="preserve"> (M10-N10)</f>
        <v>0</v>
      </c>
      <c r="P10" s="213">
        <v>8</v>
      </c>
      <c r="Q10" s="214">
        <v>8</v>
      </c>
      <c r="R10" s="215">
        <v>8</v>
      </c>
      <c r="S10" s="97">
        <f>4246.75+895.7+2557.8</f>
        <v>7700.25</v>
      </c>
      <c r="T10" s="97">
        <f>4246.75+895.7+2557.8</f>
        <v>7700.25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customFormat="1" ht="31.5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16</v>
      </c>
      <c r="I11" s="210">
        <v>13</v>
      </c>
      <c r="J11" s="210">
        <v>13</v>
      </c>
      <c r="K11" s="209">
        <v>13</v>
      </c>
      <c r="L11" s="210">
        <v>13</v>
      </c>
      <c r="M11" s="211">
        <f>1778.86+580+1740+464+580</f>
        <v>5142.8599999999997</v>
      </c>
      <c r="N11" s="97">
        <f>1778.86+580+1740+464+580</f>
        <v>5142.8599999999997</v>
      </c>
      <c r="O11" s="212">
        <f t="shared" ref="O11:O74" si="1" xml:space="preserve"> (M11-N11)</f>
        <v>0</v>
      </c>
      <c r="P11" s="213">
        <v>2</v>
      </c>
      <c r="Q11" s="21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customForma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210"/>
      <c r="J12" s="210"/>
      <c r="K12" s="209"/>
      <c r="L12" s="210"/>
      <c r="M12" s="211"/>
      <c r="N12" s="97"/>
      <c r="O12" s="212">
        <f t="shared" si="1"/>
        <v>0</v>
      </c>
      <c r="P12" s="213">
        <v>3</v>
      </c>
      <c r="Q12" s="21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customFormat="1" ht="31.5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36</v>
      </c>
      <c r="I13" s="210">
        <v>20</v>
      </c>
      <c r="J13" s="210">
        <v>26</v>
      </c>
      <c r="K13" s="209">
        <v>25</v>
      </c>
      <c r="L13" s="210">
        <v>25</v>
      </c>
      <c r="M13" s="211">
        <f>272.84+2699.54+4096.17+3682.51+1608.75</f>
        <v>12359.810000000001</v>
      </c>
      <c r="N13" s="97">
        <f>272.84+2699.54+4096.17</f>
        <v>7068.55</v>
      </c>
      <c r="O13" s="212">
        <f t="shared" si="1"/>
        <v>5291.2600000000011</v>
      </c>
      <c r="P13" s="213">
        <v>6</v>
      </c>
      <c r="Q13" s="214">
        <v>6</v>
      </c>
      <c r="R13" s="215">
        <v>6</v>
      </c>
      <c r="S13" s="97">
        <f>7385.53+1228.66+7042.2+301.46</f>
        <v>15957.849999999999</v>
      </c>
      <c r="T13" s="97">
        <f>7385.53+1228.66+7042.2</f>
        <v>15656.39</v>
      </c>
      <c r="U13" s="97">
        <f t="shared" si="2"/>
        <v>301.45999999999913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customFormat="1" ht="31.5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38</v>
      </c>
      <c r="I14" s="210">
        <v>24</v>
      </c>
      <c r="J14" s="210">
        <v>30</v>
      </c>
      <c r="K14" s="209">
        <v>30</v>
      </c>
      <c r="L14" s="210">
        <v>26</v>
      </c>
      <c r="M14" s="211">
        <f>4932.74+3257.04+137+2487.39+344.5+725+7097.92+895.7</f>
        <v>19877.289999999997</v>
      </c>
      <c r="N14" s="97">
        <f>4932.74+3257.04+137+2487.39+344.5+725</f>
        <v>11883.669999999998</v>
      </c>
      <c r="O14" s="212">
        <f t="shared" si="1"/>
        <v>7993.619999999999</v>
      </c>
      <c r="P14" s="213">
        <v>7</v>
      </c>
      <c r="Q14" s="214">
        <v>7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customFormat="1" ht="31.5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34</v>
      </c>
      <c r="I15" s="210">
        <v>24</v>
      </c>
      <c r="J15" s="210">
        <v>29</v>
      </c>
      <c r="K15" s="209">
        <v>29</v>
      </c>
      <c r="L15" s="210">
        <v>29</v>
      </c>
      <c r="M15" s="211">
        <f>16942.87+1278.76+580+108.75+616.25+797.5</f>
        <v>20324.129999999997</v>
      </c>
      <c r="N15" s="97">
        <f>16942.87+1278.76+580+108.75</f>
        <v>18910.379999999997</v>
      </c>
      <c r="O15" s="212">
        <f t="shared" si="1"/>
        <v>1413.75</v>
      </c>
      <c r="P15" s="213">
        <v>15</v>
      </c>
      <c r="Q15" s="214">
        <v>15</v>
      </c>
      <c r="R15" s="215">
        <v>14</v>
      </c>
      <c r="S15" s="97">
        <f>13813.9+1491.1</f>
        <v>15305</v>
      </c>
      <c r="T15" s="97">
        <f>13813.9+1491.1</f>
        <v>15305</v>
      </c>
      <c r="U15" s="97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customFormat="1" ht="31.5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210"/>
      <c r="J16" s="210"/>
      <c r="K16" s="209"/>
      <c r="L16" s="210"/>
      <c r="M16" s="211"/>
      <c r="N16" s="97"/>
      <c r="O16" s="212">
        <f t="shared" si="1"/>
        <v>0</v>
      </c>
      <c r="P16" s="213"/>
      <c r="Q16" s="21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46</v>
      </c>
      <c r="I17" s="210">
        <v>21</v>
      </c>
      <c r="J17" s="210">
        <v>27</v>
      </c>
      <c r="K17" s="209">
        <v>20</v>
      </c>
      <c r="L17" s="210">
        <v>18</v>
      </c>
      <c r="M17" s="211">
        <f>7235.14+4416.12+1559.66+658.56+1087.5+652.5+1377.5</f>
        <v>16986.98</v>
      </c>
      <c r="N17" s="97">
        <f>7235.14+4416.12+1559.66+658.56+1087.5</f>
        <v>14956.98</v>
      </c>
      <c r="O17" s="212">
        <f t="shared" si="1"/>
        <v>2030</v>
      </c>
      <c r="P17" s="213">
        <v>1</v>
      </c>
      <c r="Q17" s="21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35</v>
      </c>
      <c r="I18" s="210">
        <v>26</v>
      </c>
      <c r="J18" s="210">
        <v>31</v>
      </c>
      <c r="K18" s="210">
        <v>31</v>
      </c>
      <c r="L18" s="210">
        <v>27</v>
      </c>
      <c r="M18" s="211">
        <f>2118.92+12936.58+4403.89+2411.49+2972.12+403.47+2654.68</f>
        <v>27901.149999999998</v>
      </c>
      <c r="N18" s="97">
        <f>2118.92+12936.58+4403.89+2411.49+2972.12+403.4</f>
        <v>25246.399999999998</v>
      </c>
      <c r="O18" s="212">
        <f t="shared" si="1"/>
        <v>2654.75</v>
      </c>
      <c r="P18" s="213">
        <v>7</v>
      </c>
      <c r="Q18" s="215">
        <v>7</v>
      </c>
      <c r="R18" s="215">
        <v>6</v>
      </c>
      <c r="S18" s="97">
        <f>14748.55+934.31</f>
        <v>15682.859999999999</v>
      </c>
      <c r="T18" s="97">
        <f>14748.55+934.31</f>
        <v>15682.859999999999</v>
      </c>
      <c r="U18" s="97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33</v>
      </c>
      <c r="I19" s="210">
        <v>21</v>
      </c>
      <c r="J19" s="210">
        <v>36</v>
      </c>
      <c r="K19" s="209">
        <v>32</v>
      </c>
      <c r="L19" s="210">
        <v>30</v>
      </c>
      <c r="M19" s="211">
        <f>5345.36+3385.2+4242.79+7468.83+387.77+2322.34+2132.59</f>
        <v>25284.880000000001</v>
      </c>
      <c r="N19" s="97">
        <f>5345.36+3385.2+4242.79+7468.83+387.77</f>
        <v>20829.95</v>
      </c>
      <c r="O19" s="212">
        <f t="shared" si="1"/>
        <v>4454.93</v>
      </c>
      <c r="P19" s="213">
        <v>15</v>
      </c>
      <c r="Q19" s="21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48</v>
      </c>
      <c r="I20" s="210">
        <v>23</v>
      </c>
      <c r="J20" s="210">
        <v>32</v>
      </c>
      <c r="K20" s="210">
        <v>32</v>
      </c>
      <c r="L20" s="210">
        <v>24</v>
      </c>
      <c r="M20" s="211">
        <f>5728.14+3727.02+315.94+2507.59+652.5+2191.47+1855.28+358.88+2503.15</f>
        <v>19839.97</v>
      </c>
      <c r="N20" s="97">
        <f>5728.14+3727.02+315.94+2507.59+652.5+2191.47+1855.28+2371.7</f>
        <v>19349.64</v>
      </c>
      <c r="O20" s="212">
        <f t="shared" si="1"/>
        <v>490.33000000000175</v>
      </c>
      <c r="P20" s="213">
        <v>28</v>
      </c>
      <c r="Q20" s="215">
        <v>28</v>
      </c>
      <c r="R20" s="215">
        <v>28</v>
      </c>
      <c r="S20" s="97">
        <f>36404.57+1488.24+1902.09+2012.82</f>
        <v>41807.719999999994</v>
      </c>
      <c r="T20" s="97">
        <f>36404.57+1488.24+1902.09</f>
        <v>39794.899999999994</v>
      </c>
      <c r="U20" s="97">
        <f t="shared" si="2"/>
        <v>2012.8199999999997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24</v>
      </c>
      <c r="I21" s="210">
        <v>13</v>
      </c>
      <c r="J21" s="210">
        <v>19</v>
      </c>
      <c r="K21" s="209">
        <v>19</v>
      </c>
      <c r="L21" s="210">
        <v>18</v>
      </c>
      <c r="M21" s="211">
        <f>3586.84+1791.4+1337.88+413.4+1061.35+942.5+2425.9+5526.4</f>
        <v>17085.669999999998</v>
      </c>
      <c r="N21" s="97">
        <f>3586.84+1791.4+1337.88+413.4+1061.35+942.5+2425.9</f>
        <v>11559.269999999999</v>
      </c>
      <c r="O21" s="212">
        <f t="shared" si="1"/>
        <v>5526.4</v>
      </c>
      <c r="P21" s="213">
        <v>7</v>
      </c>
      <c r="Q21" s="214">
        <v>7</v>
      </c>
      <c r="R21" s="215">
        <v>6</v>
      </c>
      <c r="S21" s="97">
        <f>7288.02+447.62+2487.39</f>
        <v>10223.030000000001</v>
      </c>
      <c r="T21" s="97">
        <f>7288.02+447.62+2487.39</f>
        <v>10223.030000000001</v>
      </c>
      <c r="U21" s="97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124</v>
      </c>
      <c r="I22" s="210">
        <v>78</v>
      </c>
      <c r="J22" s="210">
        <v>94</v>
      </c>
      <c r="K22" s="210">
        <v>83</v>
      </c>
      <c r="L22" s="210">
        <v>69</v>
      </c>
      <c r="M22" s="211">
        <f>19787.02+2513.73+2255.05+12081.39+6786.96+4545.76</f>
        <v>47969.91</v>
      </c>
      <c r="N22" s="97">
        <f>19787.02+2513.73+2255.05+12081.39+6786.96+4545.76</f>
        <v>47969.91</v>
      </c>
      <c r="O22" s="212">
        <f t="shared" si="1"/>
        <v>0</v>
      </c>
      <c r="P22" s="213">
        <v>24</v>
      </c>
      <c r="Q22" s="215">
        <v>24</v>
      </c>
      <c r="R22" s="215">
        <v>22</v>
      </c>
      <c r="S22" s="97">
        <f>24103.23+3334.5+1378</f>
        <v>28815.73</v>
      </c>
      <c r="T22" s="97">
        <f>24103.23+3334.5+1378</f>
        <v>28815.73</v>
      </c>
      <c r="U22" s="97">
        <f t="shared" si="2"/>
        <v>0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18</v>
      </c>
      <c r="I23" s="210">
        <v>12</v>
      </c>
      <c r="J23" s="210">
        <v>20</v>
      </c>
      <c r="K23" s="209">
        <v>18</v>
      </c>
      <c r="L23" s="210">
        <v>16</v>
      </c>
      <c r="M23" s="211">
        <f>5739.04+1828.05+1440.72+631.62+564.05+641.19+793.15+2475.51</f>
        <v>14113.33</v>
      </c>
      <c r="N23" s="97">
        <f>5739.04+1828.05+1440.72+631.62+564.05+641.19+793.15</f>
        <v>11637.82</v>
      </c>
      <c r="O23" s="212">
        <f t="shared" si="1"/>
        <v>2475.5100000000002</v>
      </c>
      <c r="P23" s="213">
        <v>12</v>
      </c>
      <c r="Q23" s="214">
        <v>12</v>
      </c>
      <c r="R23" s="215">
        <v>12</v>
      </c>
      <c r="S23" s="97">
        <f>26607.02+6387.23</f>
        <v>32994.25</v>
      </c>
      <c r="T23" s="97">
        <v>26607.02</v>
      </c>
      <c r="U23" s="97">
        <f t="shared" si="2"/>
        <v>6387.23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23</v>
      </c>
      <c r="I24" s="210">
        <v>19</v>
      </c>
      <c r="J24" s="210">
        <v>22</v>
      </c>
      <c r="K24" s="209">
        <v>22</v>
      </c>
      <c r="L24" s="210">
        <v>22</v>
      </c>
      <c r="M24" s="211">
        <f>1515.11+3525.12+1811.05</f>
        <v>6851.28</v>
      </c>
      <c r="N24" s="97">
        <f>1515.11+3525.12</f>
        <v>5040.2299999999996</v>
      </c>
      <c r="O24" s="212">
        <f t="shared" si="1"/>
        <v>1811.0500000000002</v>
      </c>
      <c r="P24" s="213">
        <v>7</v>
      </c>
      <c r="Q24" s="21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40</v>
      </c>
      <c r="I25" s="210">
        <v>13</v>
      </c>
      <c r="J25" s="210">
        <v>32</v>
      </c>
      <c r="K25" s="210">
        <v>32</v>
      </c>
      <c r="L25" s="210">
        <v>32</v>
      </c>
      <c r="M25" s="211">
        <f>9005.69+15068.32+3714.72+1200.78</f>
        <v>28989.510000000002</v>
      </c>
      <c r="N25" s="97">
        <f>9005.69+15068.32+3714.72+1200.78</f>
        <v>28989.510000000002</v>
      </c>
      <c r="O25" s="212">
        <f t="shared" si="1"/>
        <v>0</v>
      </c>
      <c r="P25" s="213">
        <v>22</v>
      </c>
      <c r="Q25" s="215">
        <v>21</v>
      </c>
      <c r="R25" s="215">
        <v>21</v>
      </c>
      <c r="S25" s="97">
        <f>24213.05+6197.08+341.06</f>
        <v>30751.19</v>
      </c>
      <c r="T25" s="97">
        <f>24213.05+6197.08+341.06</f>
        <v>30751.19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210">
        <v>11</v>
      </c>
      <c r="J26" s="210">
        <v>18</v>
      </c>
      <c r="K26" s="209">
        <v>18</v>
      </c>
      <c r="L26" s="210">
        <v>18</v>
      </c>
      <c r="M26" s="211">
        <f>3777.1+6399.51+6251.64+358.88</f>
        <v>16787.13</v>
      </c>
      <c r="N26" s="97">
        <f>3777.1+6399.51+6251.64+358.88</f>
        <v>16787.13</v>
      </c>
      <c r="O26" s="212">
        <f t="shared" si="1"/>
        <v>0</v>
      </c>
      <c r="P26" s="213">
        <v>12</v>
      </c>
      <c r="Q26" s="214">
        <v>12</v>
      </c>
      <c r="R26" s="215">
        <v>12</v>
      </c>
      <c r="S26" s="97">
        <f>3386.7+2140.45</f>
        <v>5527.15</v>
      </c>
      <c r="T26" s="97">
        <f>3386.7+2140.45</f>
        <v>5527.15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34</v>
      </c>
      <c r="I27" s="210">
        <v>20</v>
      </c>
      <c r="J27" s="210">
        <v>36</v>
      </c>
      <c r="K27" s="209">
        <v>36</v>
      </c>
      <c r="L27" s="210">
        <v>36</v>
      </c>
      <c r="M27" s="211">
        <f>6801.73+4254.18+3948.81+757.9+1004.85+1005.5+5240.86</f>
        <v>23013.829999999998</v>
      </c>
      <c r="N27" s="97">
        <f>6801.73+4254.18+3948.81+757.9+1004.85+1005.5+5240.86</f>
        <v>23013.829999999998</v>
      </c>
      <c r="O27" s="212">
        <f t="shared" si="1"/>
        <v>0</v>
      </c>
      <c r="P27" s="213">
        <v>14</v>
      </c>
      <c r="Q27" s="21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210"/>
      <c r="J28" s="210"/>
      <c r="K28" s="209"/>
      <c r="L28" s="210"/>
      <c r="M28" s="211"/>
      <c r="N28" s="97"/>
      <c r="O28" s="212">
        <f t="shared" si="1"/>
        <v>0</v>
      </c>
      <c r="P28" s="213"/>
      <c r="Q28" s="21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27</v>
      </c>
      <c r="I29" s="210">
        <v>22</v>
      </c>
      <c r="J29" s="210">
        <v>34</v>
      </c>
      <c r="K29" s="209">
        <v>34</v>
      </c>
      <c r="L29" s="210">
        <v>28</v>
      </c>
      <c r="M29" s="211">
        <f>7765.28+1107.91+3282.4+1320.23+1580.98+622.05+447.4+992.16</f>
        <v>17118.41</v>
      </c>
      <c r="N29" s="97">
        <f>7765.28+1107.91+3282.4+1320.23+1580.98+622.05+447.4+992.16</f>
        <v>17118.41</v>
      </c>
      <c r="O29" s="212">
        <f t="shared" si="1"/>
        <v>0</v>
      </c>
      <c r="P29" s="213">
        <v>14</v>
      </c>
      <c r="Q29" s="21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45</v>
      </c>
      <c r="I30" s="210">
        <v>34</v>
      </c>
      <c r="J30" s="210">
        <v>49</v>
      </c>
      <c r="K30" s="210">
        <v>49</v>
      </c>
      <c r="L30" s="210">
        <v>44</v>
      </c>
      <c r="M30" s="211">
        <f>5246.17+4965.96+1939.12+3762.43+2342.38+4011.61+2238.08+5198.79</f>
        <v>29704.54</v>
      </c>
      <c r="N30" s="97">
        <f>5246.17+4965.96+1939.12+3762.43+2342.38+4011.61+2238.08</f>
        <v>24505.75</v>
      </c>
      <c r="O30" s="212">
        <f t="shared" si="1"/>
        <v>5198.7900000000009</v>
      </c>
      <c r="P30" s="213">
        <v>23</v>
      </c>
      <c r="Q30" s="215">
        <v>23</v>
      </c>
      <c r="R30" s="215">
        <v>23</v>
      </c>
      <c r="S30" s="97">
        <f>39414.6+4786.67+1562.33+638.43+2216.93+1293.2</f>
        <v>49912.159999999996</v>
      </c>
      <c r="T30" s="97">
        <f>39414.6+4786.67+1562.33+638.43+2216.93+1293.2</f>
        <v>49912.159999999996</v>
      </c>
      <c r="U30" s="97">
        <f t="shared" si="2"/>
        <v>0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210">
        <v>1</v>
      </c>
      <c r="J31" s="210">
        <v>2</v>
      </c>
      <c r="K31" s="209">
        <v>2</v>
      </c>
      <c r="L31" s="210">
        <v>2</v>
      </c>
      <c r="M31" s="211">
        <v>859.25</v>
      </c>
      <c r="N31" s="97">
        <v>859.25</v>
      </c>
      <c r="O31" s="212">
        <f t="shared" si="1"/>
        <v>0</v>
      </c>
      <c r="P31" s="213">
        <v>2</v>
      </c>
      <c r="Q31" s="21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210"/>
      <c r="J32" s="210"/>
      <c r="K32" s="209"/>
      <c r="L32" s="210"/>
      <c r="M32" s="211"/>
      <c r="N32" s="97"/>
      <c r="O32" s="212">
        <f t="shared" si="1"/>
        <v>0</v>
      </c>
      <c r="P32" s="213"/>
      <c r="Q32" s="21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customFormat="1" ht="31.5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14</v>
      </c>
      <c r="I33" s="210">
        <v>9</v>
      </c>
      <c r="J33" s="210">
        <v>12</v>
      </c>
      <c r="K33" s="209">
        <v>12</v>
      </c>
      <c r="L33" s="210">
        <v>12</v>
      </c>
      <c r="M33" s="211">
        <f>4065+2226.4+2915.4+290+826.8</f>
        <v>10323.599999999999</v>
      </c>
      <c r="N33" s="97">
        <f>4065+2226.4+2915.4+290+826.8</f>
        <v>10323.599999999999</v>
      </c>
      <c r="O33" s="212">
        <f t="shared" si="1"/>
        <v>0</v>
      </c>
      <c r="P33" s="213"/>
      <c r="Q33" s="21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customFormat="1" ht="31.5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210">
        <v>14</v>
      </c>
      <c r="J34" s="210">
        <v>22</v>
      </c>
      <c r="K34" s="209">
        <v>22</v>
      </c>
      <c r="L34" s="210">
        <v>22</v>
      </c>
      <c r="M34" s="211">
        <f>8742.16+2424.59+5870.23</f>
        <v>17036.98</v>
      </c>
      <c r="N34" s="97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customFormat="1" ht="31.5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13</v>
      </c>
      <c r="I35" s="210">
        <v>6</v>
      </c>
      <c r="J35" s="210">
        <v>12</v>
      </c>
      <c r="K35" s="209">
        <v>12</v>
      </c>
      <c r="L35" s="210">
        <v>12</v>
      </c>
      <c r="M35" s="211">
        <f>8755.24+1744.06</f>
        <v>10499.3</v>
      </c>
      <c r="N35" s="97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customFormat="1" ht="31.5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24</v>
      </c>
      <c r="I36" s="210">
        <v>13</v>
      </c>
      <c r="J36" s="210">
        <v>16</v>
      </c>
      <c r="K36" s="209">
        <v>16</v>
      </c>
      <c r="L36" s="210">
        <v>16</v>
      </c>
      <c r="M36" s="211">
        <f>2360+2665.25+2800.06+3488.89+1050.79</f>
        <v>12364.989999999998</v>
      </c>
      <c r="N36" s="97">
        <f>2360+2665.25+2800.06+3488.89+1050.79</f>
        <v>12364.989999999998</v>
      </c>
      <c r="O36" s="212">
        <f t="shared" si="1"/>
        <v>0</v>
      </c>
      <c r="P36" s="213">
        <v>6</v>
      </c>
      <c r="Q36" s="214">
        <v>6</v>
      </c>
      <c r="R36" s="215">
        <v>6</v>
      </c>
      <c r="S36" s="97">
        <f>1436.08+3433.93+5939.33+1723.52</f>
        <v>12532.86</v>
      </c>
      <c r="T36" s="97">
        <f>1436.08+3433.93+5939.33+1723.52</f>
        <v>12532.86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customFormat="1" ht="31.5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22</v>
      </c>
      <c r="I37" s="210">
        <v>13</v>
      </c>
      <c r="J37" s="210">
        <v>18</v>
      </c>
      <c r="K37" s="209">
        <v>18</v>
      </c>
      <c r="L37" s="210">
        <v>16</v>
      </c>
      <c r="M37" s="211">
        <f>4126.56+990.2+862.75+145+358.88+1424.06+2121.03</f>
        <v>10028.480000000001</v>
      </c>
      <c r="N37" s="97">
        <f>4126.56+990.2+862.75+145+358.88+1424.06+2121.03</f>
        <v>10028.480000000001</v>
      </c>
      <c r="O37" s="212">
        <f t="shared" si="1"/>
        <v>0</v>
      </c>
      <c r="P37" s="213">
        <v>2</v>
      </c>
      <c r="Q37" s="214">
        <v>2</v>
      </c>
      <c r="R37" s="215">
        <v>2</v>
      </c>
      <c r="S37" s="97">
        <v>552.96</v>
      </c>
      <c r="T37" s="97">
        <v>552.96</v>
      </c>
      <c r="U37" s="97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customFormat="1" ht="31.5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83</v>
      </c>
      <c r="I38" s="210">
        <v>43</v>
      </c>
      <c r="J38" s="210">
        <v>60</v>
      </c>
      <c r="K38" s="209">
        <v>60</v>
      </c>
      <c r="L38" s="210">
        <v>59</v>
      </c>
      <c r="M38" s="211">
        <f>18043.85+1739.74+12219.36+4084.73+2867.69+2388.56+1377.5+2533.95+5859.96+4779.49</f>
        <v>55894.829999999994</v>
      </c>
      <c r="N38" s="97">
        <f>18043.85+1739.74+12219.36+4084.73+2867.69+2388.56+1377.5+2533.95</f>
        <v>45255.38</v>
      </c>
      <c r="O38" s="212">
        <f t="shared" si="1"/>
        <v>10639.449999999997</v>
      </c>
      <c r="P38" s="213">
        <v>21</v>
      </c>
      <c r="Q38" s="214">
        <v>21</v>
      </c>
      <c r="R38" s="215">
        <v>21</v>
      </c>
      <c r="S38" s="97">
        <f>22326.77+417.74+1031.26</f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customFormat="1" ht="31.5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29</v>
      </c>
      <c r="I39" s="210">
        <v>16</v>
      </c>
      <c r="J39" s="210">
        <v>21</v>
      </c>
      <c r="K39" s="209">
        <v>20</v>
      </c>
      <c r="L39" s="210">
        <v>18</v>
      </c>
      <c r="M39" s="211">
        <f>4309.67+3353.38+84.05+2832.72+349.74+868+1575.33</f>
        <v>13372.89</v>
      </c>
      <c r="N39" s="97">
        <f>4309.67+3353.38+84.05+2832.72+349.74+868</f>
        <v>11797.56</v>
      </c>
      <c r="O39" s="212">
        <f t="shared" si="1"/>
        <v>1575.33</v>
      </c>
      <c r="P39" s="213">
        <v>3</v>
      </c>
      <c r="Q39" s="214">
        <v>3</v>
      </c>
      <c r="R39" s="215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customFormat="1" ht="31.5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9</v>
      </c>
      <c r="I40" s="210">
        <v>6</v>
      </c>
      <c r="J40" s="210">
        <v>7</v>
      </c>
      <c r="K40" s="209">
        <v>6</v>
      </c>
      <c r="L40" s="210">
        <v>6</v>
      </c>
      <c r="M40" s="211">
        <f>5430.01+287.1</f>
        <v>5717.1100000000006</v>
      </c>
      <c r="N40" s="97">
        <f>5430.01+287.1</f>
        <v>5717.1100000000006</v>
      </c>
      <c r="O40" s="212">
        <f t="shared" si="1"/>
        <v>0</v>
      </c>
      <c r="P40" s="213">
        <v>4</v>
      </c>
      <c r="Q40" s="214">
        <v>4</v>
      </c>
      <c r="R40" s="215">
        <v>4</v>
      </c>
      <c r="S40" s="97">
        <f>3996.7+1341.47+7404.94</f>
        <v>12743.11</v>
      </c>
      <c r="T40" s="97">
        <f>3996.7+1341.47+7404.94</f>
        <v>12743.11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customFormat="1" ht="31.5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24</v>
      </c>
      <c r="I41" s="210">
        <v>17</v>
      </c>
      <c r="J41" s="210">
        <v>19</v>
      </c>
      <c r="K41" s="209">
        <v>19</v>
      </c>
      <c r="L41" s="210">
        <v>19</v>
      </c>
      <c r="M41" s="211">
        <f>4892.78+1033.5+545.69+1551.08+3520.24</f>
        <v>11543.289999999999</v>
      </c>
      <c r="N41" s="97">
        <f>4892.78+1033.5+545.69+1551.08</f>
        <v>8023.0499999999993</v>
      </c>
      <c r="O41" s="212">
        <f t="shared" si="1"/>
        <v>3520.24</v>
      </c>
      <c r="P41" s="213">
        <v>4</v>
      </c>
      <c r="Q41" s="214">
        <v>4</v>
      </c>
      <c r="R41" s="215">
        <v>4</v>
      </c>
      <c r="S41" s="97">
        <f>1842.88+373.68</f>
        <v>2216.56</v>
      </c>
      <c r="T41" s="97">
        <f>1842.88+373.68</f>
        <v>2216.56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customFormat="1" ht="31.5" x14ac:dyDescent="0.25">
      <c r="A42" s="155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15</v>
      </c>
      <c r="I42" s="210">
        <v>7</v>
      </c>
      <c r="J42" s="210">
        <v>12</v>
      </c>
      <c r="K42" s="209">
        <v>12</v>
      </c>
      <c r="L42" s="210">
        <v>11</v>
      </c>
      <c r="M42" s="211">
        <f>5095.29+1605.75+430.65+529.04+145</f>
        <v>7805.73</v>
      </c>
      <c r="N42" s="97">
        <f>5095.29+1605.75+430.65+529.04</f>
        <v>7660.73</v>
      </c>
      <c r="O42" s="212">
        <f t="shared" si="1"/>
        <v>145</v>
      </c>
      <c r="P42" s="213">
        <v>5</v>
      </c>
      <c r="Q42" s="21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customFormat="1" ht="31.5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21</v>
      </c>
      <c r="I43" s="210">
        <v>11</v>
      </c>
      <c r="J43" s="210">
        <v>18</v>
      </c>
      <c r="K43" s="209">
        <v>18</v>
      </c>
      <c r="L43" s="210">
        <v>18</v>
      </c>
      <c r="M43" s="211">
        <f>1949.94+11241.95+1670.56+979+622.78+145+551.2+2279.66+3262.66</f>
        <v>22702.75</v>
      </c>
      <c r="N43" s="97">
        <f>1949.94+11241.95+1670.56+979+622.78+145+551.2+2279.66</f>
        <v>19440.09</v>
      </c>
      <c r="O43" s="212">
        <f t="shared" si="1"/>
        <v>3262.66</v>
      </c>
      <c r="P43" s="213">
        <v>7</v>
      </c>
      <c r="Q43" s="214">
        <v>7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customFormat="1" ht="31.5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14</v>
      </c>
      <c r="I44" s="210">
        <v>9</v>
      </c>
      <c r="J44" s="210">
        <v>15</v>
      </c>
      <c r="K44" s="209">
        <v>15</v>
      </c>
      <c r="L44" s="210">
        <v>13</v>
      </c>
      <c r="M44" s="211">
        <f>9600.95+145+2182.75+7980.88+580+287.1</f>
        <v>20776.68</v>
      </c>
      <c r="N44" s="97">
        <f>9600.95+145+2182.75+7980.88+580+287.1</f>
        <v>20776.68</v>
      </c>
      <c r="O44" s="212">
        <f t="shared" si="1"/>
        <v>0</v>
      </c>
      <c r="P44" s="213">
        <v>10</v>
      </c>
      <c r="Q44" s="214">
        <v>10</v>
      </c>
      <c r="R44" s="215">
        <v>8</v>
      </c>
      <c r="S44" s="97">
        <f>3997.92+850.65+4367.7+2262.73+189.48</f>
        <v>11668.48</v>
      </c>
      <c r="T44" s="97">
        <f>3997.92+850.65+4367.7+2262.73+189.48</f>
        <v>11668.48</v>
      </c>
      <c r="U44" s="97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customFormat="1" x14ac:dyDescent="0.25">
      <c r="A45" s="155"/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210"/>
      <c r="J45" s="210"/>
      <c r="K45" s="209"/>
      <c r="L45" s="210"/>
      <c r="M45" s="211"/>
      <c r="N45" s="97"/>
      <c r="O45" s="212">
        <f t="shared" si="1"/>
        <v>0</v>
      </c>
      <c r="P45" s="213"/>
      <c r="Q45" s="21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customFormat="1" ht="31.5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19</v>
      </c>
      <c r="I46" s="210">
        <v>11</v>
      </c>
      <c r="J46" s="210">
        <v>16</v>
      </c>
      <c r="K46" s="209">
        <v>16</v>
      </c>
      <c r="L46" s="210">
        <v>12</v>
      </c>
      <c r="M46" s="211">
        <f>1290.6+2343.84+935.25</f>
        <v>4569.6900000000005</v>
      </c>
      <c r="N46" s="97">
        <f>1290.6+2343.84+935.25</f>
        <v>4569.6900000000005</v>
      </c>
      <c r="O46" s="212">
        <f t="shared" si="1"/>
        <v>0</v>
      </c>
      <c r="P46" s="213">
        <v>2</v>
      </c>
      <c r="Q46" s="21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customFormat="1" ht="31.5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45</v>
      </c>
      <c r="I47" s="210">
        <v>28</v>
      </c>
      <c r="J47" s="210">
        <v>39</v>
      </c>
      <c r="K47" s="209">
        <v>39</v>
      </c>
      <c r="L47" s="210">
        <v>30</v>
      </c>
      <c r="M47" s="211">
        <f>9335.56+3507.6+826.8+2284.16+1015+1378</f>
        <v>18347.12</v>
      </c>
      <c r="N47" s="97">
        <f>9335.56+3507.6+826.8+2284.16+1015+1378</f>
        <v>18347.12</v>
      </c>
      <c r="O47" s="212">
        <f t="shared" si="1"/>
        <v>0</v>
      </c>
      <c r="P47" s="213">
        <v>2</v>
      </c>
      <c r="Q47" s="21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customFormat="1" ht="31.5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20</v>
      </c>
      <c r="I48" s="210">
        <v>7</v>
      </c>
      <c r="J48" s="210">
        <v>10</v>
      </c>
      <c r="K48" s="209">
        <v>9</v>
      </c>
      <c r="L48" s="210">
        <v>9</v>
      </c>
      <c r="M48" s="211">
        <f>8890.84+1828.05+435</f>
        <v>11153.89</v>
      </c>
      <c r="N48" s="97">
        <f>8890.84+1828.05+435</f>
        <v>11153.89</v>
      </c>
      <c r="O48" s="212">
        <f t="shared" si="1"/>
        <v>0</v>
      </c>
      <c r="P48" s="213">
        <v>3</v>
      </c>
      <c r="Q48" s="21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customFormat="1" ht="31.5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21</v>
      </c>
      <c r="I49" s="210">
        <v>11</v>
      </c>
      <c r="J49" s="210">
        <v>16</v>
      </c>
      <c r="K49" s="209">
        <v>16</v>
      </c>
      <c r="L49" s="210">
        <v>14</v>
      </c>
      <c r="M49" s="211">
        <f>1831.71+137.8+1816.78+290+420.6+435</f>
        <v>4931.8900000000003</v>
      </c>
      <c r="N49" s="97">
        <f>1831.71+137.8+1816.78+290+420.6</f>
        <v>4496.8900000000003</v>
      </c>
      <c r="O49" s="212">
        <f t="shared" si="1"/>
        <v>435</v>
      </c>
      <c r="P49" s="213">
        <v>10</v>
      </c>
      <c r="Q49" s="214">
        <v>10</v>
      </c>
      <c r="R49" s="215">
        <v>9</v>
      </c>
      <c r="S49" s="97">
        <f>8296.23+1378+5368</f>
        <v>15042.23</v>
      </c>
      <c r="T49" s="97">
        <f>8296.23+1378+5368</f>
        <v>15042.23</v>
      </c>
      <c r="U49" s="97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customFormat="1" ht="31.5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24</v>
      </c>
      <c r="I50" s="210">
        <v>17</v>
      </c>
      <c r="J50" s="210">
        <v>21</v>
      </c>
      <c r="K50" s="209">
        <v>21</v>
      </c>
      <c r="L50" s="210">
        <v>19</v>
      </c>
      <c r="M50" s="211">
        <f>8308.92+786.44+453+302+1256.5</f>
        <v>11106.86</v>
      </c>
      <c r="N50" s="97">
        <f>8308.92+786.44+453+302+1256.5</f>
        <v>11106.86</v>
      </c>
      <c r="O50" s="212">
        <f t="shared" si="1"/>
        <v>0</v>
      </c>
      <c r="P50" s="213">
        <v>6</v>
      </c>
      <c r="Q50" s="214">
        <v>6</v>
      </c>
      <c r="R50" s="215">
        <v>6</v>
      </c>
      <c r="S50" s="97">
        <f>2457.28+1725.6+5017.9+1584.7</f>
        <v>10785.48</v>
      </c>
      <c r="T50" s="97">
        <f>2457.28+1725.6+5017.9+1584.7</f>
        <v>10785.48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customFormat="1" ht="31.5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26</v>
      </c>
      <c r="I51" s="210">
        <v>13</v>
      </c>
      <c r="J51" s="210">
        <v>15</v>
      </c>
      <c r="K51" s="209">
        <v>15</v>
      </c>
      <c r="L51" s="210">
        <v>15</v>
      </c>
      <c r="M51" s="211">
        <f>5580.75+571.11+696.2+574.2+408.03+1234.53+1446.9+620.1</f>
        <v>11131.82</v>
      </c>
      <c r="N51" s="97">
        <f>5580.75+571.11+696.2+574.2+408.03+1234.53+1446.9</f>
        <v>10511.72</v>
      </c>
      <c r="O51" s="212">
        <f t="shared" si="1"/>
        <v>620.10000000000036</v>
      </c>
      <c r="P51" s="213">
        <v>1</v>
      </c>
      <c r="Q51" s="214">
        <v>1</v>
      </c>
      <c r="R51" s="215">
        <v>1</v>
      </c>
      <c r="S51" s="97">
        <f>728.15</f>
        <v>728.15</v>
      </c>
      <c r="T51" s="97">
        <f>728.15</f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customFormat="1" ht="31.5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24</v>
      </c>
      <c r="I52" s="210">
        <v>14</v>
      </c>
      <c r="J52" s="210">
        <v>17</v>
      </c>
      <c r="K52" s="209">
        <v>17</v>
      </c>
      <c r="L52" s="210">
        <v>15</v>
      </c>
      <c r="M52" s="211">
        <f>3782.6+430.65+1221.61+2194.55+452.33+1392</f>
        <v>9473.74</v>
      </c>
      <c r="N52" s="97">
        <f>3782.6+430.65+1221.61+2194.55</f>
        <v>7629.41</v>
      </c>
      <c r="O52" s="212">
        <f t="shared" si="1"/>
        <v>1844.33</v>
      </c>
      <c r="P52" s="213">
        <v>10</v>
      </c>
      <c r="Q52" s="214">
        <v>10</v>
      </c>
      <c r="R52" s="215">
        <v>10</v>
      </c>
      <c r="S52" s="97">
        <f>1535.39+1035.3+828.82+12756.45+716.22</f>
        <v>16872.18</v>
      </c>
      <c r="T52" s="97">
        <f>1535.39+1035.3+828.82+12756.45</f>
        <v>16155.960000000001</v>
      </c>
      <c r="U52" s="97">
        <f t="shared" si="2"/>
        <v>716.21999999999935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customFormat="1" ht="31.5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10</v>
      </c>
      <c r="I53" s="210">
        <v>3</v>
      </c>
      <c r="J53" s="210">
        <v>3</v>
      </c>
      <c r="K53" s="209">
        <v>3</v>
      </c>
      <c r="L53" s="210">
        <v>3</v>
      </c>
      <c r="M53" s="211">
        <f>1102.4+328.37</f>
        <v>1430.77</v>
      </c>
      <c r="N53" s="97">
        <f>1102.4+328.37</f>
        <v>1430.77</v>
      </c>
      <c r="O53" s="212">
        <f t="shared" si="1"/>
        <v>0</v>
      </c>
      <c r="P53" s="213">
        <v>2</v>
      </c>
      <c r="Q53" s="21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customFormat="1" ht="31.5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119</v>
      </c>
      <c r="I54" s="210">
        <v>99</v>
      </c>
      <c r="J54" s="210">
        <v>118</v>
      </c>
      <c r="K54" s="209">
        <v>118</v>
      </c>
      <c r="L54" s="210">
        <v>89</v>
      </c>
      <c r="M54" s="211">
        <f>12031.27+4728.85+7137.01+1218+507+4175.93+5308.12+6184.37</f>
        <v>41290.55000000001</v>
      </c>
      <c r="N54" s="97">
        <f>12031.27+4728.85+7137.01+1218+507+4175.93+5308.12</f>
        <v>35106.180000000008</v>
      </c>
      <c r="O54" s="212">
        <f t="shared" si="1"/>
        <v>6184.3700000000026</v>
      </c>
      <c r="P54" s="213">
        <v>17</v>
      </c>
      <c r="Q54" s="21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customFormat="1" ht="31.5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8</v>
      </c>
      <c r="I55" s="210">
        <v>3</v>
      </c>
      <c r="J55" s="210">
        <v>4</v>
      </c>
      <c r="K55" s="209">
        <v>4</v>
      </c>
      <c r="L55" s="210">
        <v>4</v>
      </c>
      <c r="M55" s="211">
        <v>8188.55</v>
      </c>
      <c r="N55" s="97">
        <v>8188.55</v>
      </c>
      <c r="O55" s="212">
        <f t="shared" si="1"/>
        <v>0</v>
      </c>
      <c r="P55" s="213">
        <v>3</v>
      </c>
      <c r="Q55" s="21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customFormat="1" ht="31.5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64</v>
      </c>
      <c r="I56" s="210">
        <v>42</v>
      </c>
      <c r="J56" s="210">
        <v>64</v>
      </c>
      <c r="K56" s="209">
        <v>64</v>
      </c>
      <c r="L56" s="210">
        <v>55</v>
      </c>
      <c r="M56" s="211">
        <f>13145.7+14183.3+726.22+3195.47+5181.98+1425.26+6804.83+1811+6356.42+2151.08+5494.6-1423.76</f>
        <v>59052.1</v>
      </c>
      <c r="N56" s="97">
        <f>13145.7+14183.3+726.22+3195.47+5181.98+1425.26+6804.83+1811+6356.42-6356.42+1423.76+3508.9</f>
        <v>51406.420000000006</v>
      </c>
      <c r="O56" s="212">
        <f t="shared" si="1"/>
        <v>7645.679999999993</v>
      </c>
      <c r="P56" s="213">
        <v>35</v>
      </c>
      <c r="Q56" s="214">
        <v>35</v>
      </c>
      <c r="R56" s="215">
        <v>32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customFormat="1" ht="31.5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210">
        <v>9</v>
      </c>
      <c r="J57" s="210">
        <v>10</v>
      </c>
      <c r="K57" s="209">
        <v>3</v>
      </c>
      <c r="L57" s="210">
        <v>3</v>
      </c>
      <c r="M57" s="211">
        <v>1200.96</v>
      </c>
      <c r="N57" s="97">
        <v>1200.96</v>
      </c>
      <c r="O57" s="212">
        <f t="shared" si="1"/>
        <v>0</v>
      </c>
      <c r="P57" s="213"/>
      <c r="Q57" s="21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customFormat="1" ht="31.5" x14ac:dyDescent="0.25">
      <c r="A58" s="155"/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210"/>
      <c r="J58" s="210"/>
      <c r="K58" s="209"/>
      <c r="L58" s="210"/>
      <c r="M58" s="211"/>
      <c r="N58" s="97"/>
      <c r="O58" s="212">
        <f t="shared" si="1"/>
        <v>0</v>
      </c>
      <c r="P58" s="213">
        <v>1</v>
      </c>
      <c r="Q58" s="214">
        <v>1</v>
      </c>
      <c r="R58" s="215">
        <v>1</v>
      </c>
      <c r="S58" s="97">
        <v>548.1</v>
      </c>
      <c r="T58" s="97">
        <v>548.1</v>
      </c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customFormat="1" ht="31.5" x14ac:dyDescent="0.25">
      <c r="A59" s="155"/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210"/>
      <c r="J59" s="210"/>
      <c r="K59" s="209"/>
      <c r="L59" s="210"/>
      <c r="M59" s="211"/>
      <c r="N59" s="97"/>
      <c r="O59" s="212">
        <f t="shared" si="1"/>
        <v>0</v>
      </c>
      <c r="P59" s="213"/>
      <c r="Q59" s="21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customFormat="1" ht="31.5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58</v>
      </c>
      <c r="I60" s="210">
        <v>33</v>
      </c>
      <c r="J60" s="210">
        <v>48</v>
      </c>
      <c r="K60" s="209">
        <v>48</v>
      </c>
      <c r="L60" s="210">
        <v>42</v>
      </c>
      <c r="M60" s="211">
        <f>19657.67+3859.57+3638.88+11285.84+2356.7+1870.22+2374.32+1250.63</f>
        <v>46293.829999999994</v>
      </c>
      <c r="N60" s="97">
        <f>19657.67+3859.57+3638.88+11285.84+2356.7+1870.22+2374.32</f>
        <v>45043.199999999997</v>
      </c>
      <c r="O60" s="212">
        <f t="shared" si="1"/>
        <v>1250.6299999999974</v>
      </c>
      <c r="P60" s="213">
        <v>7</v>
      </c>
      <c r="Q60" s="214">
        <v>7</v>
      </c>
      <c r="R60" s="215">
        <v>6</v>
      </c>
      <c r="S60" s="97">
        <v>7737.36</v>
      </c>
      <c r="T60" s="97">
        <v>7737.36</v>
      </c>
      <c r="U60" s="97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customFormat="1" ht="31.5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31</v>
      </c>
      <c r="I61" s="210">
        <v>17</v>
      </c>
      <c r="J61" s="210">
        <v>26</v>
      </c>
      <c r="K61" s="209">
        <v>22</v>
      </c>
      <c r="L61" s="210">
        <v>18</v>
      </c>
      <c r="M61" s="211">
        <f>3986.21+989.8+3814.75+1492.92+2107.58+1990.86</f>
        <v>14382.12</v>
      </c>
      <c r="N61" s="97">
        <f>3986.21+989.8+3814.75+1492.92+2107.58+1990.86</f>
        <v>14382.12</v>
      </c>
      <c r="O61" s="212">
        <f t="shared" si="1"/>
        <v>0</v>
      </c>
      <c r="P61" s="213"/>
      <c r="Q61" s="21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customFormat="1" ht="31.5" x14ac:dyDescent="0.25">
      <c r="A62" s="155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19</v>
      </c>
      <c r="I62" s="210">
        <v>11</v>
      </c>
      <c r="J62" s="210">
        <v>14</v>
      </c>
      <c r="K62" s="209">
        <v>14</v>
      </c>
      <c r="L62" s="210">
        <v>14</v>
      </c>
      <c r="M62" s="211">
        <f>1263.45+2111.32+5011.35+4260.64</f>
        <v>12646.760000000002</v>
      </c>
      <c r="N62" s="97">
        <f>1263.45+2111.32+5011.35+4260.64</f>
        <v>12646.760000000002</v>
      </c>
      <c r="O62" s="212">
        <f t="shared" si="1"/>
        <v>0</v>
      </c>
      <c r="P62" s="213">
        <v>7</v>
      </c>
      <c r="Q62" s="214">
        <v>7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</row>
    <row r="63" spans="1:40" customFormat="1" ht="31.5" x14ac:dyDescent="0.25">
      <c r="A63" s="155"/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210"/>
      <c r="J63" s="210"/>
      <c r="K63" s="209"/>
      <c r="L63" s="210"/>
      <c r="M63" s="211"/>
      <c r="N63" s="97"/>
      <c r="O63" s="212">
        <f t="shared" si="1"/>
        <v>0</v>
      </c>
      <c r="P63" s="213">
        <v>29</v>
      </c>
      <c r="Q63" s="214">
        <v>29</v>
      </c>
      <c r="R63" s="215">
        <v>29</v>
      </c>
      <c r="S63" s="97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</row>
    <row r="64" spans="1:40" customFormat="1" ht="31.5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33</v>
      </c>
      <c r="I64" s="210">
        <v>21</v>
      </c>
      <c r="J64" s="210">
        <v>23</v>
      </c>
      <c r="K64" s="209">
        <v>22</v>
      </c>
      <c r="L64" s="210">
        <v>16</v>
      </c>
      <c r="M64" s="211">
        <f>6496.16+4335.01+2477.65+2687.1+609</f>
        <v>16604.919999999998</v>
      </c>
      <c r="N64" s="97">
        <f>6496.16+4335.01+2477.65+2687.1+609</f>
        <v>16604.919999999998</v>
      </c>
      <c r="O64" s="212">
        <f t="shared" si="1"/>
        <v>0</v>
      </c>
      <c r="P64" s="213">
        <v>12</v>
      </c>
      <c r="Q64" s="214">
        <v>12</v>
      </c>
      <c r="R64" s="215">
        <v>12</v>
      </c>
      <c r="S64" s="97">
        <f>6866.56+548.1</f>
        <v>7414.6600000000008</v>
      </c>
      <c r="T64" s="97">
        <f>6866.56+548.1</f>
        <v>7414.6600000000008</v>
      </c>
      <c r="U64" s="97">
        <f t="shared" si="2"/>
        <v>0</v>
      </c>
      <c r="V64" s="161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</row>
    <row r="65" spans="1:42" ht="31.5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59</v>
      </c>
      <c r="I65" s="210">
        <v>49</v>
      </c>
      <c r="J65" s="210">
        <v>60</v>
      </c>
      <c r="K65" s="209">
        <v>54</v>
      </c>
      <c r="L65" s="210">
        <v>49</v>
      </c>
      <c r="M65" s="211">
        <f>21561.61+5719.7+1305+4149.27+2397.37+5906.18+1251.03+829.55+4633.7+2607.11+652.5</f>
        <v>51013.020000000004</v>
      </c>
      <c r="N65" s="97">
        <f>21561.61+5719.7+1305+4149.27+2397.37+5906.18+1251.03+829.55+4633.7+2607.11</f>
        <v>50360.520000000004</v>
      </c>
      <c r="O65" s="212">
        <f t="shared" si="1"/>
        <v>652.5</v>
      </c>
      <c r="P65" s="213">
        <v>11</v>
      </c>
      <c r="Q65" s="214">
        <v>11</v>
      </c>
      <c r="R65" s="215">
        <v>11</v>
      </c>
      <c r="S65" s="97">
        <f>7456.7+19131.63</f>
        <v>26588.33</v>
      </c>
      <c r="T65" s="97">
        <f>7456.7+19131.63</f>
        <v>26588.33</v>
      </c>
      <c r="U65" s="97">
        <f t="shared" si="2"/>
        <v>0</v>
      </c>
      <c r="V65" s="161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</row>
    <row r="66" spans="1:42" ht="31.5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210">
        <v>2</v>
      </c>
      <c r="J66" s="210">
        <v>3</v>
      </c>
      <c r="K66" s="209">
        <v>3</v>
      </c>
      <c r="L66" s="210">
        <v>3</v>
      </c>
      <c r="M66" s="211">
        <f>463.83+1653.6</f>
        <v>2117.4299999999998</v>
      </c>
      <c r="N66" s="97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</row>
    <row r="67" spans="1:42" ht="31.5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62</v>
      </c>
      <c r="I67" s="210">
        <v>45</v>
      </c>
      <c r="J67" s="210">
        <v>61</v>
      </c>
      <c r="K67" s="209">
        <v>61</v>
      </c>
      <c r="L67" s="210">
        <v>60</v>
      </c>
      <c r="M67" s="211">
        <f>19710.93+7009.96+ 8900.54+165.98+1497.55+1081.95+652.5+834+4814.12+3405.33+4696.24+4814.12-6057.46</f>
        <v>51525.760000000009</v>
      </c>
      <c r="N67" s="97">
        <f>19710.93+7009.96+ 8900.54+165.98+1497.55+1081.95+652.5+834+3570.78</f>
        <v>43424.19</v>
      </c>
      <c r="O67" s="212">
        <f t="shared" si="1"/>
        <v>8101.570000000007</v>
      </c>
      <c r="P67" s="213">
        <v>11</v>
      </c>
      <c r="Q67" s="21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  <c r="W67"/>
      <c r="X67"/>
      <c r="Y67"/>
      <c r="Z67"/>
      <c r="AA67"/>
      <c r="AB67"/>
      <c r="AC67"/>
      <c r="AD67"/>
      <c r="AE67"/>
      <c r="AF67" s="59"/>
      <c r="AG67"/>
      <c r="AH67"/>
      <c r="AI67"/>
      <c r="AJ67"/>
      <c r="AK67"/>
      <c r="AL67"/>
      <c r="AM67"/>
      <c r="AN67"/>
      <c r="AO67"/>
      <c r="AP67"/>
    </row>
    <row r="68" spans="1:42" ht="31.5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41</v>
      </c>
      <c r="I68" s="210">
        <v>29</v>
      </c>
      <c r="J68" s="210">
        <v>53</v>
      </c>
      <c r="K68" s="209">
        <v>53</v>
      </c>
      <c r="L68" s="210">
        <v>50</v>
      </c>
      <c r="M68" s="211">
        <f>18750.75+2683.13+8424.37+2797.92</f>
        <v>32656.17</v>
      </c>
      <c r="N68" s="97">
        <f>18750.75+2683.13+8424.37</f>
        <v>29858.25</v>
      </c>
      <c r="O68" s="212">
        <f t="shared" si="1"/>
        <v>2797.9199999999983</v>
      </c>
      <c r="P68" s="213">
        <v>11</v>
      </c>
      <c r="Q68" s="214">
        <v>11</v>
      </c>
      <c r="R68" s="215">
        <v>11</v>
      </c>
      <c r="S68" s="97">
        <v>6249.15</v>
      </c>
      <c r="T68" s="97">
        <v>6249.15</v>
      </c>
      <c r="U68" s="97">
        <f t="shared" si="2"/>
        <v>0</v>
      </c>
      <c r="V68" s="161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</row>
    <row r="69" spans="1:42" ht="31.5" x14ac:dyDescent="0.25">
      <c r="A69" s="155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12</v>
      </c>
      <c r="I69" s="210">
        <v>6</v>
      </c>
      <c r="J69" s="210">
        <v>7</v>
      </c>
      <c r="K69" s="209">
        <v>7</v>
      </c>
      <c r="L69" s="210">
        <v>6</v>
      </c>
      <c r="M69" s="211">
        <f>2756+1240.2+1305+1087.5</f>
        <v>6388.7</v>
      </c>
      <c r="N69" s="97">
        <f>2756+1240.2+1305</f>
        <v>5301.2</v>
      </c>
      <c r="O69" s="212">
        <f t="shared" si="1"/>
        <v>1087.5</v>
      </c>
      <c r="P69" s="213"/>
      <c r="Q69" s="214"/>
      <c r="R69" s="215"/>
      <c r="S69" s="97"/>
      <c r="T69" s="97"/>
      <c r="U69" s="97">
        <f t="shared" si="2"/>
        <v>0</v>
      </c>
      <c r="V69" s="161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</row>
    <row r="70" spans="1:42" ht="31.5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19</v>
      </c>
      <c r="I70" s="210">
        <v>12</v>
      </c>
      <c r="J70" s="210">
        <v>13</v>
      </c>
      <c r="K70" s="209">
        <v>13</v>
      </c>
      <c r="L70" s="210">
        <v>12</v>
      </c>
      <c r="M70" s="211">
        <f>2039.44+3242.32+2027.39+3567+822.15+2588.88</f>
        <v>14287.18</v>
      </c>
      <c r="N70" s="97">
        <f>2039.44+3242.32+2027.39+3567+822.15</f>
        <v>11698.300000000001</v>
      </c>
      <c r="O70" s="212">
        <f t="shared" si="1"/>
        <v>2588.8799999999992</v>
      </c>
      <c r="P70" s="213">
        <v>7</v>
      </c>
      <c r="Q70" s="214">
        <v>7</v>
      </c>
      <c r="R70" s="215">
        <v>6</v>
      </c>
      <c r="S70" s="97">
        <v>3513.9</v>
      </c>
      <c r="T70" s="97">
        <v>3513.9</v>
      </c>
      <c r="U70" s="97">
        <f t="shared" si="2"/>
        <v>0</v>
      </c>
      <c r="V70" s="161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</row>
    <row r="71" spans="1:42" s="249" customFormat="1" ht="31.5" x14ac:dyDescent="0.25">
      <c r="A71" s="247">
        <v>57</v>
      </c>
      <c r="B71" s="248">
        <f t="shared" si="3"/>
        <v>62</v>
      </c>
      <c r="C71" s="250" t="s">
        <v>74</v>
      </c>
      <c r="D71" s="251" t="s">
        <v>124</v>
      </c>
      <c r="E71" s="252"/>
      <c r="F71" s="253" t="s">
        <v>111</v>
      </c>
      <c r="G71" s="254" t="s">
        <v>190</v>
      </c>
      <c r="H71" s="255">
        <v>29</v>
      </c>
      <c r="I71" s="210">
        <v>16</v>
      </c>
      <c r="J71" s="210">
        <v>20</v>
      </c>
      <c r="K71" s="209">
        <v>20</v>
      </c>
      <c r="L71" s="210">
        <v>17</v>
      </c>
      <c r="M71" s="211">
        <f>2383.53+3781.9+7505.17+507+5161.87+1335.02+1152.8-3276.5</f>
        <v>18550.79</v>
      </c>
      <c r="N71" s="97">
        <f>2383.53+3781.9+7505.17+507+5161.87+1335.02+1152.8-3276.5</f>
        <v>18550.79</v>
      </c>
      <c r="O71" s="212">
        <f t="shared" si="1"/>
        <v>0</v>
      </c>
      <c r="P71" s="213">
        <v>25</v>
      </c>
      <c r="Q71" s="214">
        <v>25</v>
      </c>
      <c r="R71" s="215">
        <v>24</v>
      </c>
      <c r="S71" s="97">
        <f>52337.46+18000.02+1926.09</f>
        <v>72263.569999999992</v>
      </c>
      <c r="T71" s="97">
        <f>52337.46+18000.02+1926.09</f>
        <v>72263.569999999992</v>
      </c>
      <c r="U71" s="211">
        <f t="shared" si="2"/>
        <v>0</v>
      </c>
      <c r="V71" s="161"/>
      <c r="W71" s="243"/>
      <c r="X71" s="243"/>
      <c r="Y71" s="243"/>
      <c r="Z71" s="243"/>
      <c r="AA71" s="243"/>
      <c r="AB71" s="243"/>
      <c r="AC71" s="243"/>
      <c r="AD71" s="243"/>
      <c r="AE71" s="243"/>
      <c r="AF71" s="256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</row>
    <row r="72" spans="1:42" ht="31.5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22</v>
      </c>
      <c r="I72" s="210">
        <v>12</v>
      </c>
      <c r="J72" s="210">
        <v>15</v>
      </c>
      <c r="K72" s="209">
        <v>15</v>
      </c>
      <c r="L72" s="210">
        <v>13</v>
      </c>
      <c r="M72" s="211">
        <f>4703.53+544.32+1960.26+2120.63+1914.44</f>
        <v>11243.18</v>
      </c>
      <c r="N72" s="97">
        <f>4703.53+544.32+1960.26+2120.63</f>
        <v>9328.74</v>
      </c>
      <c r="O72" s="212">
        <f t="shared" si="1"/>
        <v>1914.4400000000005</v>
      </c>
      <c r="P72" s="213">
        <v>7</v>
      </c>
      <c r="Q72" s="21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1:42" ht="31.5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42</v>
      </c>
      <c r="I73" s="210">
        <v>25</v>
      </c>
      <c r="J73" s="210">
        <v>25</v>
      </c>
      <c r="K73" s="209">
        <v>25</v>
      </c>
      <c r="L73" s="210">
        <v>25</v>
      </c>
      <c r="M73" s="211">
        <f>2095.52+746.9+4941.1+3310.3+2104.91</f>
        <v>13198.73</v>
      </c>
      <c r="N73" s="97">
        <f>2095.52+746.9+4941.1+3310.3+2104.91</f>
        <v>13198.73</v>
      </c>
      <c r="O73" s="212">
        <f t="shared" si="1"/>
        <v>0</v>
      </c>
      <c r="P73" s="213">
        <v>7</v>
      </c>
      <c r="Q73" s="214">
        <v>7</v>
      </c>
      <c r="R73" s="215">
        <v>7</v>
      </c>
      <c r="S73" s="97">
        <f>1821.06+4580.19+1240.2</f>
        <v>7641.45</v>
      </c>
      <c r="T73" s="97">
        <f>1821.06+4580.19+1240.2</f>
        <v>7641.45</v>
      </c>
      <c r="U73" s="97">
        <f t="shared" si="2"/>
        <v>0</v>
      </c>
      <c r="V73" s="161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ht="31.5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210"/>
      <c r="J74" s="210"/>
      <c r="K74" s="209"/>
      <c r="L74" s="210"/>
      <c r="M74" s="211"/>
      <c r="N74" s="97"/>
      <c r="O74" s="212">
        <f t="shared" si="1"/>
        <v>0</v>
      </c>
      <c r="P74" s="213">
        <v>1</v>
      </c>
      <c r="Q74" s="21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ht="31.5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22</v>
      </c>
      <c r="I75" s="210">
        <v>5</v>
      </c>
      <c r="J75" s="210">
        <v>8</v>
      </c>
      <c r="K75" s="209">
        <v>8</v>
      </c>
      <c r="L75" s="210">
        <v>8</v>
      </c>
      <c r="M75" s="211">
        <f>275.6+741.36+14287.26+2399.03</f>
        <v>17703.25</v>
      </c>
      <c r="N75" s="97">
        <f>275.6+741.36+14287.26</f>
        <v>15304.220000000001</v>
      </c>
      <c r="O75" s="212">
        <f t="shared" ref="O75:O104" si="4" xml:space="preserve"> (M75-N75)</f>
        <v>2399.0299999999988</v>
      </c>
      <c r="P75" s="213">
        <v>3</v>
      </c>
      <c r="Q75" s="21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ht="31.5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38</v>
      </c>
      <c r="I76" s="210">
        <v>27</v>
      </c>
      <c r="J76" s="210">
        <v>42</v>
      </c>
      <c r="K76" s="209">
        <v>42</v>
      </c>
      <c r="L76" s="210">
        <v>32</v>
      </c>
      <c r="M76" s="211">
        <f>11803.63+1320.23+3132.15+12104.63+822.42+4875.99+435.02</f>
        <v>34494.069999999992</v>
      </c>
      <c r="N76" s="97">
        <f>11803.63+1320.23+3132.15+12104.63+822.42+4875.99+435.02</f>
        <v>34494.069999999992</v>
      </c>
      <c r="O76" s="212">
        <f t="shared" si="4"/>
        <v>0</v>
      </c>
      <c r="P76" s="213">
        <v>5</v>
      </c>
      <c r="Q76" s="214">
        <v>5</v>
      </c>
      <c r="R76" s="215">
        <v>5</v>
      </c>
      <c r="S76" s="97">
        <v>5751.78</v>
      </c>
      <c r="T76" s="97">
        <v>5751.78</v>
      </c>
      <c r="U76" s="97">
        <f t="shared" si="5"/>
        <v>0</v>
      </c>
      <c r="V76" s="161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ht="31.5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24</v>
      </c>
      <c r="I77" s="210">
        <v>12</v>
      </c>
      <c r="J77" s="210">
        <v>16</v>
      </c>
      <c r="K77" s="209">
        <v>16</v>
      </c>
      <c r="L77" s="210">
        <v>16</v>
      </c>
      <c r="M77" s="211">
        <f>4234.67+4498.63+1766.87+2083.87+1368.44+4016.5</f>
        <v>17968.979999999996</v>
      </c>
      <c r="N77" s="97">
        <f>4234.67+4498.63+1766.87+2083.87+1368.44+4016.5</f>
        <v>17968.979999999996</v>
      </c>
      <c r="O77" s="212">
        <f t="shared" si="4"/>
        <v>0</v>
      </c>
      <c r="P77" s="213"/>
      <c r="Q77" s="214"/>
      <c r="R77" s="215"/>
      <c r="S77" s="97"/>
      <c r="T77" s="97"/>
      <c r="U77" s="97">
        <f t="shared" si="5"/>
        <v>0</v>
      </c>
      <c r="V77" s="161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</row>
    <row r="78" spans="1:42" ht="31.5" x14ac:dyDescent="0.25">
      <c r="A78" s="155" t="s">
        <v>315</v>
      </c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210"/>
      <c r="J78" s="210"/>
      <c r="K78" s="209"/>
      <c r="L78" s="210"/>
      <c r="M78" s="211"/>
      <c r="N78" s="97"/>
      <c r="O78" s="212">
        <f t="shared" si="4"/>
        <v>0</v>
      </c>
      <c r="P78" s="213">
        <v>9</v>
      </c>
      <c r="Q78" s="214">
        <v>9</v>
      </c>
      <c r="R78" s="215">
        <v>9</v>
      </c>
      <c r="S78" s="97">
        <f>3889.76+778.48</f>
        <v>4668.24</v>
      </c>
      <c r="T78" s="97">
        <f>3889.76+778.48</f>
        <v>4668.24</v>
      </c>
      <c r="U78" s="97">
        <f t="shared" si="5"/>
        <v>0</v>
      </c>
      <c r="V78" s="161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1:42" ht="31.5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25</v>
      </c>
      <c r="I79" s="210">
        <v>15</v>
      </c>
      <c r="J79" s="210">
        <v>21</v>
      </c>
      <c r="K79" s="209">
        <v>21</v>
      </c>
      <c r="L79" s="210">
        <v>21</v>
      </c>
      <c r="M79" s="211">
        <f>8913.81+7027.61+1244.33+15395.91+4278.3</f>
        <v>36859.96</v>
      </c>
      <c r="N79" s="97">
        <f>8913.81+7027.61+1244.33+15395.91+4278.3</f>
        <v>36859.96</v>
      </c>
      <c r="O79" s="212">
        <f t="shared" si="4"/>
        <v>0</v>
      </c>
      <c r="P79" s="213">
        <v>4</v>
      </c>
      <c r="Q79" s="21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1:42" ht="31.5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19</v>
      </c>
      <c r="I80" s="210">
        <v>14</v>
      </c>
      <c r="J80" s="210">
        <v>22</v>
      </c>
      <c r="K80" s="209">
        <v>22</v>
      </c>
      <c r="L80" s="210">
        <v>21</v>
      </c>
      <c r="M80" s="211">
        <f>14959.64+7384.39+14758.51+362.5+822.42</f>
        <v>38287.46</v>
      </c>
      <c r="N80" s="97">
        <f>14959.64+7384.39+14758.51+362.5+822.42</f>
        <v>38287.46</v>
      </c>
      <c r="O80" s="212">
        <f t="shared" si="4"/>
        <v>0</v>
      </c>
      <c r="P80" s="213">
        <v>10</v>
      </c>
      <c r="Q80" s="214">
        <v>10</v>
      </c>
      <c r="R80" s="215">
        <v>10</v>
      </c>
      <c r="S80" s="97">
        <f>13554.7+2057.24+454.74</f>
        <v>16066.68</v>
      </c>
      <c r="T80" s="97">
        <f>13554.7+2057.24+454.74</f>
        <v>16066.68</v>
      </c>
      <c r="U80" s="97">
        <f t="shared" si="5"/>
        <v>0</v>
      </c>
      <c r="V80" s="161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210">
        <v>2</v>
      </c>
      <c r="J81" s="210">
        <v>4</v>
      </c>
      <c r="K81" s="209">
        <v>4</v>
      </c>
      <c r="L81" s="210">
        <v>3</v>
      </c>
      <c r="M81" s="211">
        <f>287.1+4640.98</f>
        <v>4928.08</v>
      </c>
      <c r="N81" s="97">
        <v>287.10000000000002</v>
      </c>
      <c r="O81" s="212">
        <f t="shared" si="4"/>
        <v>4640.9799999999996</v>
      </c>
      <c r="P81" s="213">
        <v>1</v>
      </c>
      <c r="Q81" s="214">
        <v>1</v>
      </c>
      <c r="R81" s="215">
        <v>1</v>
      </c>
      <c r="S81" s="97">
        <v>2673.24</v>
      </c>
      <c r="T81" s="97">
        <v>2673.24</v>
      </c>
      <c r="U81" s="97">
        <f t="shared" si="5"/>
        <v>0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21</v>
      </c>
      <c r="I82" s="210">
        <v>16</v>
      </c>
      <c r="J82" s="210">
        <v>18</v>
      </c>
      <c r="K82" s="209">
        <v>18</v>
      </c>
      <c r="L82" s="210">
        <v>17</v>
      </c>
      <c r="M82" s="211">
        <f>2626.75+8084.46+600.05+7445.83+942.5+668.95</f>
        <v>20368.539999999997</v>
      </c>
      <c r="N82" s="97">
        <f>2626.75+8084.46+600.05+7445.83+942.5+668.95</f>
        <v>20368.539999999997</v>
      </c>
      <c r="O82" s="212">
        <f t="shared" si="4"/>
        <v>0</v>
      </c>
      <c r="P82" s="213">
        <v>10</v>
      </c>
      <c r="Q82" s="214">
        <v>10</v>
      </c>
      <c r="R82" s="215">
        <v>10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24</v>
      </c>
      <c r="I83" s="210">
        <v>14</v>
      </c>
      <c r="J83" s="210">
        <v>29</v>
      </c>
      <c r="K83" s="209">
        <v>29</v>
      </c>
      <c r="L83" s="210">
        <v>25</v>
      </c>
      <c r="M83" s="211">
        <f>11232.31+3440.1+14435.12-1360.99+3088.95+2556.06</f>
        <v>33391.549999999996</v>
      </c>
      <c r="N83" s="97">
        <f>11232.31+3440.1+14435.12-1360.99+3088.95+2556.06</f>
        <v>33391.549999999996</v>
      </c>
      <c r="O83" s="212">
        <f t="shared" si="4"/>
        <v>0</v>
      </c>
      <c r="P83" s="213">
        <v>7</v>
      </c>
      <c r="Q83" s="21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20</v>
      </c>
      <c r="I84" s="210">
        <v>15</v>
      </c>
      <c r="J84" s="210">
        <v>24</v>
      </c>
      <c r="K84" s="209">
        <v>24</v>
      </c>
      <c r="L84" s="210">
        <v>23</v>
      </c>
      <c r="M84" s="211">
        <f>5429.56+2272.28+2029.9+2976.46+1243.6+3190.51</f>
        <v>17142.310000000001</v>
      </c>
      <c r="N84" s="97">
        <f>5429.56+2272.28+2029.9+2976.46+1243.6+3190.51</f>
        <v>17142.310000000001</v>
      </c>
      <c r="O84" s="212">
        <f t="shared" si="4"/>
        <v>0</v>
      </c>
      <c r="P84" s="213">
        <v>1</v>
      </c>
      <c r="Q84" s="21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45</v>
      </c>
      <c r="I85" s="210">
        <v>36</v>
      </c>
      <c r="J85" s="210">
        <v>62</v>
      </c>
      <c r="K85" s="209">
        <v>62</v>
      </c>
      <c r="L85" s="210">
        <v>61</v>
      </c>
      <c r="M85" s="211">
        <f>15506.09+4089.12+1924.78+1267.55+6546.86+1962.04+654.22+1080.22+392.95+1059.68+8180.45</f>
        <v>42663.959999999992</v>
      </c>
      <c r="N85" s="97">
        <f>15506.09+4089.12+1924.78+1267.55+6546.86+1962.04+654.22+1080.22+392.95+1059.68</f>
        <v>34483.509999999995</v>
      </c>
      <c r="O85" s="212">
        <f t="shared" si="4"/>
        <v>8180.4499999999971</v>
      </c>
      <c r="P85" s="213">
        <v>5</v>
      </c>
      <c r="Q85" s="21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22</v>
      </c>
      <c r="I86" s="210">
        <v>13</v>
      </c>
      <c r="J86" s="210">
        <v>14</v>
      </c>
      <c r="K86" s="209">
        <v>14</v>
      </c>
      <c r="L86" s="210">
        <v>9</v>
      </c>
      <c r="M86" s="211">
        <f>1956.76+1128.38+1752.82</f>
        <v>4837.96</v>
      </c>
      <c r="N86" s="97">
        <f>1956.76+1128.38+1752.82</f>
        <v>4837.96</v>
      </c>
      <c r="O86" s="212">
        <f t="shared" si="4"/>
        <v>0</v>
      </c>
      <c r="P86" s="213">
        <v>2</v>
      </c>
      <c r="Q86" s="21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10</v>
      </c>
      <c r="I87" s="210">
        <v>7</v>
      </c>
      <c r="J87" s="210">
        <v>10</v>
      </c>
      <c r="K87" s="209">
        <v>10</v>
      </c>
      <c r="L87" s="210">
        <v>10</v>
      </c>
      <c r="M87" s="211">
        <f>795.8+4099.92+1305+358.88+1643.65+1026.38</f>
        <v>9229.630000000001</v>
      </c>
      <c r="N87" s="97">
        <f>795.8+4099.92+1305+358.88+1643.65</f>
        <v>8203.25</v>
      </c>
      <c r="O87" s="212">
        <f t="shared" si="4"/>
        <v>1026.380000000001</v>
      </c>
      <c r="P87" s="213">
        <v>6</v>
      </c>
      <c r="Q87" s="214">
        <v>6</v>
      </c>
      <c r="R87" s="215">
        <v>6</v>
      </c>
      <c r="S87" s="97">
        <f>2723.78+3718.48+4265.16+4595.62</f>
        <v>15303.04</v>
      </c>
      <c r="T87" s="97">
        <f>2723.78+3718.48+4265.16+4595.62</f>
        <v>15303.04</v>
      </c>
      <c r="U87" s="97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210"/>
      <c r="J88" s="210"/>
      <c r="K88" s="209"/>
      <c r="L88" s="210"/>
      <c r="M88" s="211"/>
      <c r="N88" s="97"/>
      <c r="O88" s="212">
        <f t="shared" si="4"/>
        <v>0</v>
      </c>
      <c r="P88" s="213">
        <v>6</v>
      </c>
      <c r="Q88" s="21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15</v>
      </c>
      <c r="I89" s="210">
        <v>8</v>
      </c>
      <c r="J89" s="210">
        <v>11</v>
      </c>
      <c r="K89" s="209">
        <v>11</v>
      </c>
      <c r="L89" s="210">
        <v>10</v>
      </c>
      <c r="M89" s="211">
        <f>2874.33+1509.2+1943+315.81+145</f>
        <v>6787.34</v>
      </c>
      <c r="N89" s="97">
        <f>2874.33+1509.2+1943+315.81</f>
        <v>6642.34</v>
      </c>
      <c r="O89" s="212">
        <f t="shared" si="4"/>
        <v>145</v>
      </c>
      <c r="P89" s="213">
        <v>7</v>
      </c>
      <c r="Q89" s="214">
        <v>7</v>
      </c>
      <c r="R89" s="215">
        <v>7</v>
      </c>
      <c r="S89" s="97">
        <f>8161.92+1118.75+3779.58+1127.2+2077.34</f>
        <v>16264.79</v>
      </c>
      <c r="T89" s="97">
        <f>8161.92+1118.75+3779.58+1127.2</f>
        <v>14187.45</v>
      </c>
      <c r="U89" s="97">
        <f t="shared" si="5"/>
        <v>2077.34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51</v>
      </c>
      <c r="I90" s="210">
        <v>47</v>
      </c>
      <c r="J90" s="210">
        <v>82</v>
      </c>
      <c r="K90" s="209">
        <v>82</v>
      </c>
      <c r="L90" s="210">
        <v>66</v>
      </c>
      <c r="M90" s="211">
        <f>14303.46+6714.67+1828.05+13505.93+582.9+8733.75+358.88+2031-1990</f>
        <v>46068.639999999999</v>
      </c>
      <c r="N90" s="97">
        <f>14303.46+6714.67+1828.05+13505.93+582.9+8733.75+358.88+2031-1990</f>
        <v>46068.639999999999</v>
      </c>
      <c r="O90" s="212">
        <f t="shared" si="4"/>
        <v>0</v>
      </c>
      <c r="P90" s="213">
        <v>8</v>
      </c>
      <c r="Q90" s="214">
        <v>8</v>
      </c>
      <c r="R90" s="215">
        <v>8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32</v>
      </c>
      <c r="I91" s="210">
        <v>17</v>
      </c>
      <c r="J91" s="210">
        <v>24</v>
      </c>
      <c r="K91" s="209">
        <v>23</v>
      </c>
      <c r="L91" s="210">
        <v>21</v>
      </c>
      <c r="M91" s="211">
        <f>5384.83+3572.76+8100.09+725+145</f>
        <v>17927.68</v>
      </c>
      <c r="N91" s="97">
        <f>5384.83+3572.76+8100.09+870</f>
        <v>17927.68</v>
      </c>
      <c r="O91" s="212">
        <f t="shared" si="4"/>
        <v>0</v>
      </c>
      <c r="P91" s="213">
        <v>7</v>
      </c>
      <c r="Q91" s="214">
        <v>7</v>
      </c>
      <c r="R91" s="215">
        <v>7</v>
      </c>
      <c r="S91" s="97">
        <f>6219.66+748.35+1502.94</f>
        <v>8470.9500000000007</v>
      </c>
      <c r="T91" s="97">
        <f>6219.66+748.35+1502.94</f>
        <v>8470.9500000000007</v>
      </c>
      <c r="U91" s="97">
        <f t="shared" si="5"/>
        <v>0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26</v>
      </c>
      <c r="I92" s="210">
        <v>15</v>
      </c>
      <c r="J92" s="210">
        <v>23</v>
      </c>
      <c r="K92" s="209">
        <v>23</v>
      </c>
      <c r="L92" s="210">
        <v>21</v>
      </c>
      <c r="M92" s="211">
        <f>2301.54+4352.56+3555.69+1798.94+1481.14+763.69+2342.6+947.21+1435.6</f>
        <v>18978.969999999998</v>
      </c>
      <c r="N92" s="97">
        <f>2301.54+4352.56+3555.69+1798.94+1481.14+763.69+2342.6+947.21</f>
        <v>17543.37</v>
      </c>
      <c r="O92" s="212">
        <f t="shared" si="4"/>
        <v>1435.5999999999985</v>
      </c>
      <c r="P92" s="213">
        <v>1</v>
      </c>
      <c r="Q92" s="21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119</v>
      </c>
      <c r="I93" s="210">
        <v>96</v>
      </c>
      <c r="J93" s="210">
        <v>106</v>
      </c>
      <c r="K93" s="209">
        <v>99</v>
      </c>
      <c r="L93" s="210">
        <v>83</v>
      </c>
      <c r="M93" s="211">
        <f>14656.12+3543.47+2420.25+2112.66+1299.21+2099.6+145+12320.24+7256.93+7391.73+3180.78</f>
        <v>56425.989999999991</v>
      </c>
      <c r="N93" s="97">
        <f>14656.12+3543.47+2420.25+2112.66+1299.21+2099.6+145-10054.69+12320.24+13235.47</f>
        <v>41777.329999999994</v>
      </c>
      <c r="O93" s="212">
        <f t="shared" si="4"/>
        <v>14648.659999999996</v>
      </c>
      <c r="P93" s="213">
        <v>10</v>
      </c>
      <c r="Q93" s="214">
        <v>10</v>
      </c>
      <c r="R93" s="215">
        <v>10</v>
      </c>
      <c r="S93" s="97">
        <f>11083.64+344.5</f>
        <v>11428.14</v>
      </c>
      <c r="T93" s="97">
        <f>11083.64+344.5</f>
        <v>11428.14</v>
      </c>
      <c r="U93" s="97">
        <f t="shared" si="5"/>
        <v>0</v>
      </c>
      <c r="V93" s="161"/>
      <c r="AF93" s="145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44</v>
      </c>
      <c r="I94" s="210">
        <v>26</v>
      </c>
      <c r="J94" s="210">
        <v>30</v>
      </c>
      <c r="K94" s="210">
        <v>27</v>
      </c>
      <c r="L94" s="210">
        <v>23</v>
      </c>
      <c r="M94" s="211">
        <f>6576.32+217.5+2898.52+939.6+1008.45+1200.17+3722.95+4136.2</f>
        <v>20699.710000000003</v>
      </c>
      <c r="N94" s="97">
        <f>6576.32+217.5+2898.52+939.6+1008.45+1200.17+3722.95</f>
        <v>16563.510000000002</v>
      </c>
      <c r="O94" s="212">
        <f t="shared" si="4"/>
        <v>4136.2000000000007</v>
      </c>
      <c r="P94" s="213">
        <v>24</v>
      </c>
      <c r="Q94" s="215">
        <v>24</v>
      </c>
      <c r="R94" s="215">
        <v>24</v>
      </c>
      <c r="S94" s="97">
        <f>18253.04+4245.2+858.65+1546.26+14802.65</f>
        <v>39705.800000000003</v>
      </c>
      <c r="T94" s="97">
        <f>18253.04+4245.2+858.65+1546.26+14802.65</f>
        <v>39705.800000000003</v>
      </c>
      <c r="U94" s="97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34</v>
      </c>
      <c r="I95" s="210">
        <v>16</v>
      </c>
      <c r="J95" s="210">
        <v>24</v>
      </c>
      <c r="K95" s="209">
        <v>24</v>
      </c>
      <c r="L95" s="210">
        <v>20</v>
      </c>
      <c r="M95" s="211">
        <f>2362.32+22110.36+455.21+2039.58+953.22+699.73+275.6+9654.91+1049.22+2185.88</f>
        <v>41786.03</v>
      </c>
      <c r="N95" s="97">
        <f>2362.32+22110.36+455.21+2039.58+953.22+699.73+275.6+9654.91+1049.22</f>
        <v>39600.15</v>
      </c>
      <c r="O95" s="212">
        <f t="shared" si="4"/>
        <v>2185.8799999999974</v>
      </c>
      <c r="P95" s="213">
        <v>16</v>
      </c>
      <c r="Q95" s="214">
        <v>16</v>
      </c>
      <c r="R95" s="215">
        <v>16</v>
      </c>
      <c r="S95" s="97">
        <f>24552.24+1001.28+122.46+1729.98-1</f>
        <v>27404.959999999999</v>
      </c>
      <c r="T95" s="97">
        <f>24552.24+1001.28+122.46+1729.98-1</f>
        <v>27404.959999999999</v>
      </c>
      <c r="U95" s="97">
        <f t="shared" si="5"/>
        <v>0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11</v>
      </c>
      <c r="I96" s="210">
        <v>7</v>
      </c>
      <c r="J96" s="210">
        <v>11</v>
      </c>
      <c r="K96" s="209">
        <v>10</v>
      </c>
      <c r="L96" s="210">
        <v>10</v>
      </c>
      <c r="M96" s="211">
        <f>826.8+2786.41+2401.3</f>
        <v>6014.51</v>
      </c>
      <c r="N96" s="97">
        <f>826.8+2786.41+2401.3</f>
        <v>6014.51</v>
      </c>
      <c r="O96" s="212">
        <f t="shared" si="4"/>
        <v>0</v>
      </c>
      <c r="P96" s="213"/>
      <c r="Q96" s="214"/>
      <c r="R96" s="215"/>
      <c r="S96" s="97"/>
      <c r="T96" s="97"/>
      <c r="U96" s="97">
        <f t="shared" si="5"/>
        <v>0</v>
      </c>
      <c r="V96" s="161"/>
    </row>
    <row r="97" spans="1:35" customFormat="1" ht="31.5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210">
        <v>7</v>
      </c>
      <c r="J97" s="210">
        <v>8</v>
      </c>
      <c r="K97" s="209">
        <v>8</v>
      </c>
      <c r="L97" s="210">
        <v>8</v>
      </c>
      <c r="M97" s="211">
        <f>3171.93+1457.25+380.63</f>
        <v>5009.8100000000004</v>
      </c>
      <c r="N97" s="97">
        <f>3171.93+1457.25+380.63</f>
        <v>5009.8100000000004</v>
      </c>
      <c r="O97" s="212">
        <f t="shared" si="4"/>
        <v>0</v>
      </c>
      <c r="P97" s="213">
        <v>4</v>
      </c>
      <c r="Q97" s="21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</row>
    <row r="98" spans="1:35" customFormat="1" ht="31.5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20</v>
      </c>
      <c r="I98" s="210">
        <v>11</v>
      </c>
      <c r="J98" s="210">
        <v>12</v>
      </c>
      <c r="K98" s="209">
        <v>12</v>
      </c>
      <c r="L98" s="210">
        <v>11</v>
      </c>
      <c r="M98" s="211">
        <f>757.9+551.2+895.7+290+725+841.2</f>
        <v>4061</v>
      </c>
      <c r="N98" s="97">
        <f>757.9+551.2+895.7+290+725+841.2</f>
        <v>4061</v>
      </c>
      <c r="O98" s="212">
        <f t="shared" si="4"/>
        <v>0</v>
      </c>
      <c r="P98" s="213">
        <v>13</v>
      </c>
      <c r="Q98" s="214">
        <v>13</v>
      </c>
      <c r="R98" s="215">
        <v>13</v>
      </c>
      <c r="S98" s="97">
        <f>8034.56+3466.13+4060.73+413.4</f>
        <v>15974.82</v>
      </c>
      <c r="T98" s="97">
        <f>8034.56+3466.13+4060.73+413.4</f>
        <v>15974.82</v>
      </c>
      <c r="U98" s="97">
        <f t="shared" si="5"/>
        <v>0</v>
      </c>
      <c r="V98" s="161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</row>
    <row r="99" spans="1:35" customFormat="1" ht="31.5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29</v>
      </c>
      <c r="I99" s="210">
        <v>21</v>
      </c>
      <c r="J99" s="210">
        <v>27</v>
      </c>
      <c r="K99" s="209">
        <v>27</v>
      </c>
      <c r="L99" s="210">
        <v>20</v>
      </c>
      <c r="M99" s="211">
        <f>4782.23+1353.89+2195.41+1197.7+1340.79+681.5+699.48+1909.51</f>
        <v>14160.51</v>
      </c>
      <c r="N99" s="97">
        <f>4782.23+1353.89+2195.41+1197.7+1340.79+681.57+699.48</f>
        <v>12251.07</v>
      </c>
      <c r="O99" s="212">
        <f t="shared" si="4"/>
        <v>1909.4400000000005</v>
      </c>
      <c r="P99" s="213">
        <v>12</v>
      </c>
      <c r="Q99" s="214">
        <v>12</v>
      </c>
      <c r="R99" s="215">
        <v>11</v>
      </c>
      <c r="S99" s="97">
        <f>12321.66+1021.27+487.2</f>
        <v>13830.130000000001</v>
      </c>
      <c r="T99" s="97">
        <f>12321.66+1021.27+487.2</f>
        <v>13830.130000000001</v>
      </c>
      <c r="U99" s="97">
        <f t="shared" si="5"/>
        <v>0</v>
      </c>
      <c r="V99" s="161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</row>
    <row r="100" spans="1:35" customFormat="1" ht="31.5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33</v>
      </c>
      <c r="I100" s="210">
        <v>12</v>
      </c>
      <c r="J100" s="210">
        <v>21</v>
      </c>
      <c r="K100" s="209">
        <v>21</v>
      </c>
      <c r="L100" s="210">
        <v>20</v>
      </c>
      <c r="M100" s="97">
        <f>10862.96+2375.03+5632.11+356.47+2077.94+875.35</f>
        <v>22179.859999999997</v>
      </c>
      <c r="N100" s="97">
        <f>10862.96+2375.03+5632.11+357.47+2077.94</f>
        <v>21305.51</v>
      </c>
      <c r="O100" s="212">
        <f t="shared" si="4"/>
        <v>874.34999999999854</v>
      </c>
      <c r="P100" s="213">
        <v>10</v>
      </c>
      <c r="Q100" s="214">
        <v>10</v>
      </c>
      <c r="R100" s="215">
        <v>10</v>
      </c>
      <c r="S100" s="97">
        <f>4780.1+2135.9</f>
        <v>6916</v>
      </c>
      <c r="T100" s="97">
        <f>4780.1+2135.9</f>
        <v>6916</v>
      </c>
      <c r="U100" s="97">
        <f t="shared" si="5"/>
        <v>0</v>
      </c>
      <c r="V100" s="161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45"/>
      <c r="AG100" s="134"/>
      <c r="AH100" s="134"/>
      <c r="AI100" s="134"/>
    </row>
    <row r="101" spans="1:35" customFormat="1" ht="31.5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102</v>
      </c>
      <c r="I101" s="210">
        <v>65</v>
      </c>
      <c r="J101" s="210">
        <v>74</v>
      </c>
      <c r="K101" s="209">
        <v>74</v>
      </c>
      <c r="L101" s="210">
        <v>55</v>
      </c>
      <c r="M101" s="97">
        <f>16276.16+4466.66+1078.5+4011.53+435+1493.5+2243.15+1864.7+4804.86+840+5133.33</f>
        <v>42647.39</v>
      </c>
      <c r="N101" s="97">
        <f>16276.16+4466.66+1078.5+4011.53+435+1493.5+2243.15-144.3-2415.9+5133.33+2766.9</f>
        <v>35344.53</v>
      </c>
      <c r="O101" s="212">
        <f t="shared" si="4"/>
        <v>7302.8600000000006</v>
      </c>
      <c r="P101" s="213">
        <v>36</v>
      </c>
      <c r="Q101" s="214">
        <v>36</v>
      </c>
      <c r="R101" s="215">
        <v>35</v>
      </c>
      <c r="S101" s="97">
        <f>21329.45-2252.12+532.3+345.99+26455.28+1.67+3039.85-3960.98+551.2+1658</f>
        <v>47700.639999999992</v>
      </c>
      <c r="T101" s="97">
        <f>21329.45-2252.12+532.3+345.99+26455.28+1.67+3039.85-3960.98+2209.2</f>
        <v>47700.639999999992</v>
      </c>
      <c r="U101" s="97">
        <f t="shared" si="5"/>
        <v>0</v>
      </c>
      <c r="V101" s="161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45"/>
      <c r="AI101" s="134"/>
    </row>
    <row r="102" spans="1:35" customFormat="1" ht="31.5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13</v>
      </c>
      <c r="I102" s="217">
        <v>8</v>
      </c>
      <c r="J102" s="217">
        <v>12</v>
      </c>
      <c r="K102" s="216">
        <v>12</v>
      </c>
      <c r="L102" s="217">
        <v>11</v>
      </c>
      <c r="M102" s="218">
        <f>3259.83+1328.19+2964.21+8477.2</f>
        <v>16029.43</v>
      </c>
      <c r="N102" s="147">
        <f>3259.83+1328.19+2964.21+8477.2</f>
        <v>16029.43</v>
      </c>
      <c r="O102" s="212">
        <f t="shared" si="4"/>
        <v>0</v>
      </c>
      <c r="P102" s="219">
        <v>4</v>
      </c>
      <c r="Q102" s="220">
        <v>4</v>
      </c>
      <c r="R102" s="221">
        <v>4</v>
      </c>
      <c r="S102" s="147">
        <f>1193.3+5843.89</f>
        <v>7037.1900000000005</v>
      </c>
      <c r="T102" s="147">
        <f>1193.3+5843.89</f>
        <v>7037.1900000000005</v>
      </c>
      <c r="U102" s="147">
        <f t="shared" si="5"/>
        <v>0</v>
      </c>
      <c r="V102" s="161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</row>
    <row r="103" spans="1:35" customFormat="1" ht="31.5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26</v>
      </c>
      <c r="I103" s="210">
        <v>6</v>
      </c>
      <c r="J103" s="210">
        <v>8</v>
      </c>
      <c r="K103" s="209">
        <v>8</v>
      </c>
      <c r="L103" s="210">
        <v>8</v>
      </c>
      <c r="M103" s="211">
        <f>699.33+580+1941.55</f>
        <v>3220.88</v>
      </c>
      <c r="N103" s="97">
        <f>699.33+580+1941.55</f>
        <v>3220.88</v>
      </c>
      <c r="O103" s="212">
        <f t="shared" si="4"/>
        <v>0</v>
      </c>
      <c r="P103" s="215"/>
      <c r="Q103" s="214"/>
      <c r="R103" s="215"/>
      <c r="S103" s="97"/>
      <c r="T103" s="97"/>
      <c r="U103" s="147">
        <f t="shared" si="5"/>
        <v>0</v>
      </c>
      <c r="V103" s="161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</row>
    <row r="104" spans="1:35" customFormat="1" ht="31.5" x14ac:dyDescent="0.25">
      <c r="A104" s="155"/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210">
        <v>2</v>
      </c>
      <c r="J104" s="210">
        <v>2</v>
      </c>
      <c r="K104" s="209">
        <v>2</v>
      </c>
      <c r="L104" s="210">
        <v>2</v>
      </c>
      <c r="M104" s="211">
        <v>2252.12</v>
      </c>
      <c r="N104" s="97">
        <v>2252.12</v>
      </c>
      <c r="O104" s="212">
        <f t="shared" si="4"/>
        <v>0</v>
      </c>
      <c r="P104" s="215"/>
      <c r="Q104" s="214"/>
      <c r="R104" s="215"/>
      <c r="S104" s="97"/>
      <c r="T104" s="97"/>
      <c r="U104" s="97">
        <f t="shared" si="5"/>
        <v>0</v>
      </c>
      <c r="V104" s="161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45"/>
      <c r="AG104" s="134"/>
      <c r="AH104" s="134"/>
      <c r="AI104" s="134"/>
    </row>
    <row r="105" spans="1:35" customFormat="1" x14ac:dyDescent="0.25">
      <c r="A105" s="155"/>
      <c r="B105" s="362"/>
      <c r="C105" s="362"/>
      <c r="D105" s="362"/>
      <c r="E105" s="362"/>
      <c r="F105" s="362"/>
      <c r="G105" s="362"/>
      <c r="H105" s="119">
        <f t="shared" ref="H105:P105" si="7">SUM(H10:H104)</f>
        <v>2646</v>
      </c>
      <c r="I105" s="223">
        <f t="shared" si="7"/>
        <v>1661</v>
      </c>
      <c r="J105" s="223">
        <f t="shared" si="7"/>
        <v>2258</v>
      </c>
      <c r="K105" s="222">
        <f t="shared" si="7"/>
        <v>2200</v>
      </c>
      <c r="L105" s="223">
        <f t="shared" si="7"/>
        <v>1956</v>
      </c>
      <c r="M105" s="224">
        <f t="shared" si="7"/>
        <v>1641339.17</v>
      </c>
      <c r="N105" s="151">
        <f t="shared" si="7"/>
        <v>1498848.3500000003</v>
      </c>
      <c r="O105" s="224">
        <f t="shared" si="7"/>
        <v>142490.82</v>
      </c>
      <c r="P105" s="225">
        <f t="shared" si="7"/>
        <v>755</v>
      </c>
      <c r="Q105" s="226">
        <f>SUM(Q10:Q104)</f>
        <v>754</v>
      </c>
      <c r="R105" s="225">
        <f>SUM(R11:R104)</f>
        <v>728</v>
      </c>
      <c r="S105" s="151">
        <f>SUM(S10:S104)</f>
        <v>1039939.2799999999</v>
      </c>
      <c r="T105" s="151">
        <f>SUM(T10:T104)</f>
        <v>1028444.2099999998</v>
      </c>
      <c r="U105" s="151">
        <f>SUM(U10:U104)</f>
        <v>11495.069999999998</v>
      </c>
      <c r="V105" s="244"/>
      <c r="W105" s="245"/>
      <c r="X105" s="246"/>
      <c r="Y105" s="245"/>
      <c r="Z105" s="246"/>
      <c r="AA105" s="245"/>
      <c r="AB105" s="246"/>
      <c r="AC105" s="246"/>
      <c r="AD105" s="246"/>
      <c r="AE105" s="246"/>
      <c r="AF105" s="245"/>
      <c r="AG105" s="245"/>
      <c r="AH105" s="236"/>
      <c r="AI105" s="134"/>
    </row>
    <row r="106" spans="1:35" customFormat="1" x14ac:dyDescent="0.25">
      <c r="A106" s="155"/>
      <c r="B106" s="184"/>
      <c r="C106" s="184"/>
      <c r="D106" s="184"/>
      <c r="E106" s="184"/>
      <c r="F106" s="184"/>
      <c r="G106" s="184"/>
      <c r="H106" s="184"/>
      <c r="I106" s="184"/>
      <c r="J106" s="184"/>
      <c r="K106" s="227"/>
      <c r="L106" s="227"/>
      <c r="M106" s="228"/>
      <c r="N106" s="185"/>
      <c r="O106" s="228"/>
      <c r="P106" s="228"/>
      <c r="Q106" s="228"/>
      <c r="R106" s="228"/>
      <c r="S106" s="185"/>
      <c r="T106" s="185"/>
      <c r="U106" s="186"/>
      <c r="V106" s="246"/>
      <c r="W106" s="245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46"/>
      <c r="AH106" s="235"/>
      <c r="AI106" s="134"/>
    </row>
    <row r="107" spans="1:35" customFormat="1" x14ac:dyDescent="0.25">
      <c r="A107" s="155"/>
      <c r="B107" s="184"/>
      <c r="C107" s="184"/>
      <c r="D107" s="184"/>
      <c r="E107" s="184"/>
      <c r="F107" s="184"/>
      <c r="G107" s="184"/>
      <c r="H107" s="184"/>
      <c r="I107" s="184"/>
      <c r="J107" s="184"/>
      <c r="K107" s="227"/>
      <c r="L107" s="227"/>
      <c r="M107" s="228"/>
      <c r="N107" s="185"/>
      <c r="O107" s="228"/>
      <c r="P107" s="228"/>
      <c r="Q107" s="228"/>
      <c r="R107" s="228"/>
      <c r="S107" s="185"/>
      <c r="T107" s="185"/>
      <c r="U107" s="186"/>
      <c r="V107" s="245"/>
      <c r="W107" s="245"/>
      <c r="X107" s="246"/>
      <c r="Y107" s="246"/>
      <c r="Z107" s="246"/>
      <c r="AA107" s="246"/>
      <c r="AB107" s="246"/>
      <c r="AC107" s="246"/>
      <c r="AD107" s="246"/>
      <c r="AE107" s="246"/>
      <c r="AF107" s="245"/>
      <c r="AG107" s="245"/>
      <c r="AH107" s="234"/>
      <c r="AI107" s="145"/>
    </row>
    <row r="108" spans="1:35" customFormat="1" x14ac:dyDescent="0.25">
      <c r="A108" s="155"/>
      <c r="B108" s="184"/>
      <c r="C108" s="184"/>
      <c r="D108" s="184"/>
      <c r="E108" s="184"/>
      <c r="F108" s="184"/>
      <c r="G108" s="184"/>
      <c r="H108" s="184"/>
      <c r="I108" s="184"/>
      <c r="J108" s="184"/>
      <c r="K108" s="227"/>
      <c r="L108" s="227"/>
      <c r="M108" s="228"/>
      <c r="N108" s="185"/>
      <c r="O108" s="228"/>
      <c r="P108" s="228"/>
      <c r="Q108" s="228"/>
      <c r="R108" s="228"/>
      <c r="S108" s="185"/>
      <c r="T108" s="185"/>
      <c r="U108" s="186"/>
      <c r="V108" s="145"/>
      <c r="W108" s="145"/>
      <c r="X108" s="134"/>
      <c r="Y108" s="134"/>
      <c r="Z108" s="134"/>
      <c r="AA108" s="134"/>
      <c r="AB108" s="134"/>
      <c r="AC108" s="134"/>
      <c r="AD108" s="134"/>
      <c r="AE108" s="134"/>
      <c r="AF108" s="234"/>
      <c r="AG108" s="234"/>
      <c r="AH108" s="235"/>
      <c r="AI108" s="134"/>
    </row>
    <row r="109" spans="1:35" customFormat="1" x14ac:dyDescent="0.25">
      <c r="A109" s="155"/>
      <c r="B109" s="184"/>
      <c r="C109" s="184"/>
      <c r="D109" s="184"/>
      <c r="E109" s="184"/>
      <c r="F109" s="184"/>
      <c r="G109" s="184"/>
      <c r="H109" s="184"/>
      <c r="I109" s="184"/>
      <c r="J109" s="184"/>
      <c r="K109" s="227"/>
      <c r="L109" s="227"/>
      <c r="M109" s="228"/>
      <c r="N109" s="185"/>
      <c r="O109" s="228"/>
      <c r="P109" s="228"/>
      <c r="Q109" s="228"/>
      <c r="R109" s="228"/>
      <c r="S109" s="185"/>
      <c r="T109" s="185"/>
      <c r="U109" s="186"/>
      <c r="V109" s="145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235"/>
      <c r="AG109" s="235"/>
      <c r="AH109" s="234"/>
      <c r="AI109" s="134"/>
    </row>
    <row r="110" spans="1:35" customFormat="1" x14ac:dyDescent="0.25">
      <c r="A110" s="155"/>
      <c r="B110" s="184"/>
      <c r="C110" s="184"/>
      <c r="D110" s="184"/>
      <c r="E110" s="184"/>
      <c r="F110" s="184"/>
      <c r="G110" s="184"/>
      <c r="H110" s="184"/>
      <c r="I110" s="184"/>
      <c r="J110" s="184"/>
      <c r="K110" s="227"/>
      <c r="L110" s="227"/>
      <c r="M110" s="228"/>
      <c r="N110" s="185"/>
      <c r="O110" s="228"/>
      <c r="P110" s="228"/>
      <c r="Q110" s="228"/>
      <c r="R110" s="228"/>
      <c r="S110" s="185"/>
      <c r="T110" s="185"/>
      <c r="U110" s="186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235"/>
      <c r="AG110" s="235"/>
      <c r="AH110" s="234"/>
      <c r="AI110" s="134"/>
    </row>
    <row r="111" spans="1:35" customFormat="1" x14ac:dyDescent="0.25">
      <c r="A111" s="155"/>
      <c r="B111" s="184"/>
      <c r="C111" s="184"/>
      <c r="D111" s="184"/>
      <c r="E111" s="184"/>
      <c r="F111" s="184"/>
      <c r="G111" s="184"/>
      <c r="H111" s="184"/>
      <c r="I111" s="184"/>
      <c r="J111" s="184"/>
      <c r="K111" s="227"/>
      <c r="L111" s="227"/>
      <c r="M111" s="228"/>
      <c r="N111" s="185"/>
      <c r="O111" s="228"/>
      <c r="P111" s="228"/>
      <c r="Q111" s="228"/>
      <c r="R111" s="228"/>
      <c r="S111" s="185"/>
      <c r="T111" s="185"/>
      <c r="U111" s="186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235"/>
      <c r="AG111" s="235"/>
      <c r="AH111" s="235"/>
      <c r="AI111" s="134"/>
    </row>
    <row r="112" spans="1:35" customFormat="1" x14ac:dyDescent="0.25">
      <c r="A112" s="155"/>
      <c r="B112" s="184"/>
      <c r="C112" s="184"/>
      <c r="D112" s="184"/>
      <c r="E112" s="184"/>
      <c r="F112" s="184"/>
      <c r="G112" s="184"/>
      <c r="H112" s="184"/>
      <c r="I112" s="184"/>
      <c r="J112" s="184"/>
      <c r="K112" s="227"/>
      <c r="L112" s="227"/>
      <c r="M112" s="228"/>
      <c r="N112" s="185"/>
      <c r="O112" s="228"/>
      <c r="P112" s="228"/>
      <c r="Q112" s="228"/>
      <c r="R112" s="228"/>
      <c r="S112" s="185"/>
      <c r="T112" s="185"/>
      <c r="U112" s="186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235"/>
      <c r="AG112" s="235"/>
      <c r="AH112" s="235"/>
      <c r="AI112" s="134"/>
    </row>
    <row r="113" spans="11:34" customFormat="1" ht="15" x14ac:dyDescent="0.25">
      <c r="K113" s="243"/>
      <c r="L113" s="243"/>
      <c r="M113" s="243"/>
      <c r="N113" s="55"/>
      <c r="O113" s="243"/>
      <c r="P113" s="243"/>
      <c r="Q113" s="243"/>
      <c r="R113" s="243"/>
      <c r="S113" s="55"/>
      <c r="T113" s="55"/>
      <c r="U113" s="59"/>
      <c r="AF113" s="235"/>
      <c r="AG113" s="235"/>
      <c r="AH113" s="235"/>
    </row>
    <row r="114" spans="11:34" customFormat="1" ht="15" x14ac:dyDescent="0.25">
      <c r="K114" s="243"/>
      <c r="L114" s="243"/>
      <c r="M114" s="243"/>
      <c r="N114" s="55"/>
      <c r="O114" s="243"/>
      <c r="P114" s="243"/>
      <c r="Q114" s="243"/>
      <c r="R114" s="243"/>
      <c r="S114" s="55"/>
      <c r="T114" s="55"/>
      <c r="AF114" s="235"/>
      <c r="AG114" s="235"/>
      <c r="AH114" s="23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224" priority="11" stopIfTrue="1" operator="equal">
      <formula>0</formula>
    </cfRule>
  </conditionalFormatting>
  <conditionalFormatting sqref="AL45">
    <cfRule type="cellIs" dxfId="223" priority="10" stopIfTrue="1" operator="equal">
      <formula>0</formula>
    </cfRule>
  </conditionalFormatting>
  <conditionalFormatting sqref="T45">
    <cfRule type="cellIs" dxfId="222" priority="9" stopIfTrue="1" operator="equal">
      <formula>0</formula>
    </cfRule>
  </conditionalFormatting>
  <conditionalFormatting sqref="T45">
    <cfRule type="cellIs" dxfId="221" priority="8" stopIfTrue="1" operator="equal">
      <formula>0</formula>
    </cfRule>
  </conditionalFormatting>
  <conditionalFormatting sqref="T45">
    <cfRule type="cellIs" dxfId="220" priority="7" stopIfTrue="1" operator="equal">
      <formula>0</formula>
    </cfRule>
  </conditionalFormatting>
  <conditionalFormatting sqref="T45">
    <cfRule type="cellIs" dxfId="219" priority="6" stopIfTrue="1" operator="equal">
      <formula>0</formula>
    </cfRule>
  </conditionalFormatting>
  <conditionalFormatting sqref="T45">
    <cfRule type="cellIs" dxfId="218" priority="5" stopIfTrue="1" operator="equal">
      <formula>0</formula>
    </cfRule>
  </conditionalFormatting>
  <conditionalFormatting sqref="T45">
    <cfRule type="cellIs" dxfId="217" priority="4" stopIfTrue="1" operator="equal">
      <formula>0</formula>
    </cfRule>
  </conditionalFormatting>
  <conditionalFormatting sqref="T45">
    <cfRule type="cellIs" dxfId="216" priority="3" stopIfTrue="1" operator="equal">
      <formula>0</formula>
    </cfRule>
  </conditionalFormatting>
  <conditionalFormatting sqref="T45">
    <cfRule type="cellIs" dxfId="215" priority="2" stopIfTrue="1" operator="equal">
      <formula>0</formula>
    </cfRule>
  </conditionalFormatting>
  <conditionalFormatting sqref="T45">
    <cfRule type="cellIs" dxfId="214" priority="1" stopIfTrue="1" operator="equal">
      <formula>0</formula>
    </cfRule>
  </conditionalFormatting>
  <pageMargins left="0.94488188976377963" right="0.15748031496062992" top="0.19685039370078741" bottom="0.19685039370078741" header="0.31496062992125984" footer="0.31496062992125984"/>
  <pageSetup paperSize="9" scale="30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B88" zoomScale="60" zoomScaleNormal="60" workbookViewId="0">
      <selection activeCell="T105" sqref="T105"/>
    </sheetView>
  </sheetViews>
  <sheetFormatPr defaultRowHeight="15.75" x14ac:dyDescent="0.25"/>
  <cols>
    <col min="1" max="1" width="6.28515625" style="155" hidden="1" customWidth="1"/>
    <col min="2" max="2" width="7.425781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0" style="184" customWidth="1"/>
    <col min="7" max="7" width="18.5703125" style="184" customWidth="1"/>
    <col min="8" max="8" width="10.7109375" style="184" customWidth="1"/>
    <col min="9" max="9" width="9.140625" style="184" customWidth="1"/>
    <col min="10" max="12" width="9.140625" style="227" customWidth="1"/>
    <col min="13" max="13" width="16.5703125" style="228" customWidth="1"/>
    <col min="14" max="14" width="15.140625" style="228" customWidth="1"/>
    <col min="15" max="15" width="19.5703125" style="228" customWidth="1"/>
    <col min="16" max="18" width="11.85546875" style="228" customWidth="1"/>
    <col min="19" max="19" width="16.7109375" style="185" customWidth="1"/>
    <col min="20" max="20" width="17.140625" style="185" customWidth="1"/>
    <col min="21" max="21" width="17.85546875" style="186" customWidth="1"/>
    <col min="22" max="22" width="15" style="134" customWidth="1"/>
    <col min="23" max="23" width="14" style="134" customWidth="1"/>
    <col min="24" max="24" width="9.140625" style="134" customWidth="1"/>
    <col min="25" max="25" width="9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3" style="134" customWidth="1"/>
    <col min="35" max="35" width="9.140625" style="134" customWidth="1"/>
    <col min="36" max="36" width="11.7109375" style="134" customWidth="1"/>
    <col min="37" max="42" width="9.140625" style="134" customWidth="1"/>
  </cols>
  <sheetData>
    <row r="1" spans="1:40" customFormat="1" ht="16.5" thickBot="1" x14ac:dyDescent="0.3">
      <c r="A1" s="155"/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</row>
    <row r="2" spans="1:40" customFormat="1" x14ac:dyDescent="0.25">
      <c r="A2" s="155"/>
      <c r="B2" s="348" t="s">
        <v>321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</row>
    <row r="3" spans="1:40" customFormat="1" x14ac:dyDescent="0.25">
      <c r="A3" s="155"/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</row>
    <row r="4" spans="1:40" customFormat="1" x14ac:dyDescent="0.25">
      <c r="A4" s="155"/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</row>
    <row r="5" spans="1:40" customFormat="1" x14ac:dyDescent="0.25">
      <c r="A5" s="155"/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</row>
    <row r="6" spans="1:40" customFormat="1" ht="16.5" thickBot="1" x14ac:dyDescent="0.3">
      <c r="A6" s="155"/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</row>
    <row r="7" spans="1:40" customFormat="1" ht="16.5" thickBot="1" x14ac:dyDescent="0.3">
      <c r="A7" s="155"/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322</v>
      </c>
      <c r="Q7" s="360"/>
      <c r="R7" s="360"/>
      <c r="S7" s="360"/>
      <c r="T7" s="360"/>
      <c r="U7" s="361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</row>
    <row r="8" spans="1:40" customFormat="1" ht="299.25" x14ac:dyDescent="0.25">
      <c r="A8" s="155"/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94" t="s">
        <v>14</v>
      </c>
      <c r="T8" s="94" t="s">
        <v>15</v>
      </c>
      <c r="U8" s="94" t="s">
        <v>16</v>
      </c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</row>
    <row r="9" spans="1:40" customFormat="1" x14ac:dyDescent="0.25">
      <c r="A9" s="155"/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122">
        <f t="shared" si="0"/>
        <v>18</v>
      </c>
      <c r="T9" s="130">
        <f t="shared" si="0"/>
        <v>19</v>
      </c>
      <c r="U9" s="122">
        <f t="shared" si="0"/>
        <v>20</v>
      </c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</row>
    <row r="10" spans="1:40" customFormat="1" ht="31.5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44</v>
      </c>
      <c r="I10" s="210">
        <v>27</v>
      </c>
      <c r="J10" s="210">
        <v>30</v>
      </c>
      <c r="K10" s="209">
        <v>30</v>
      </c>
      <c r="L10" s="210">
        <v>29</v>
      </c>
      <c r="M10" s="211">
        <f>8818.63+2629.32+1661.28+2228.94+580+2232.29</f>
        <v>18150.46</v>
      </c>
      <c r="N10" s="211">
        <f>8818.63+2629.32+1661.28+2228.94+580+2232.29</f>
        <v>18150.46</v>
      </c>
      <c r="O10" s="212">
        <f xml:space="preserve"> (M10-N10)</f>
        <v>0</v>
      </c>
      <c r="P10" s="213">
        <v>8</v>
      </c>
      <c r="Q10" s="214">
        <v>8</v>
      </c>
      <c r="R10" s="215">
        <v>8</v>
      </c>
      <c r="S10" s="97">
        <f>4246.75+895.7+2557.8</f>
        <v>7700.25</v>
      </c>
      <c r="T10" s="97">
        <f>4246.75+895.7+2557.8</f>
        <v>7700.25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customFormat="1" ht="31.5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16</v>
      </c>
      <c r="I11" s="210">
        <v>13</v>
      </c>
      <c r="J11" s="210">
        <v>13</v>
      </c>
      <c r="K11" s="209">
        <v>13</v>
      </c>
      <c r="L11" s="210">
        <v>13</v>
      </c>
      <c r="M11" s="211">
        <f>1778.86+580+1740+464+580</f>
        <v>5142.8599999999997</v>
      </c>
      <c r="N11" s="211">
        <f>1778.86+580+1740+464+580</f>
        <v>5142.8599999999997</v>
      </c>
      <c r="O11" s="212">
        <f t="shared" ref="O11:O74" si="1" xml:space="preserve"> (M11-N11)</f>
        <v>0</v>
      </c>
      <c r="P11" s="213">
        <v>2</v>
      </c>
      <c r="Q11" s="214">
        <v>2</v>
      </c>
      <c r="R11" s="215">
        <v>2</v>
      </c>
      <c r="S11" s="97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customForma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210"/>
      <c r="J12" s="210"/>
      <c r="K12" s="209"/>
      <c r="L12" s="210"/>
      <c r="M12" s="211"/>
      <c r="N12" s="211"/>
      <c r="O12" s="212">
        <f t="shared" si="1"/>
        <v>0</v>
      </c>
      <c r="P12" s="213">
        <v>3</v>
      </c>
      <c r="Q12" s="214">
        <v>3</v>
      </c>
      <c r="R12" s="215">
        <v>3</v>
      </c>
      <c r="S12" s="97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customFormat="1" ht="31.5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38</v>
      </c>
      <c r="I13" s="210">
        <v>27</v>
      </c>
      <c r="J13" s="210">
        <v>38</v>
      </c>
      <c r="K13" s="209">
        <v>25</v>
      </c>
      <c r="L13" s="210">
        <v>25</v>
      </c>
      <c r="M13" s="211">
        <f>272.84+2699.54+4096.17+3682.51+1608.75+939.54</f>
        <v>13299.350000000002</v>
      </c>
      <c r="N13" s="211">
        <f>272.84+2699.54+4096.17+939.54</f>
        <v>8008.09</v>
      </c>
      <c r="O13" s="212">
        <f t="shared" si="1"/>
        <v>5291.260000000002</v>
      </c>
      <c r="P13" s="213">
        <v>6</v>
      </c>
      <c r="Q13" s="214">
        <v>6</v>
      </c>
      <c r="R13" s="215">
        <v>6</v>
      </c>
      <c r="S13" s="97">
        <f>7385.53+1228.66+7042.2+301.46</f>
        <v>15957.849999999999</v>
      </c>
      <c r="T13" s="97">
        <f>7385.53+1228.66+7042.2</f>
        <v>15656.39</v>
      </c>
      <c r="U13" s="97">
        <f t="shared" si="2"/>
        <v>301.45999999999913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customFormat="1" ht="31.5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38</v>
      </c>
      <c r="I14" s="210">
        <v>24</v>
      </c>
      <c r="J14" s="210">
        <v>30</v>
      </c>
      <c r="K14" s="209">
        <v>30</v>
      </c>
      <c r="L14" s="210">
        <v>28</v>
      </c>
      <c r="M14" s="211">
        <f>4932.74+3257.04+137+2487.39+344.5+725+7097.92+895.7+6261.98</f>
        <v>26139.269999999997</v>
      </c>
      <c r="N14" s="211">
        <f>4932.74+3257.04+137+2487.39+344.5+725</f>
        <v>11883.669999999998</v>
      </c>
      <c r="O14" s="212">
        <f t="shared" si="1"/>
        <v>14255.599999999999</v>
      </c>
      <c r="P14" s="213">
        <v>7</v>
      </c>
      <c r="Q14" s="214">
        <v>7</v>
      </c>
      <c r="R14" s="215">
        <v>6</v>
      </c>
      <c r="S14" s="97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customFormat="1" ht="31.5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34</v>
      </c>
      <c r="I15" s="210">
        <v>24</v>
      </c>
      <c r="J15" s="210">
        <v>29</v>
      </c>
      <c r="K15" s="209">
        <v>29</v>
      </c>
      <c r="L15" s="210">
        <v>29</v>
      </c>
      <c r="M15" s="211">
        <f>16942.87+1278.76+580+108.75+616.25+797.5</f>
        <v>20324.129999999997</v>
      </c>
      <c r="N15" s="211">
        <f>16942.87+1278.76+580+108.75</f>
        <v>18910.379999999997</v>
      </c>
      <c r="O15" s="212">
        <f t="shared" si="1"/>
        <v>1413.75</v>
      </c>
      <c r="P15" s="213">
        <v>15</v>
      </c>
      <c r="Q15" s="214">
        <v>15</v>
      </c>
      <c r="R15" s="215">
        <v>15</v>
      </c>
      <c r="S15" s="97">
        <f>13813.9+1491.1+372.78</f>
        <v>15677.78</v>
      </c>
      <c r="T15" s="97">
        <f>13813.9+1491.1</f>
        <v>15305</v>
      </c>
      <c r="U15" s="97">
        <f t="shared" si="2"/>
        <v>372.78000000000065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customFormat="1" ht="31.5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210"/>
      <c r="J16" s="210"/>
      <c r="K16" s="209"/>
      <c r="L16" s="210"/>
      <c r="M16" s="211"/>
      <c r="N16" s="211"/>
      <c r="O16" s="212">
        <f t="shared" si="1"/>
        <v>0</v>
      </c>
      <c r="P16" s="213"/>
      <c r="Q16" s="214"/>
      <c r="R16" s="215"/>
      <c r="S16" s="97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46</v>
      </c>
      <c r="I17" s="210">
        <v>28</v>
      </c>
      <c r="J17" s="210">
        <v>35</v>
      </c>
      <c r="K17" s="209">
        <v>23</v>
      </c>
      <c r="L17" s="210">
        <v>22</v>
      </c>
      <c r="M17" s="211">
        <f>7235.14+4416.12+1559.66+658.56+1087.5+652.5+1377.5+1615.75+2829.41</f>
        <v>21432.14</v>
      </c>
      <c r="N17" s="211">
        <f>7235.14+4416.12+1559.66+658.56+1087.5</f>
        <v>14956.98</v>
      </c>
      <c r="O17" s="212">
        <f t="shared" si="1"/>
        <v>6475.16</v>
      </c>
      <c r="P17" s="213">
        <v>1</v>
      </c>
      <c r="Q17" s="214">
        <v>1</v>
      </c>
      <c r="R17" s="215">
        <v>1</v>
      </c>
      <c r="S17" s="97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35</v>
      </c>
      <c r="I18" s="210">
        <v>27</v>
      </c>
      <c r="J18" s="210">
        <v>33</v>
      </c>
      <c r="K18" s="210">
        <v>33</v>
      </c>
      <c r="L18" s="210">
        <v>30</v>
      </c>
      <c r="M18" s="211">
        <f>2118.92+12936.58+4403.89+2411.49+2972.12+403.47+2654.68+806.94+1188.45</f>
        <v>29896.539999999997</v>
      </c>
      <c r="N18" s="211">
        <f>2118.92+12936.58+4403.89+2411.49+2972.12+403.4</f>
        <v>25246.399999999998</v>
      </c>
      <c r="O18" s="212">
        <f t="shared" si="1"/>
        <v>4650.1399999999994</v>
      </c>
      <c r="P18" s="213">
        <v>7</v>
      </c>
      <c r="Q18" s="215">
        <v>7</v>
      </c>
      <c r="R18" s="215">
        <v>6</v>
      </c>
      <c r="S18" s="97">
        <f>14748.55+934.31</f>
        <v>15682.859999999999</v>
      </c>
      <c r="T18" s="97">
        <f>14748.55+934.31</f>
        <v>15682.859999999999</v>
      </c>
      <c r="U18" s="97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34</v>
      </c>
      <c r="I19" s="210">
        <v>21</v>
      </c>
      <c r="J19" s="210">
        <v>36</v>
      </c>
      <c r="K19" s="209">
        <v>32</v>
      </c>
      <c r="L19" s="210">
        <v>30</v>
      </c>
      <c r="M19" s="211">
        <f>5345.36+3385.2+4242.79+7468.83+387.77+2322.34+2132.59</f>
        <v>25284.880000000001</v>
      </c>
      <c r="N19" s="211">
        <f>5345.36+3385.2+4242.79+7468.83+387.77</f>
        <v>20829.95</v>
      </c>
      <c r="O19" s="212">
        <f t="shared" si="1"/>
        <v>4454.93</v>
      </c>
      <c r="P19" s="213">
        <v>15</v>
      </c>
      <c r="Q19" s="214">
        <v>15</v>
      </c>
      <c r="R19" s="215">
        <v>15</v>
      </c>
      <c r="S19" s="97">
        <f>12589.36+4299.58+3922.41+8458.25+3936.43</f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48</v>
      </c>
      <c r="I20" s="210">
        <v>28</v>
      </c>
      <c r="J20" s="210">
        <v>37</v>
      </c>
      <c r="K20" s="210">
        <v>33</v>
      </c>
      <c r="L20" s="210">
        <v>30</v>
      </c>
      <c r="M20" s="211">
        <f>5728.14+3727.02+315.94+2507.59+652.5+2191.47+1855.28+358.88+2503.15+5297.67+1579.05</f>
        <v>26716.69</v>
      </c>
      <c r="N20" s="211">
        <f>5728.14+3727.02+315.94+2507.59+652.5+2191.47+1855.28+2371.7</f>
        <v>19349.64</v>
      </c>
      <c r="O20" s="212">
        <f t="shared" si="1"/>
        <v>7367.0499999999993</v>
      </c>
      <c r="P20" s="213">
        <v>28</v>
      </c>
      <c r="Q20" s="215">
        <v>28</v>
      </c>
      <c r="R20" s="215">
        <v>28</v>
      </c>
      <c r="S20" s="97">
        <f>36404.57+1488.24+1902.09+2012.82</f>
        <v>41807.719999999994</v>
      </c>
      <c r="T20" s="97">
        <f>36404.57+1488.24+1902.09</f>
        <v>39794.899999999994</v>
      </c>
      <c r="U20" s="97">
        <f t="shared" si="2"/>
        <v>2012.8199999999997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25</v>
      </c>
      <c r="I21" s="210">
        <v>13</v>
      </c>
      <c r="J21" s="210">
        <v>19</v>
      </c>
      <c r="K21" s="209">
        <v>19</v>
      </c>
      <c r="L21" s="210">
        <v>19</v>
      </c>
      <c r="M21" s="211">
        <f>3586.84+1791.4+1337.88+413.4+1061.35+942.5+2425.9+5526.4+435</f>
        <v>17520.669999999998</v>
      </c>
      <c r="N21" s="211">
        <f>3586.84+1791.4+1337.88+413.4+1061.35+942.5+2425.9</f>
        <v>11559.269999999999</v>
      </c>
      <c r="O21" s="212">
        <f t="shared" si="1"/>
        <v>5961.4</v>
      </c>
      <c r="P21" s="213">
        <v>7</v>
      </c>
      <c r="Q21" s="214">
        <v>7</v>
      </c>
      <c r="R21" s="215">
        <v>7</v>
      </c>
      <c r="S21" s="97">
        <f>7288.02+447.62+2487.39+413.4</f>
        <v>10636.43</v>
      </c>
      <c r="T21" s="97">
        <f>7288.02+447.62+2487.39</f>
        <v>10223.030000000001</v>
      </c>
      <c r="U21" s="97">
        <f t="shared" si="2"/>
        <v>413.39999999999964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124</v>
      </c>
      <c r="I22" s="210">
        <v>91</v>
      </c>
      <c r="J22" s="210">
        <v>110</v>
      </c>
      <c r="K22" s="210">
        <v>95</v>
      </c>
      <c r="L22" s="210">
        <v>95</v>
      </c>
      <c r="M22" s="211">
        <f>19787.02+2513.73+2255.05+12081.39+6786.96+4545.76+7112.29+9234.79</f>
        <v>64316.990000000005</v>
      </c>
      <c r="N22" s="211">
        <f>19787.02+2513.73+2255.05+12081.39+6786.96+4545.76</f>
        <v>47969.91</v>
      </c>
      <c r="O22" s="212">
        <f t="shared" si="1"/>
        <v>16347.080000000002</v>
      </c>
      <c r="P22" s="213">
        <v>24</v>
      </c>
      <c r="Q22" s="215">
        <v>24</v>
      </c>
      <c r="R22" s="215">
        <v>23</v>
      </c>
      <c r="S22" s="97">
        <f>24103.23+3334.5+1378+3155.14</f>
        <v>31970.87</v>
      </c>
      <c r="T22" s="97">
        <f>24103.23+3334.5+1378</f>
        <v>28815.73</v>
      </c>
      <c r="U22" s="97">
        <f t="shared" si="2"/>
        <v>3155.1399999999994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20</v>
      </c>
      <c r="I23" s="210">
        <v>15</v>
      </c>
      <c r="J23" s="210">
        <v>23</v>
      </c>
      <c r="K23" s="209">
        <v>19</v>
      </c>
      <c r="L23" s="210">
        <v>17</v>
      </c>
      <c r="M23" s="211">
        <f>5739.04+1828.05+1440.72+631.62+564.05+641.19+793.15+2475.51+1311.53</f>
        <v>15424.86</v>
      </c>
      <c r="N23" s="211">
        <f>5739.04+1828.05+1440.72+631.62+564.05+641.19+793.15</f>
        <v>11637.82</v>
      </c>
      <c r="O23" s="212">
        <f t="shared" si="1"/>
        <v>3787.0400000000009</v>
      </c>
      <c r="P23" s="213">
        <v>12</v>
      </c>
      <c r="Q23" s="214">
        <v>12</v>
      </c>
      <c r="R23" s="215">
        <v>12</v>
      </c>
      <c r="S23" s="97">
        <f>26607.02+6387.23</f>
        <v>32994.25</v>
      </c>
      <c r="T23" s="97">
        <v>26607.02</v>
      </c>
      <c r="U23" s="97">
        <f t="shared" si="2"/>
        <v>6387.23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23</v>
      </c>
      <c r="I24" s="210">
        <v>19</v>
      </c>
      <c r="J24" s="210">
        <v>22</v>
      </c>
      <c r="K24" s="209">
        <v>22</v>
      </c>
      <c r="L24" s="210">
        <v>22</v>
      </c>
      <c r="M24" s="211">
        <f>1515.11+3525.12+1811.05</f>
        <v>6851.28</v>
      </c>
      <c r="N24" s="211">
        <f>1515.11+3525.12</f>
        <v>5040.2299999999996</v>
      </c>
      <c r="O24" s="212">
        <f t="shared" si="1"/>
        <v>1811.0500000000002</v>
      </c>
      <c r="P24" s="213">
        <v>7</v>
      </c>
      <c r="Q24" s="214">
        <v>7</v>
      </c>
      <c r="R24" s="215">
        <v>7</v>
      </c>
      <c r="S24" s="97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40</v>
      </c>
      <c r="I25" s="210">
        <v>13</v>
      </c>
      <c r="J25" s="210">
        <v>32</v>
      </c>
      <c r="K25" s="210">
        <v>32</v>
      </c>
      <c r="L25" s="210">
        <v>32</v>
      </c>
      <c r="M25" s="211">
        <f>9005.69+15068.32+3714.72+1200.78</f>
        <v>28989.510000000002</v>
      </c>
      <c r="N25" s="211">
        <f>9005.69+15068.32+3714.72+1200.78</f>
        <v>28989.510000000002</v>
      </c>
      <c r="O25" s="212">
        <f t="shared" si="1"/>
        <v>0</v>
      </c>
      <c r="P25" s="213">
        <v>22</v>
      </c>
      <c r="Q25" s="215">
        <v>21</v>
      </c>
      <c r="R25" s="215">
        <v>21</v>
      </c>
      <c r="S25" s="97">
        <f>24213.05+6197.08+341.06</f>
        <v>30751.19</v>
      </c>
      <c r="T25" s="97">
        <f>24213.05+6197.08+341.06</f>
        <v>30751.19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210">
        <v>11</v>
      </c>
      <c r="J26" s="210">
        <v>18</v>
      </c>
      <c r="K26" s="209">
        <v>18</v>
      </c>
      <c r="L26" s="210">
        <v>18</v>
      </c>
      <c r="M26" s="211">
        <f>3777.1+6399.51+6251.64+358.88</f>
        <v>16787.13</v>
      </c>
      <c r="N26" s="211">
        <f>3777.1+6399.51+6251.64+358.88</f>
        <v>16787.13</v>
      </c>
      <c r="O26" s="212">
        <f t="shared" si="1"/>
        <v>0</v>
      </c>
      <c r="P26" s="213">
        <v>12</v>
      </c>
      <c r="Q26" s="214">
        <v>12</v>
      </c>
      <c r="R26" s="215">
        <v>12</v>
      </c>
      <c r="S26" s="97">
        <f>3386.7+2140.45</f>
        <v>5527.15</v>
      </c>
      <c r="T26" s="97">
        <f>3386.7+2140.45</f>
        <v>5527.15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34</v>
      </c>
      <c r="I27" s="210">
        <v>22</v>
      </c>
      <c r="J27" s="210">
        <v>39</v>
      </c>
      <c r="K27" s="209">
        <v>39</v>
      </c>
      <c r="L27" s="210">
        <v>36</v>
      </c>
      <c r="M27" s="211">
        <f>6801.73+4254.18+3948.81+757.9+1004.85+1005.5+5240.86</f>
        <v>23013.829999999998</v>
      </c>
      <c r="N27" s="211">
        <f>6801.73+4254.18+3948.81+757.9+1004.85+1005.5+5240.86</f>
        <v>23013.829999999998</v>
      </c>
      <c r="O27" s="212">
        <f t="shared" si="1"/>
        <v>0</v>
      </c>
      <c r="P27" s="213">
        <v>14</v>
      </c>
      <c r="Q27" s="214">
        <v>14</v>
      </c>
      <c r="R27" s="215">
        <v>14</v>
      </c>
      <c r="S27" s="97">
        <f>12827.9+197.93</f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210"/>
      <c r="J28" s="210"/>
      <c r="K28" s="209"/>
      <c r="L28" s="210"/>
      <c r="M28" s="211"/>
      <c r="N28" s="211"/>
      <c r="O28" s="212">
        <f t="shared" si="1"/>
        <v>0</v>
      </c>
      <c r="P28" s="213"/>
      <c r="Q28" s="214"/>
      <c r="R28" s="215"/>
      <c r="S28" s="97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28</v>
      </c>
      <c r="I29" s="210">
        <v>23</v>
      </c>
      <c r="J29" s="210">
        <v>34</v>
      </c>
      <c r="K29" s="209">
        <v>34</v>
      </c>
      <c r="L29" s="210">
        <v>33</v>
      </c>
      <c r="M29" s="211">
        <f>7765.28+1107.91+3282.4+1320.23+1580.98+622.05+447.4+992.16+691.25+3323.84</f>
        <v>21133.5</v>
      </c>
      <c r="N29" s="211">
        <f>7765.28+1107.91+3282.4+1320.23+1580.98+622.05+447.4+992.16</f>
        <v>17118.41</v>
      </c>
      <c r="O29" s="212">
        <f t="shared" si="1"/>
        <v>4015.09</v>
      </c>
      <c r="P29" s="213">
        <v>14</v>
      </c>
      <c r="Q29" s="214">
        <v>14</v>
      </c>
      <c r="R29" s="215">
        <v>14</v>
      </c>
      <c r="S29" s="97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47</v>
      </c>
      <c r="I30" s="210">
        <v>39</v>
      </c>
      <c r="J30" s="210">
        <v>52</v>
      </c>
      <c r="K30" s="210">
        <v>49</v>
      </c>
      <c r="L30" s="210">
        <v>44</v>
      </c>
      <c r="M30" s="211">
        <f>5246.17+4965.96+1939.12+3762.43+2342.38+4011.61+2238.08+5198.79</f>
        <v>29704.54</v>
      </c>
      <c r="N30" s="211">
        <f>5246.17+4965.96+1939.12+3762.43+2342.38+4011.61+2238.08</f>
        <v>24505.75</v>
      </c>
      <c r="O30" s="212">
        <f t="shared" si="1"/>
        <v>5198.7900000000009</v>
      </c>
      <c r="P30" s="213">
        <v>23</v>
      </c>
      <c r="Q30" s="215">
        <v>23</v>
      </c>
      <c r="R30" s="215">
        <v>23</v>
      </c>
      <c r="S30" s="97">
        <f>39414.6+4786.67+1562.33+638.43+2216.93+1293.2</f>
        <v>49912.159999999996</v>
      </c>
      <c r="T30" s="97">
        <f>39414.6+4786.67+1562.33+638.43+2216.93+1293.2</f>
        <v>49912.159999999996</v>
      </c>
      <c r="U30" s="97">
        <f t="shared" si="2"/>
        <v>0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210">
        <v>1</v>
      </c>
      <c r="J31" s="210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214">
        <v>2</v>
      </c>
      <c r="R31" s="215">
        <v>2</v>
      </c>
      <c r="S31" s="97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210"/>
      <c r="J32" s="210"/>
      <c r="K32" s="209"/>
      <c r="L32" s="210"/>
      <c r="M32" s="211"/>
      <c r="N32" s="211"/>
      <c r="O32" s="212">
        <f t="shared" si="1"/>
        <v>0</v>
      </c>
      <c r="P32" s="213"/>
      <c r="Q32" s="214"/>
      <c r="R32" s="215"/>
      <c r="S32" s="97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customFormat="1" ht="31.5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14</v>
      </c>
      <c r="I33" s="210">
        <v>9</v>
      </c>
      <c r="J33" s="210">
        <v>12</v>
      </c>
      <c r="K33" s="209">
        <v>12</v>
      </c>
      <c r="L33" s="210">
        <v>12</v>
      </c>
      <c r="M33" s="211">
        <f>4065+2226.4+2915.4+290+826.8</f>
        <v>10323.599999999999</v>
      </c>
      <c r="N33" s="211">
        <f>4065+2226.4+2915.4+290+826.8</f>
        <v>10323.599999999999</v>
      </c>
      <c r="O33" s="212">
        <f t="shared" si="1"/>
        <v>0</v>
      </c>
      <c r="P33" s="213"/>
      <c r="Q33" s="214"/>
      <c r="R33" s="215"/>
      <c r="S33" s="97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customFormat="1" ht="31.5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210">
        <v>14</v>
      </c>
      <c r="J34" s="210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215">
        <v>2</v>
      </c>
      <c r="S34" s="97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customFormat="1" ht="31.5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14</v>
      </c>
      <c r="I35" s="210">
        <v>6</v>
      </c>
      <c r="J35" s="210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215">
        <v>10</v>
      </c>
      <c r="S35" s="97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customFormat="1" ht="31.5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25</v>
      </c>
      <c r="I36" s="210">
        <v>13</v>
      </c>
      <c r="J36" s="210">
        <v>16</v>
      </c>
      <c r="K36" s="209">
        <v>16</v>
      </c>
      <c r="L36" s="210">
        <v>16</v>
      </c>
      <c r="M36" s="211">
        <f>2360+2665.25+2800.06+3488.89+1050.79</f>
        <v>12364.989999999998</v>
      </c>
      <c r="N36" s="211">
        <f>2360+2665.25+2800.06+3488.89+1050.79</f>
        <v>12364.989999999998</v>
      </c>
      <c r="O36" s="212">
        <f t="shared" si="1"/>
        <v>0</v>
      </c>
      <c r="P36" s="213">
        <v>6</v>
      </c>
      <c r="Q36" s="214">
        <v>6</v>
      </c>
      <c r="R36" s="215">
        <v>6</v>
      </c>
      <c r="S36" s="97">
        <f>1436.08+3433.93+5939.33+1723.52</f>
        <v>12532.86</v>
      </c>
      <c r="T36" s="97">
        <f>1436.08+3433.93+5939.33+1723.52</f>
        <v>12532.86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customFormat="1" ht="31.5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22</v>
      </c>
      <c r="I37" s="210">
        <v>13</v>
      </c>
      <c r="J37" s="210">
        <v>18</v>
      </c>
      <c r="K37" s="209">
        <v>18</v>
      </c>
      <c r="L37" s="210">
        <v>18</v>
      </c>
      <c r="M37" s="211">
        <f>4126.56+990.2+862.75+145+358.88+1424.06+2121.03+507.5</f>
        <v>10535.980000000001</v>
      </c>
      <c r="N37" s="211">
        <f>4126.56+990.2+862.75+145+358.88+1424.06+2121.03</f>
        <v>10028.480000000001</v>
      </c>
      <c r="O37" s="212">
        <f t="shared" si="1"/>
        <v>507.5</v>
      </c>
      <c r="P37" s="213">
        <v>2</v>
      </c>
      <c r="Q37" s="214">
        <v>2</v>
      </c>
      <c r="R37" s="215">
        <v>2</v>
      </c>
      <c r="S37" s="97">
        <f>552.96+1556.69</f>
        <v>2109.65</v>
      </c>
      <c r="T37" s="97">
        <v>552.96</v>
      </c>
      <c r="U37" s="97">
        <f t="shared" si="2"/>
        <v>1556.69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customFormat="1" ht="31.5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85</v>
      </c>
      <c r="I38" s="210">
        <v>50</v>
      </c>
      <c r="J38" s="210">
        <v>69</v>
      </c>
      <c r="K38" s="209">
        <v>69</v>
      </c>
      <c r="L38" s="210">
        <v>59</v>
      </c>
      <c r="M38" s="211">
        <f>18043.85+1739.74+12219.36+4084.73+2867.69+2388.56+1377.5+2533.95+5859.96+4779.49</f>
        <v>55894.829999999994</v>
      </c>
      <c r="N38" s="211">
        <f>18043.85+1739.74+12219.36+4084.73+2867.69+2388.56+1377.5+2533.95</f>
        <v>45255.38</v>
      </c>
      <c r="O38" s="212">
        <f t="shared" si="1"/>
        <v>10639.449999999997</v>
      </c>
      <c r="P38" s="213">
        <v>21</v>
      </c>
      <c r="Q38" s="214">
        <v>21</v>
      </c>
      <c r="R38" s="215">
        <v>21</v>
      </c>
      <c r="S38" s="97">
        <f>22326.77+417.74+1031.26</f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customFormat="1" ht="31.5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29</v>
      </c>
      <c r="I39" s="210">
        <v>16</v>
      </c>
      <c r="J39" s="210">
        <v>21</v>
      </c>
      <c r="K39" s="209">
        <v>20</v>
      </c>
      <c r="L39" s="210">
        <v>19</v>
      </c>
      <c r="M39" s="211">
        <f>4309.67+3353.38+84.05+2832.72+349.74+868+1575.33+360.5</f>
        <v>13733.39</v>
      </c>
      <c r="N39" s="211">
        <f>4309.67+3353.38+84.05+2832.72+349.74+868</f>
        <v>11797.56</v>
      </c>
      <c r="O39" s="212">
        <f t="shared" si="1"/>
        <v>1935.83</v>
      </c>
      <c r="P39" s="213">
        <v>3</v>
      </c>
      <c r="Q39" s="214">
        <v>3</v>
      </c>
      <c r="R39" s="215">
        <v>3</v>
      </c>
      <c r="S39" s="97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customFormat="1" ht="31.5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10</v>
      </c>
      <c r="I40" s="210">
        <v>6</v>
      </c>
      <c r="J40" s="210">
        <v>7</v>
      </c>
      <c r="K40" s="209">
        <v>6</v>
      </c>
      <c r="L40" s="210">
        <v>6</v>
      </c>
      <c r="M40" s="211">
        <f>5430.01+287.1</f>
        <v>5717.1100000000006</v>
      </c>
      <c r="N40" s="211">
        <f>5430.01+287.1</f>
        <v>5717.1100000000006</v>
      </c>
      <c r="O40" s="212">
        <f t="shared" si="1"/>
        <v>0</v>
      </c>
      <c r="P40" s="213">
        <v>4</v>
      </c>
      <c r="Q40" s="214">
        <v>4</v>
      </c>
      <c r="R40" s="215">
        <v>4</v>
      </c>
      <c r="S40" s="97">
        <f>3996.7+1341.47+7404.94</f>
        <v>12743.11</v>
      </c>
      <c r="T40" s="97">
        <f>3996.7+1341.47+7404.94</f>
        <v>12743.11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customFormat="1" ht="31.5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24</v>
      </c>
      <c r="I41" s="210">
        <v>20</v>
      </c>
      <c r="J41" s="210">
        <v>22</v>
      </c>
      <c r="K41" s="209">
        <v>19</v>
      </c>
      <c r="L41" s="210">
        <v>19</v>
      </c>
      <c r="M41" s="211">
        <f>4892.78+1033.5+545.69+1551.08+3520.24</f>
        <v>11543.289999999999</v>
      </c>
      <c r="N41" s="211">
        <f>4892.78+1033.5+545.69+1551.08</f>
        <v>8023.0499999999993</v>
      </c>
      <c r="O41" s="212">
        <f t="shared" si="1"/>
        <v>3520.24</v>
      </c>
      <c r="P41" s="213">
        <v>4</v>
      </c>
      <c r="Q41" s="214">
        <v>4</v>
      </c>
      <c r="R41" s="215">
        <v>4</v>
      </c>
      <c r="S41" s="97">
        <f>1842.88+373.68</f>
        <v>2216.56</v>
      </c>
      <c r="T41" s="97">
        <f>1842.88+373.68</f>
        <v>2216.56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customFormat="1" ht="31.5" x14ac:dyDescent="0.25">
      <c r="A42" s="155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15</v>
      </c>
      <c r="I42" s="210">
        <v>7</v>
      </c>
      <c r="J42" s="210">
        <v>12</v>
      </c>
      <c r="K42" s="209">
        <v>12</v>
      </c>
      <c r="L42" s="210">
        <v>12</v>
      </c>
      <c r="M42" s="211">
        <f>5095.29+1605.75+430.65+529.04+145+1216.34</f>
        <v>9022.07</v>
      </c>
      <c r="N42" s="211">
        <f>5095.29+1605.75+430.65+529.04</f>
        <v>7660.73</v>
      </c>
      <c r="O42" s="212">
        <f t="shared" si="1"/>
        <v>1361.3400000000001</v>
      </c>
      <c r="P42" s="213">
        <v>5</v>
      </c>
      <c r="Q42" s="214">
        <v>5</v>
      </c>
      <c r="R42" s="215">
        <v>5</v>
      </c>
      <c r="S42" s="97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customFormat="1" ht="31.5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22</v>
      </c>
      <c r="I43" s="210">
        <v>13</v>
      </c>
      <c r="J43" s="210">
        <v>22</v>
      </c>
      <c r="K43" s="209">
        <v>22</v>
      </c>
      <c r="L43" s="210">
        <v>19</v>
      </c>
      <c r="M43" s="211">
        <f>1949.94+11241.95+1670.56+979+622.78+145+551.2+2279.66+3262.66+725</f>
        <v>23427.75</v>
      </c>
      <c r="N43" s="211">
        <f>1949.94+11241.95+1670.56+979+622.78+145+551.2+2279.66</f>
        <v>19440.09</v>
      </c>
      <c r="O43" s="212">
        <f t="shared" si="1"/>
        <v>3987.66</v>
      </c>
      <c r="P43" s="213">
        <v>7</v>
      </c>
      <c r="Q43" s="214">
        <v>7</v>
      </c>
      <c r="R43" s="215">
        <v>6</v>
      </c>
      <c r="S43" s="97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customFormat="1" ht="31.5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14</v>
      </c>
      <c r="I44" s="210">
        <v>10</v>
      </c>
      <c r="J44" s="210">
        <v>16</v>
      </c>
      <c r="K44" s="209">
        <v>16</v>
      </c>
      <c r="L44" s="210">
        <v>15</v>
      </c>
      <c r="M44" s="211">
        <f>9600.95+145+2182.75+7980.88+580+287.1+1257.51</f>
        <v>22034.19</v>
      </c>
      <c r="N44" s="211">
        <f>9600.95+145+2182.75+7980.88+580+287.1</f>
        <v>20776.68</v>
      </c>
      <c r="O44" s="212">
        <f t="shared" si="1"/>
        <v>1257.5099999999984</v>
      </c>
      <c r="P44" s="213">
        <v>10</v>
      </c>
      <c r="Q44" s="214">
        <v>10</v>
      </c>
      <c r="R44" s="215">
        <v>10</v>
      </c>
      <c r="S44" s="97">
        <f>3997.92+850.65+4367.7+2262.73+189.48+1019.96</f>
        <v>12688.439999999999</v>
      </c>
      <c r="T44" s="97">
        <f>3997.92+850.65+4367.7+2262.73+189.48</f>
        <v>11668.48</v>
      </c>
      <c r="U44" s="97">
        <f t="shared" si="2"/>
        <v>1019.9599999999991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customFormat="1" x14ac:dyDescent="0.25">
      <c r="A45" s="155"/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210"/>
      <c r="J45" s="210"/>
      <c r="K45" s="209"/>
      <c r="L45" s="210"/>
      <c r="M45" s="211"/>
      <c r="N45" s="211"/>
      <c r="O45" s="212">
        <f t="shared" si="1"/>
        <v>0</v>
      </c>
      <c r="P45" s="213"/>
      <c r="Q45" s="214"/>
      <c r="R45" s="215"/>
      <c r="S45" s="97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customFormat="1" ht="31.5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19</v>
      </c>
      <c r="I46" s="210">
        <v>14</v>
      </c>
      <c r="J46" s="210">
        <v>17</v>
      </c>
      <c r="K46" s="209">
        <v>17</v>
      </c>
      <c r="L46" s="210">
        <v>16</v>
      </c>
      <c r="M46" s="211">
        <f>1290.6+2343.84+935.25+2693.88</f>
        <v>7263.5700000000006</v>
      </c>
      <c r="N46" s="211">
        <f>1290.6+2343.84+935.25</f>
        <v>4569.6900000000005</v>
      </c>
      <c r="O46" s="212">
        <f t="shared" si="1"/>
        <v>2693.88</v>
      </c>
      <c r="P46" s="213">
        <v>2</v>
      </c>
      <c r="Q46" s="214">
        <v>2</v>
      </c>
      <c r="R46" s="215">
        <v>2</v>
      </c>
      <c r="S46" s="97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customFormat="1" ht="31.5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46</v>
      </c>
      <c r="I47" s="210">
        <v>34</v>
      </c>
      <c r="J47" s="210">
        <v>47</v>
      </c>
      <c r="K47" s="209">
        <v>45</v>
      </c>
      <c r="L47" s="210">
        <v>37</v>
      </c>
      <c r="M47" s="211">
        <f>9335.56+3507.6+826.8+2284.16+1015+1378+2197.48+2735.03</f>
        <v>23279.629999999997</v>
      </c>
      <c r="N47" s="211">
        <f>9335.56+3507.6+826.8+2284.16+1015+1378</f>
        <v>18347.12</v>
      </c>
      <c r="O47" s="212">
        <f t="shared" si="1"/>
        <v>4932.5099999999984</v>
      </c>
      <c r="P47" s="213">
        <v>2</v>
      </c>
      <c r="Q47" s="214">
        <v>2</v>
      </c>
      <c r="R47" s="215">
        <v>2</v>
      </c>
      <c r="S47" s="97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customFormat="1" ht="31.5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20</v>
      </c>
      <c r="I48" s="210">
        <v>9</v>
      </c>
      <c r="J48" s="210">
        <v>12</v>
      </c>
      <c r="K48" s="209">
        <v>12</v>
      </c>
      <c r="L48" s="210">
        <v>12</v>
      </c>
      <c r="M48" s="211">
        <f>8890.84+1828.05+435+2479.5</f>
        <v>13633.39</v>
      </c>
      <c r="N48" s="211">
        <f>8890.84+1828.05+435</f>
        <v>11153.89</v>
      </c>
      <c r="O48" s="212">
        <f t="shared" si="1"/>
        <v>2479.5</v>
      </c>
      <c r="P48" s="213">
        <v>3</v>
      </c>
      <c r="Q48" s="214">
        <v>3</v>
      </c>
      <c r="R48" s="215">
        <v>3</v>
      </c>
      <c r="S48" s="97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customFormat="1" ht="31.5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22</v>
      </c>
      <c r="I49" s="210">
        <v>12</v>
      </c>
      <c r="J49" s="210">
        <v>17</v>
      </c>
      <c r="K49" s="209">
        <v>17</v>
      </c>
      <c r="L49" s="210">
        <v>16</v>
      </c>
      <c r="M49" s="211">
        <f>1831.71+137.8+1816.78+290+420.6+435+1097.67+1097.67</f>
        <v>7127.2300000000005</v>
      </c>
      <c r="N49" s="211">
        <f>1831.71+137.8+1816.78+290+420.6</f>
        <v>4496.8900000000003</v>
      </c>
      <c r="O49" s="212">
        <f t="shared" si="1"/>
        <v>2630.34</v>
      </c>
      <c r="P49" s="213">
        <v>10</v>
      </c>
      <c r="Q49" s="214">
        <v>10</v>
      </c>
      <c r="R49" s="215">
        <v>10</v>
      </c>
      <c r="S49" s="97">
        <f>8296.23+1378+5368+1032.31</f>
        <v>16074.539999999999</v>
      </c>
      <c r="T49" s="97">
        <f>8296.23+1378+5368</f>
        <v>15042.23</v>
      </c>
      <c r="U49" s="97">
        <f t="shared" si="2"/>
        <v>1032.3099999999995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customFormat="1" ht="31.5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24</v>
      </c>
      <c r="I50" s="210">
        <v>19</v>
      </c>
      <c r="J50" s="210">
        <v>22</v>
      </c>
      <c r="K50" s="209">
        <v>22</v>
      </c>
      <c r="L50" s="210">
        <v>21</v>
      </c>
      <c r="M50" s="211">
        <f>8308.92+786.44+453+302+1256.5+1232.5</f>
        <v>12339.36</v>
      </c>
      <c r="N50" s="211">
        <f>8308.92+786.44+453+302+1256.5</f>
        <v>11106.86</v>
      </c>
      <c r="O50" s="212">
        <f t="shared" si="1"/>
        <v>1232.5</v>
      </c>
      <c r="P50" s="213">
        <v>6</v>
      </c>
      <c r="Q50" s="214">
        <v>6</v>
      </c>
      <c r="R50" s="215">
        <v>6</v>
      </c>
      <c r="S50" s="97">
        <f>2457.28+1725.6+5017.9+1584.7</f>
        <v>10785.48</v>
      </c>
      <c r="T50" s="97">
        <f>2457.28+1725.6+5017.9+1584.7</f>
        <v>10785.48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customFormat="1" ht="31.5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27</v>
      </c>
      <c r="I51" s="210">
        <v>13</v>
      </c>
      <c r="J51" s="210">
        <v>15</v>
      </c>
      <c r="K51" s="209">
        <v>15</v>
      </c>
      <c r="L51" s="210">
        <v>15</v>
      </c>
      <c r="M51" s="211">
        <f>5580.75+571.11+696.2+574.2+408.03+1234.53+1446.9+620.1</f>
        <v>11131.82</v>
      </c>
      <c r="N51" s="211">
        <f>5580.75+571.11+696.2+574.2+408.03+1234.53+1446.9</f>
        <v>10511.72</v>
      </c>
      <c r="O51" s="212">
        <f t="shared" si="1"/>
        <v>620.10000000000036</v>
      </c>
      <c r="P51" s="213">
        <v>1</v>
      </c>
      <c r="Q51" s="214">
        <v>1</v>
      </c>
      <c r="R51" s="215">
        <v>1</v>
      </c>
      <c r="S51" s="97">
        <f>728.15</f>
        <v>728.15</v>
      </c>
      <c r="T51" s="97">
        <f>728.15</f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customFormat="1" ht="31.5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24</v>
      </c>
      <c r="I52" s="210">
        <v>15</v>
      </c>
      <c r="J52" s="210">
        <v>18</v>
      </c>
      <c r="K52" s="209">
        <v>18</v>
      </c>
      <c r="L52" s="210">
        <v>16</v>
      </c>
      <c r="M52" s="211">
        <f>3782.6+430.65+1221.61+2194.55+452.33+1392+837.38</f>
        <v>10311.119999999999</v>
      </c>
      <c r="N52" s="211">
        <f>3782.6+430.65+1221.61+2194.55</f>
        <v>7629.41</v>
      </c>
      <c r="O52" s="212">
        <f t="shared" si="1"/>
        <v>2681.7099999999991</v>
      </c>
      <c r="P52" s="213">
        <v>10</v>
      </c>
      <c r="Q52" s="214">
        <v>10</v>
      </c>
      <c r="R52" s="215">
        <v>10</v>
      </c>
      <c r="S52" s="97">
        <f>1535.39+1035.3+828.82+12756.45+716.22</f>
        <v>16872.18</v>
      </c>
      <c r="T52" s="97">
        <f>1535.39+1035.3+828.82+12756.45</f>
        <v>16155.960000000001</v>
      </c>
      <c r="U52" s="97">
        <f t="shared" si="2"/>
        <v>716.21999999999935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customFormat="1" ht="31.5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12</v>
      </c>
      <c r="I53" s="210">
        <v>3</v>
      </c>
      <c r="J53" s="210">
        <v>3</v>
      </c>
      <c r="K53" s="209">
        <v>3</v>
      </c>
      <c r="L53" s="210">
        <v>3</v>
      </c>
      <c r="M53" s="211">
        <f>1102.4+328.37</f>
        <v>1430.77</v>
      </c>
      <c r="N53" s="211">
        <f>1102.4+328.37</f>
        <v>1430.77</v>
      </c>
      <c r="O53" s="212">
        <f t="shared" si="1"/>
        <v>0</v>
      </c>
      <c r="P53" s="213">
        <v>2</v>
      </c>
      <c r="Q53" s="214">
        <v>2</v>
      </c>
      <c r="R53" s="215">
        <v>2</v>
      </c>
      <c r="S53" s="97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customFormat="1" ht="31.5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121</v>
      </c>
      <c r="I54" s="210">
        <v>106</v>
      </c>
      <c r="J54" s="210">
        <v>125</v>
      </c>
      <c r="K54" s="209">
        <v>118</v>
      </c>
      <c r="L54" s="210">
        <v>106</v>
      </c>
      <c r="M54" s="211">
        <f>12031.27+4728.85+7137.01+1218+507+4175.93+5308.12+6184.37+6281.56</f>
        <v>47572.110000000008</v>
      </c>
      <c r="N54" s="211">
        <f>12031.27+4728.85+7137.01+1218+507+4175.93+5308.12</f>
        <v>35106.180000000008</v>
      </c>
      <c r="O54" s="212">
        <f t="shared" si="1"/>
        <v>12465.93</v>
      </c>
      <c r="P54" s="213">
        <v>17</v>
      </c>
      <c r="Q54" s="214">
        <v>17</v>
      </c>
      <c r="R54" s="215">
        <v>17</v>
      </c>
      <c r="S54" s="97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customFormat="1" ht="31.5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8</v>
      </c>
      <c r="I55" s="210">
        <v>3</v>
      </c>
      <c r="J55" s="210">
        <v>4</v>
      </c>
      <c r="K55" s="209">
        <v>4</v>
      </c>
      <c r="L55" s="210">
        <v>4</v>
      </c>
      <c r="M55" s="211">
        <v>8188.55</v>
      </c>
      <c r="N55" s="211">
        <v>8188.55</v>
      </c>
      <c r="O55" s="212">
        <f t="shared" si="1"/>
        <v>0</v>
      </c>
      <c r="P55" s="213">
        <v>3</v>
      </c>
      <c r="Q55" s="214">
        <v>3</v>
      </c>
      <c r="R55" s="215">
        <v>3</v>
      </c>
      <c r="S55" s="97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customFormat="1" ht="31.5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65</v>
      </c>
      <c r="I56" s="210">
        <v>42</v>
      </c>
      <c r="J56" s="210">
        <v>64</v>
      </c>
      <c r="K56" s="209">
        <v>64</v>
      </c>
      <c r="L56" s="210">
        <v>62</v>
      </c>
      <c r="M56" s="211">
        <f>13145.7+14183.3+726.22+3195.47+5181.98+1425.26+6804.83+1811+6356.42+2151.08+5494.6-1423.76+8230.05</f>
        <v>67282.149999999994</v>
      </c>
      <c r="N56" s="211">
        <f>13145.7+14183.3+726.22+3195.47+5181.98+1425.26+6804.83+1811+6356.42-6356.42+1423.76+3508.9</f>
        <v>51406.420000000006</v>
      </c>
      <c r="O56" s="212">
        <f t="shared" si="1"/>
        <v>15875.729999999989</v>
      </c>
      <c r="P56" s="213">
        <v>35</v>
      </c>
      <c r="Q56" s="214">
        <v>35</v>
      </c>
      <c r="R56" s="215">
        <v>32</v>
      </c>
      <c r="S56" s="97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customFormat="1" ht="31.5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210">
        <v>11</v>
      </c>
      <c r="J57" s="210">
        <v>12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214"/>
      <c r="R57" s="215"/>
      <c r="S57" s="97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customFormat="1" ht="31.5" x14ac:dyDescent="0.25">
      <c r="A58" s="155"/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210"/>
      <c r="J58" s="210"/>
      <c r="K58" s="209"/>
      <c r="L58" s="210"/>
      <c r="M58" s="211"/>
      <c r="N58" s="211"/>
      <c r="O58" s="212">
        <f t="shared" si="1"/>
        <v>0</v>
      </c>
      <c r="P58" s="213">
        <v>1</v>
      </c>
      <c r="Q58" s="214">
        <v>1</v>
      </c>
      <c r="R58" s="215">
        <v>1</v>
      </c>
      <c r="S58" s="97">
        <v>548.1</v>
      </c>
      <c r="T58" s="97">
        <v>548.1</v>
      </c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customFormat="1" ht="31.5" x14ac:dyDescent="0.25">
      <c r="A59" s="155"/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210"/>
      <c r="J59" s="210"/>
      <c r="K59" s="209"/>
      <c r="L59" s="210"/>
      <c r="M59" s="211"/>
      <c r="N59" s="211"/>
      <c r="O59" s="212">
        <f t="shared" si="1"/>
        <v>0</v>
      </c>
      <c r="P59" s="213"/>
      <c r="Q59" s="214"/>
      <c r="R59" s="215"/>
      <c r="S59" s="97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customFormat="1" ht="31.5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59</v>
      </c>
      <c r="I60" s="210">
        <v>36</v>
      </c>
      <c r="J60" s="210">
        <v>51</v>
      </c>
      <c r="K60" s="209">
        <v>48</v>
      </c>
      <c r="L60" s="210">
        <v>48</v>
      </c>
      <c r="M60" s="211">
        <f>19657.67+3859.57+3638.88+11285.84+2356.7+1870.22+2374.32+1250.63+6815.48</f>
        <v>53109.31</v>
      </c>
      <c r="N60" s="211">
        <f>19657.67+3859.57+3638.88+11285.84+2356.7+1870.22+2374.32</f>
        <v>45043.199999999997</v>
      </c>
      <c r="O60" s="212">
        <f t="shared" si="1"/>
        <v>8066.1100000000006</v>
      </c>
      <c r="P60" s="213">
        <v>7</v>
      </c>
      <c r="Q60" s="214">
        <v>7</v>
      </c>
      <c r="R60" s="215">
        <v>7</v>
      </c>
      <c r="S60" s="97">
        <f>7737.36+1404.36</f>
        <v>9141.7199999999993</v>
      </c>
      <c r="T60" s="97">
        <v>7737.36</v>
      </c>
      <c r="U60" s="97">
        <f t="shared" si="2"/>
        <v>1404.3599999999997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customFormat="1" ht="31.5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31</v>
      </c>
      <c r="I61" s="210">
        <v>17</v>
      </c>
      <c r="J61" s="210">
        <v>26</v>
      </c>
      <c r="K61" s="209">
        <v>24</v>
      </c>
      <c r="L61" s="210">
        <v>24</v>
      </c>
      <c r="M61" s="211">
        <f>3986.21+989.8+3814.75+1492.92+2107.58+1990.86+3001.41+1940.89</f>
        <v>19324.419999999998</v>
      </c>
      <c r="N61" s="211">
        <f>3986.21+989.8+3814.75+1492.92+2107.58+1990.86</f>
        <v>14382.12</v>
      </c>
      <c r="O61" s="212">
        <f t="shared" si="1"/>
        <v>4942.2999999999975</v>
      </c>
      <c r="P61" s="213"/>
      <c r="Q61" s="214"/>
      <c r="R61" s="215"/>
      <c r="S61" s="97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customFormat="1" ht="31.5" x14ac:dyDescent="0.25">
      <c r="A62" s="155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19</v>
      </c>
      <c r="I62" s="210">
        <v>11</v>
      </c>
      <c r="J62" s="210">
        <v>24</v>
      </c>
      <c r="K62" s="209">
        <v>22</v>
      </c>
      <c r="L62" s="210">
        <v>14</v>
      </c>
      <c r="M62" s="211">
        <f>1263.45+2111.32+5011.35+4260.64</f>
        <v>12646.760000000002</v>
      </c>
      <c r="N62" s="211">
        <f>1263.45+2111.32+5011.35+4260.64</f>
        <v>12646.760000000002</v>
      </c>
      <c r="O62" s="212">
        <f t="shared" si="1"/>
        <v>0</v>
      </c>
      <c r="P62" s="213">
        <v>9</v>
      </c>
      <c r="Q62" s="214">
        <v>9</v>
      </c>
      <c r="R62" s="215">
        <v>7</v>
      </c>
      <c r="S62" s="97">
        <f>740.14+4736.32+577.79</f>
        <v>6054.25</v>
      </c>
      <c r="T62" s="97">
        <f>740.14+4736.32+577.79</f>
        <v>6054.25</v>
      </c>
      <c r="U62" s="97">
        <f t="shared" si="2"/>
        <v>0</v>
      </c>
      <c r="V62" s="161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</row>
    <row r="63" spans="1:40" customFormat="1" ht="31.5" x14ac:dyDescent="0.25">
      <c r="A63" s="155"/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210"/>
      <c r="J63" s="210"/>
      <c r="K63" s="209"/>
      <c r="L63" s="210"/>
      <c r="M63" s="211"/>
      <c r="N63" s="211"/>
      <c r="O63" s="212">
        <f t="shared" si="1"/>
        <v>0</v>
      </c>
      <c r="P63" s="213">
        <v>29</v>
      </c>
      <c r="Q63" s="214">
        <v>29</v>
      </c>
      <c r="R63" s="215">
        <v>29</v>
      </c>
      <c r="S63" s="97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</row>
    <row r="64" spans="1:40" customFormat="1" ht="31.5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33</v>
      </c>
      <c r="I64" s="210">
        <v>22</v>
      </c>
      <c r="J64" s="210">
        <v>24</v>
      </c>
      <c r="K64" s="209">
        <v>23</v>
      </c>
      <c r="L64" s="210">
        <v>22</v>
      </c>
      <c r="M64" s="211">
        <f>6496.16+4335.01+2477.65+2687.1+609+3303.1</f>
        <v>19908.019999999997</v>
      </c>
      <c r="N64" s="211">
        <f>6496.16+4335.01+2477.65+2687.1+609</f>
        <v>16604.919999999998</v>
      </c>
      <c r="O64" s="212">
        <f t="shared" si="1"/>
        <v>3303.0999999999985</v>
      </c>
      <c r="P64" s="213">
        <v>12</v>
      </c>
      <c r="Q64" s="214">
        <v>12</v>
      </c>
      <c r="R64" s="215">
        <v>12</v>
      </c>
      <c r="S64" s="97">
        <f>6866.56+548.1</f>
        <v>7414.6600000000008</v>
      </c>
      <c r="T64" s="97">
        <f>6866.56+548.1</f>
        <v>7414.6600000000008</v>
      </c>
      <c r="U64" s="97">
        <f t="shared" si="2"/>
        <v>0</v>
      </c>
      <c r="V64" s="161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</row>
    <row r="65" spans="1:42" ht="31.5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59</v>
      </c>
      <c r="I65" s="210">
        <v>51</v>
      </c>
      <c r="J65" s="210">
        <v>63</v>
      </c>
      <c r="K65" s="209">
        <v>56</v>
      </c>
      <c r="L65" s="210">
        <v>56</v>
      </c>
      <c r="M65" s="211">
        <f>21561.61+5719.7+1305+4149.27+2397.37+5906.18+1251.03+829.55+4633.7+2607.11+652.5+3265.4+1216.55</f>
        <v>55494.970000000008</v>
      </c>
      <c r="N65" s="211">
        <f>21561.61+5719.7+1305+4149.27+2397.37+5906.18+1251.03+829.55+4633.7+2607.11</f>
        <v>50360.520000000004</v>
      </c>
      <c r="O65" s="212">
        <f t="shared" si="1"/>
        <v>5134.4500000000044</v>
      </c>
      <c r="P65" s="213">
        <v>11</v>
      </c>
      <c r="Q65" s="214">
        <v>11</v>
      </c>
      <c r="R65" s="215">
        <v>11</v>
      </c>
      <c r="S65" s="97">
        <f>7456.7+19131.63</f>
        <v>26588.33</v>
      </c>
      <c r="T65" s="97">
        <f>7456.7+19131.63</f>
        <v>26588.33</v>
      </c>
      <c r="U65" s="97">
        <f t="shared" si="2"/>
        <v>0</v>
      </c>
      <c r="V65" s="161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</row>
    <row r="66" spans="1:42" ht="31.5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210">
        <v>2</v>
      </c>
      <c r="J66" s="210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215">
        <v>4</v>
      </c>
      <c r="S66" s="97">
        <v>3148.1</v>
      </c>
      <c r="T66" s="97">
        <v>3148.1</v>
      </c>
      <c r="U66" s="97">
        <f t="shared" si="2"/>
        <v>0</v>
      </c>
      <c r="V66" s="161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</row>
    <row r="67" spans="1:42" ht="31.5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63</v>
      </c>
      <c r="I67" s="210">
        <v>47</v>
      </c>
      <c r="J67" s="210">
        <v>61</v>
      </c>
      <c r="K67" s="209">
        <v>61</v>
      </c>
      <c r="L67" s="210">
        <v>60</v>
      </c>
      <c r="M67" s="211">
        <f>19710.93+7009.96+ 8900.54+165.98+1497.55+1081.95+652.5+834+4814.12+3405.33+4696.24+4814.12-6057.46</f>
        <v>51525.760000000009</v>
      </c>
      <c r="N67" s="211">
        <f>19710.93+7009.96+ 8900.54+165.98+1497.55+1081.95+652.5+834+3570.78</f>
        <v>43424.19</v>
      </c>
      <c r="O67" s="212">
        <f t="shared" si="1"/>
        <v>8101.570000000007</v>
      </c>
      <c r="P67" s="213">
        <v>11</v>
      </c>
      <c r="Q67" s="214">
        <v>11</v>
      </c>
      <c r="R67" s="215">
        <v>11</v>
      </c>
      <c r="S67" s="97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  <c r="W67"/>
      <c r="X67"/>
      <c r="Y67"/>
      <c r="Z67"/>
      <c r="AA67"/>
      <c r="AB67"/>
      <c r="AC67"/>
      <c r="AD67"/>
      <c r="AE67"/>
      <c r="AF67" s="59"/>
      <c r="AG67"/>
      <c r="AH67"/>
      <c r="AI67"/>
      <c r="AJ67"/>
      <c r="AK67"/>
      <c r="AL67"/>
      <c r="AM67"/>
      <c r="AN67"/>
      <c r="AO67"/>
      <c r="AP67"/>
    </row>
    <row r="68" spans="1:42" ht="31.5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43</v>
      </c>
      <c r="I68" s="210">
        <v>34</v>
      </c>
      <c r="J68" s="210">
        <v>56</v>
      </c>
      <c r="K68" s="209">
        <v>56</v>
      </c>
      <c r="L68" s="210">
        <v>53</v>
      </c>
      <c r="M68" s="211">
        <f>18750.75+2683.13+8424.37+2797.92+2869.86</f>
        <v>35526.03</v>
      </c>
      <c r="N68" s="211">
        <f>18750.75+2683.13+8424.37</f>
        <v>29858.25</v>
      </c>
      <c r="O68" s="212">
        <f t="shared" si="1"/>
        <v>5667.7799999999988</v>
      </c>
      <c r="P68" s="213">
        <v>11</v>
      </c>
      <c r="Q68" s="214">
        <v>11</v>
      </c>
      <c r="R68" s="215">
        <v>11</v>
      </c>
      <c r="S68" s="97">
        <v>6249.15</v>
      </c>
      <c r="T68" s="97">
        <v>6249.15</v>
      </c>
      <c r="U68" s="97">
        <f t="shared" si="2"/>
        <v>0</v>
      </c>
      <c r="V68" s="161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</row>
    <row r="69" spans="1:42" ht="31.5" x14ac:dyDescent="0.25">
      <c r="A69" s="155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17</v>
      </c>
      <c r="I69" s="210">
        <v>6</v>
      </c>
      <c r="J69" s="210">
        <v>7</v>
      </c>
      <c r="K69" s="209">
        <v>7</v>
      </c>
      <c r="L69" s="210">
        <v>7</v>
      </c>
      <c r="M69" s="211">
        <f>2756+1240.2+1305+1087.5+1232.5</f>
        <v>7621.2</v>
      </c>
      <c r="N69" s="211">
        <f>2756+1240.2+1305</f>
        <v>5301.2</v>
      </c>
      <c r="O69" s="212">
        <f t="shared" si="1"/>
        <v>2320</v>
      </c>
      <c r="P69" s="213"/>
      <c r="Q69" s="214"/>
      <c r="R69" s="215"/>
      <c r="S69" s="97"/>
      <c r="T69" s="97"/>
      <c r="U69" s="97">
        <f t="shared" si="2"/>
        <v>0</v>
      </c>
      <c r="V69" s="161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</row>
    <row r="70" spans="1:42" ht="31.5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19</v>
      </c>
      <c r="I70" s="210">
        <v>13</v>
      </c>
      <c r="J70" s="210">
        <v>14</v>
      </c>
      <c r="K70" s="209">
        <v>14</v>
      </c>
      <c r="L70" s="210">
        <v>13</v>
      </c>
      <c r="M70" s="211">
        <f>2039.44+3242.32+2027.39+3567+822.15+2588.88</f>
        <v>14287.18</v>
      </c>
      <c r="N70" s="211">
        <f>2039.44+3242.32+2027.39+3567+822.15</f>
        <v>11698.300000000001</v>
      </c>
      <c r="O70" s="212">
        <f t="shared" si="1"/>
        <v>2588.8799999999992</v>
      </c>
      <c r="P70" s="213">
        <v>7</v>
      </c>
      <c r="Q70" s="214">
        <v>7</v>
      </c>
      <c r="R70" s="215">
        <v>7</v>
      </c>
      <c r="S70" s="97">
        <f>3513.9+460.56+401.94</f>
        <v>4376.3999999999996</v>
      </c>
      <c r="T70" s="97">
        <v>3513.9</v>
      </c>
      <c r="U70" s="97">
        <f t="shared" si="2"/>
        <v>862.49999999999955</v>
      </c>
      <c r="V70" s="161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</row>
    <row r="71" spans="1:42" s="249" customFormat="1" ht="31.5" x14ac:dyDescent="0.25">
      <c r="A71" s="247">
        <v>57</v>
      </c>
      <c r="B71" s="248">
        <f t="shared" si="3"/>
        <v>62</v>
      </c>
      <c r="C71" s="250" t="s">
        <v>74</v>
      </c>
      <c r="D71" s="251" t="s">
        <v>124</v>
      </c>
      <c r="E71" s="252"/>
      <c r="F71" s="253" t="s">
        <v>111</v>
      </c>
      <c r="G71" s="254" t="s">
        <v>190</v>
      </c>
      <c r="H71" s="255">
        <v>30</v>
      </c>
      <c r="I71" s="210">
        <v>18</v>
      </c>
      <c r="J71" s="210">
        <v>22</v>
      </c>
      <c r="K71" s="209">
        <v>20</v>
      </c>
      <c r="L71" s="210">
        <v>20</v>
      </c>
      <c r="M71" s="211">
        <f>2383.53+3781.9+7505.17+507+5161.87+1335.02+1152.8-3276.5+5715.74</f>
        <v>24266.53</v>
      </c>
      <c r="N71" s="211">
        <f>2383.53+3781.9+7505.17+507+5161.87+1335.02+1152.8-3276.5</f>
        <v>18550.79</v>
      </c>
      <c r="O71" s="212">
        <f t="shared" si="1"/>
        <v>5715.739999999998</v>
      </c>
      <c r="P71" s="213">
        <v>25</v>
      </c>
      <c r="Q71" s="214">
        <v>25</v>
      </c>
      <c r="R71" s="215">
        <v>24</v>
      </c>
      <c r="S71" s="97">
        <f>52337.46+18000.02+1926.09</f>
        <v>72263.569999999992</v>
      </c>
      <c r="T71" s="97">
        <f>52337.46+18000.02+1926.09</f>
        <v>72263.569999999992</v>
      </c>
      <c r="U71" s="211">
        <f t="shared" si="2"/>
        <v>0</v>
      </c>
      <c r="V71" s="161"/>
      <c r="W71" s="243"/>
      <c r="X71" s="243"/>
      <c r="Y71" s="243"/>
      <c r="Z71" s="243"/>
      <c r="AA71" s="243"/>
      <c r="AB71" s="243"/>
      <c r="AC71" s="243"/>
      <c r="AD71" s="243"/>
      <c r="AE71" s="243"/>
      <c r="AF71" s="256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</row>
    <row r="72" spans="1:42" ht="31.5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22</v>
      </c>
      <c r="I72" s="210">
        <v>12</v>
      </c>
      <c r="J72" s="210">
        <v>15</v>
      </c>
      <c r="K72" s="209">
        <v>15</v>
      </c>
      <c r="L72" s="210">
        <v>15</v>
      </c>
      <c r="M72" s="211">
        <f>4703.53+544.32+1960.26+2120.63+1914.44+822.15</f>
        <v>12065.33</v>
      </c>
      <c r="N72" s="211">
        <f>4703.53+544.32+1960.26+2120.63</f>
        <v>9328.74</v>
      </c>
      <c r="O72" s="212">
        <f t="shared" si="1"/>
        <v>2736.59</v>
      </c>
      <c r="P72" s="213">
        <v>7</v>
      </c>
      <c r="Q72" s="214">
        <v>7</v>
      </c>
      <c r="R72" s="215">
        <v>7</v>
      </c>
      <c r="S72" s="97">
        <f>3959.69+961.38</f>
        <v>4921.07</v>
      </c>
      <c r="T72" s="97">
        <f>3959.69+961.38</f>
        <v>4921.07</v>
      </c>
      <c r="U72" s="97">
        <f t="shared" si="2"/>
        <v>0</v>
      </c>
      <c r="V72" s="161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1:42" ht="31.5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43</v>
      </c>
      <c r="I73" s="210">
        <v>30</v>
      </c>
      <c r="J73" s="210">
        <v>30</v>
      </c>
      <c r="K73" s="209">
        <v>30</v>
      </c>
      <c r="L73" s="210">
        <v>29</v>
      </c>
      <c r="M73" s="211">
        <f>2095.52+746.9+4941.1+3310.3+2104.91+2516.25</f>
        <v>15714.98</v>
      </c>
      <c r="N73" s="211">
        <f>2095.52+746.9+4941.1+3310.3+2104.91</f>
        <v>13198.73</v>
      </c>
      <c r="O73" s="212">
        <f t="shared" si="1"/>
        <v>2516.25</v>
      </c>
      <c r="P73" s="213">
        <v>8</v>
      </c>
      <c r="Q73" s="214">
        <v>8</v>
      </c>
      <c r="R73" s="215">
        <v>8</v>
      </c>
      <c r="S73" s="97">
        <f>1821.06+4580.19+1240.2+1963.25</f>
        <v>9604.7000000000007</v>
      </c>
      <c r="T73" s="97">
        <f>1821.06+4580.19+1240.2</f>
        <v>7641.45</v>
      </c>
      <c r="U73" s="97">
        <f t="shared" si="2"/>
        <v>1963.2500000000009</v>
      </c>
      <c r="V73" s="161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ht="31.5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210"/>
      <c r="J74" s="210"/>
      <c r="K74" s="209"/>
      <c r="L74" s="210"/>
      <c r="M74" s="211"/>
      <c r="N74" s="211"/>
      <c r="O74" s="212">
        <f t="shared" si="1"/>
        <v>0</v>
      </c>
      <c r="P74" s="213">
        <v>1</v>
      </c>
      <c r="Q74" s="214">
        <v>1</v>
      </c>
      <c r="R74" s="215">
        <v>1</v>
      </c>
      <c r="S74" s="97">
        <v>3278.32</v>
      </c>
      <c r="T74" s="97">
        <v>3278.32</v>
      </c>
      <c r="U74" s="97">
        <f t="shared" si="2"/>
        <v>0</v>
      </c>
      <c r="V74" s="161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ht="31.5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22</v>
      </c>
      <c r="I75" s="210">
        <v>5</v>
      </c>
      <c r="J75" s="210">
        <v>8</v>
      </c>
      <c r="K75" s="209">
        <v>8</v>
      </c>
      <c r="L75" s="210">
        <v>8</v>
      </c>
      <c r="M75" s="211">
        <f>275.6+741.36+14287.26+2399.03</f>
        <v>17703.25</v>
      </c>
      <c r="N75" s="211">
        <f>275.6+741.36+14287.26</f>
        <v>15304.220000000001</v>
      </c>
      <c r="O75" s="212">
        <f t="shared" ref="O75:O104" si="4" xml:space="preserve"> (M75-N75)</f>
        <v>2399.0299999999988</v>
      </c>
      <c r="P75" s="213">
        <v>3</v>
      </c>
      <c r="Q75" s="214">
        <v>3</v>
      </c>
      <c r="R75" s="215">
        <v>3</v>
      </c>
      <c r="S75" s="97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ht="31.5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38</v>
      </c>
      <c r="I76" s="210">
        <v>31</v>
      </c>
      <c r="J76" s="210">
        <v>42</v>
      </c>
      <c r="K76" s="209">
        <v>42</v>
      </c>
      <c r="L76" s="210">
        <v>42</v>
      </c>
      <c r="M76" s="211">
        <f>11803.63+1320.23+3132.15+12104.63+822.42+4875.99+435.02+2678.15+3594.84</f>
        <v>40767.06</v>
      </c>
      <c r="N76" s="211">
        <f>11803.63+1320.23+3132.15+12104.63+822.42+4875.99+435.02</f>
        <v>34494.069999999992</v>
      </c>
      <c r="O76" s="212">
        <f t="shared" si="4"/>
        <v>6272.9900000000052</v>
      </c>
      <c r="P76" s="213">
        <v>5</v>
      </c>
      <c r="Q76" s="214">
        <v>5</v>
      </c>
      <c r="R76" s="215">
        <v>5</v>
      </c>
      <c r="S76" s="97">
        <f>5751.78+461.63</f>
        <v>6213.41</v>
      </c>
      <c r="T76" s="97">
        <v>5751.78</v>
      </c>
      <c r="U76" s="97">
        <f t="shared" si="5"/>
        <v>461.63000000000011</v>
      </c>
      <c r="V76" s="161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ht="31.5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25</v>
      </c>
      <c r="I77" s="210">
        <v>14</v>
      </c>
      <c r="J77" s="210">
        <v>18</v>
      </c>
      <c r="K77" s="209">
        <v>18</v>
      </c>
      <c r="L77" s="210">
        <v>16</v>
      </c>
      <c r="M77" s="211">
        <f>4234.67+4498.63+1766.87+2083.87+1368.44+4016.5</f>
        <v>17968.979999999996</v>
      </c>
      <c r="N77" s="211">
        <f>4234.67+4498.63+1766.87+2083.87+1368.44+4016.5</f>
        <v>17968.979999999996</v>
      </c>
      <c r="O77" s="212">
        <f t="shared" si="4"/>
        <v>0</v>
      </c>
      <c r="P77" s="213"/>
      <c r="Q77" s="214"/>
      <c r="R77" s="215"/>
      <c r="S77" s="97"/>
      <c r="T77" s="97"/>
      <c r="U77" s="97">
        <f t="shared" si="5"/>
        <v>0</v>
      </c>
      <c r="V77" s="161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</row>
    <row r="78" spans="1:42" ht="31.5" x14ac:dyDescent="0.25">
      <c r="A78" s="155" t="s">
        <v>315</v>
      </c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210"/>
      <c r="J78" s="210"/>
      <c r="K78" s="209"/>
      <c r="L78" s="210"/>
      <c r="M78" s="211"/>
      <c r="N78" s="211"/>
      <c r="O78" s="212">
        <f t="shared" si="4"/>
        <v>0</v>
      </c>
      <c r="P78" s="213">
        <v>9</v>
      </c>
      <c r="Q78" s="214">
        <v>9</v>
      </c>
      <c r="R78" s="215">
        <v>9</v>
      </c>
      <c r="S78" s="97">
        <f>3889.76+778.48</f>
        <v>4668.24</v>
      </c>
      <c r="T78" s="97">
        <f>3889.76+778.48</f>
        <v>4668.24</v>
      </c>
      <c r="U78" s="97">
        <f t="shared" si="5"/>
        <v>0</v>
      </c>
      <c r="V78" s="161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1:42" ht="31.5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25</v>
      </c>
      <c r="I79" s="210">
        <v>15</v>
      </c>
      <c r="J79" s="210">
        <v>21</v>
      </c>
      <c r="K79" s="209">
        <v>21</v>
      </c>
      <c r="L79" s="210">
        <v>21</v>
      </c>
      <c r="M79" s="211">
        <f>8913.81+7027.61+1244.33+15395.91+4278.3</f>
        <v>36859.96</v>
      </c>
      <c r="N79" s="211">
        <f>8913.81+7027.61+1244.33+15395.91+4278.3</f>
        <v>36859.96</v>
      </c>
      <c r="O79" s="212">
        <f t="shared" si="4"/>
        <v>0</v>
      </c>
      <c r="P79" s="213">
        <v>4</v>
      </c>
      <c r="Q79" s="214">
        <v>4</v>
      </c>
      <c r="R79" s="215">
        <v>4</v>
      </c>
      <c r="S79" s="97">
        <f>275.6+4163.58</f>
        <v>4439.18</v>
      </c>
      <c r="T79" s="97">
        <f>275.6+4163.58</f>
        <v>4439.18</v>
      </c>
      <c r="U79" s="97">
        <f t="shared" si="5"/>
        <v>0</v>
      </c>
      <c r="V79" s="161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1:42" ht="31.5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19</v>
      </c>
      <c r="I80" s="210">
        <v>14</v>
      </c>
      <c r="J80" s="210">
        <v>22</v>
      </c>
      <c r="K80" s="209">
        <v>22</v>
      </c>
      <c r="L80" s="210">
        <v>22</v>
      </c>
      <c r="M80" s="211">
        <f>14959.64+7384.39+14758.51+362.5+822.42+1311.95</f>
        <v>39599.409999999996</v>
      </c>
      <c r="N80" s="211">
        <f>14959.64+7384.39+14758.51+362.5+822.42</f>
        <v>38287.46</v>
      </c>
      <c r="O80" s="212">
        <f t="shared" si="4"/>
        <v>1311.9499999999971</v>
      </c>
      <c r="P80" s="213">
        <v>10</v>
      </c>
      <c r="Q80" s="214">
        <v>10</v>
      </c>
      <c r="R80" s="215">
        <v>10</v>
      </c>
      <c r="S80" s="97">
        <f>13554.7+2057.24+454.74</f>
        <v>16066.68</v>
      </c>
      <c r="T80" s="97">
        <f>13554.7+2057.24+454.74</f>
        <v>16066.68</v>
      </c>
      <c r="U80" s="97">
        <f t="shared" si="5"/>
        <v>0</v>
      </c>
      <c r="V80" s="161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210">
        <v>2</v>
      </c>
      <c r="J81" s="210">
        <v>4</v>
      </c>
      <c r="K81" s="209">
        <v>4</v>
      </c>
      <c r="L81" s="210">
        <v>3</v>
      </c>
      <c r="M81" s="211">
        <f>287.1+4640.98+1283.25</f>
        <v>6211.33</v>
      </c>
      <c r="N81" s="211">
        <v>287.10000000000002</v>
      </c>
      <c r="O81" s="212">
        <f t="shared" si="4"/>
        <v>5924.23</v>
      </c>
      <c r="P81" s="213">
        <v>1</v>
      </c>
      <c r="Q81" s="214">
        <v>1</v>
      </c>
      <c r="R81" s="215">
        <v>1</v>
      </c>
      <c r="S81" s="97">
        <v>2673.24</v>
      </c>
      <c r="T81" s="97">
        <v>2673.24</v>
      </c>
      <c r="U81" s="97">
        <f t="shared" si="5"/>
        <v>0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21</v>
      </c>
      <c r="I82" s="210">
        <v>17</v>
      </c>
      <c r="J82" s="210">
        <v>18</v>
      </c>
      <c r="K82" s="209">
        <v>18</v>
      </c>
      <c r="L82" s="210">
        <v>18</v>
      </c>
      <c r="M82" s="211">
        <f>2626.75+8084.46+600.05+7445.83+942.5+668.95+1283.25</f>
        <v>21651.789999999997</v>
      </c>
      <c r="N82" s="211">
        <f>2626.75+8084.46+600.05+7445.83+942.5+668.95</f>
        <v>20368.539999999997</v>
      </c>
      <c r="O82" s="212">
        <f t="shared" si="4"/>
        <v>1283.25</v>
      </c>
      <c r="P82" s="213">
        <v>10</v>
      </c>
      <c r="Q82" s="214">
        <v>10</v>
      </c>
      <c r="R82" s="215">
        <v>10</v>
      </c>
      <c r="S82" s="97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25</v>
      </c>
      <c r="I83" s="210">
        <v>14</v>
      </c>
      <c r="J83" s="210">
        <v>29</v>
      </c>
      <c r="K83" s="209">
        <v>29</v>
      </c>
      <c r="L83" s="210">
        <v>29</v>
      </c>
      <c r="M83" s="211">
        <f>11232.31+3440.1+14435.12-1360.99+3088.95+2556.06+1891.38</f>
        <v>35282.929999999993</v>
      </c>
      <c r="N83" s="211">
        <f>11232.31+3440.1+14435.12-1360.99+3088.95+2556.06</f>
        <v>33391.549999999996</v>
      </c>
      <c r="O83" s="212">
        <f t="shared" si="4"/>
        <v>1891.3799999999974</v>
      </c>
      <c r="P83" s="213">
        <v>7</v>
      </c>
      <c r="Q83" s="214">
        <v>7</v>
      </c>
      <c r="R83" s="215">
        <v>7</v>
      </c>
      <c r="S83" s="97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21</v>
      </c>
      <c r="I84" s="210">
        <v>15</v>
      </c>
      <c r="J84" s="210">
        <v>24</v>
      </c>
      <c r="K84" s="209">
        <v>24</v>
      </c>
      <c r="L84" s="210">
        <v>23</v>
      </c>
      <c r="M84" s="211">
        <f>5429.56+2272.28+2029.9+2976.46+1243.6+3190.51</f>
        <v>17142.310000000001</v>
      </c>
      <c r="N84" s="211">
        <f>5429.56+2272.28+2029.9+2976.46+1243.6+3190.51</f>
        <v>17142.310000000001</v>
      </c>
      <c r="O84" s="212">
        <f t="shared" si="4"/>
        <v>0</v>
      </c>
      <c r="P84" s="213">
        <v>1</v>
      </c>
      <c r="Q84" s="214">
        <v>1</v>
      </c>
      <c r="R84" s="215">
        <v>1</v>
      </c>
      <c r="S84" s="97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47</v>
      </c>
      <c r="I85" s="210">
        <v>40</v>
      </c>
      <c r="J85" s="210">
        <v>67</v>
      </c>
      <c r="K85" s="209">
        <v>62</v>
      </c>
      <c r="L85" s="210">
        <v>62</v>
      </c>
      <c r="M85" s="211">
        <f>15506.09+4089.12+1924.78+1267.55+6546.86+1962.04+654.22+1080.22+392.95+1059.68+8180.45+435</f>
        <v>43098.959999999992</v>
      </c>
      <c r="N85" s="211">
        <f>15506.09+4089.12+1924.78+1267.55+6546.86+1962.04+654.22+1080.22+392.95+1059.68</f>
        <v>34483.509999999995</v>
      </c>
      <c r="O85" s="212">
        <f t="shared" si="4"/>
        <v>8615.4499999999971</v>
      </c>
      <c r="P85" s="213">
        <v>5</v>
      </c>
      <c r="Q85" s="214">
        <v>5</v>
      </c>
      <c r="R85" s="215">
        <v>5</v>
      </c>
      <c r="S85" s="97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22</v>
      </c>
      <c r="I86" s="210">
        <v>18</v>
      </c>
      <c r="J86" s="210">
        <v>19</v>
      </c>
      <c r="K86" s="209">
        <v>19</v>
      </c>
      <c r="L86" s="210">
        <v>14</v>
      </c>
      <c r="M86" s="211">
        <f>1956.76+1128.38+1752.82+1595</f>
        <v>6432.96</v>
      </c>
      <c r="N86" s="211">
        <f>1956.76+1128.38+1752.82</f>
        <v>4837.96</v>
      </c>
      <c r="O86" s="212">
        <f t="shared" si="4"/>
        <v>1595</v>
      </c>
      <c r="P86" s="213">
        <v>2</v>
      </c>
      <c r="Q86" s="214">
        <v>2</v>
      </c>
      <c r="R86" s="215">
        <v>2</v>
      </c>
      <c r="S86" s="97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10</v>
      </c>
      <c r="I87" s="210">
        <v>7</v>
      </c>
      <c r="J87" s="210">
        <v>12</v>
      </c>
      <c r="K87" s="209">
        <v>12</v>
      </c>
      <c r="L87" s="210">
        <v>10</v>
      </c>
      <c r="M87" s="211">
        <f>795.8+4099.92+1305+358.88+1643.65+1026.38</f>
        <v>9229.630000000001</v>
      </c>
      <c r="N87" s="211">
        <f>795.8+4099.92+1305+358.88+1643.65</f>
        <v>8203.25</v>
      </c>
      <c r="O87" s="212">
        <f t="shared" si="4"/>
        <v>1026.380000000001</v>
      </c>
      <c r="P87" s="213">
        <v>6</v>
      </c>
      <c r="Q87" s="214">
        <v>6</v>
      </c>
      <c r="R87" s="215">
        <v>6</v>
      </c>
      <c r="S87" s="97">
        <f>2723.78+3718.48+4265.16+4595.62</f>
        <v>15303.04</v>
      </c>
      <c r="T87" s="97">
        <f>2723.78+3718.48+4265.16+4595.62</f>
        <v>15303.04</v>
      </c>
      <c r="U87" s="97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210"/>
      <c r="J88" s="210"/>
      <c r="K88" s="209"/>
      <c r="L88" s="210"/>
      <c r="M88" s="211"/>
      <c r="N88" s="211"/>
      <c r="O88" s="212">
        <f t="shared" si="4"/>
        <v>0</v>
      </c>
      <c r="P88" s="213">
        <v>6</v>
      </c>
      <c r="Q88" s="214">
        <v>6</v>
      </c>
      <c r="R88" s="215">
        <v>6</v>
      </c>
      <c r="S88" s="97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15</v>
      </c>
      <c r="I89" s="210">
        <v>9</v>
      </c>
      <c r="J89" s="210">
        <v>11</v>
      </c>
      <c r="K89" s="209">
        <v>11</v>
      </c>
      <c r="L89" s="210">
        <v>11</v>
      </c>
      <c r="M89" s="211">
        <f>2874.33+1509.2+1943+315.81+145+874.35</f>
        <v>7661.6900000000005</v>
      </c>
      <c r="N89" s="211">
        <f>2874.33+1509.2+1943+315.81</f>
        <v>6642.34</v>
      </c>
      <c r="O89" s="212">
        <f t="shared" si="4"/>
        <v>1019.3500000000004</v>
      </c>
      <c r="P89" s="213">
        <v>8</v>
      </c>
      <c r="Q89" s="214">
        <v>8</v>
      </c>
      <c r="R89" s="215">
        <v>7</v>
      </c>
      <c r="S89" s="97">
        <f>8161.92+1118.75+3779.58+1127.2+2077.34</f>
        <v>16264.79</v>
      </c>
      <c r="T89" s="97">
        <f>8161.92+1118.75+3779.58+1127.2</f>
        <v>14187.45</v>
      </c>
      <c r="U89" s="97">
        <f t="shared" si="5"/>
        <v>2077.34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51</v>
      </c>
      <c r="I90" s="210">
        <v>47</v>
      </c>
      <c r="J90" s="210">
        <v>82</v>
      </c>
      <c r="K90" s="209">
        <v>82</v>
      </c>
      <c r="L90" s="210">
        <v>82</v>
      </c>
      <c r="M90" s="211">
        <f>14303.46+6714.67+1828.05+13505.93+582.9+8733.75+358.88+2031-1990+16472.8</f>
        <v>62541.440000000002</v>
      </c>
      <c r="N90" s="211">
        <f>14303.46+6714.67+1828.05+13505.93+582.9+8733.75+358.88+2031-1990</f>
        <v>46068.639999999999</v>
      </c>
      <c r="O90" s="212">
        <f t="shared" si="4"/>
        <v>16472.800000000003</v>
      </c>
      <c r="P90" s="213">
        <v>8</v>
      </c>
      <c r="Q90" s="214">
        <v>8</v>
      </c>
      <c r="R90" s="215">
        <v>8</v>
      </c>
      <c r="S90" s="97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33</v>
      </c>
      <c r="I91" s="210">
        <v>17</v>
      </c>
      <c r="J91" s="210">
        <v>24</v>
      </c>
      <c r="K91" s="209">
        <v>23</v>
      </c>
      <c r="L91" s="210">
        <v>23</v>
      </c>
      <c r="M91" s="211">
        <f>5384.83+3572.76+8100.09+725+145+1865.54</f>
        <v>19793.22</v>
      </c>
      <c r="N91" s="211">
        <f>5384.83+3572.76+8100.09+870</f>
        <v>17927.68</v>
      </c>
      <c r="O91" s="212">
        <f t="shared" si="4"/>
        <v>1865.5400000000009</v>
      </c>
      <c r="P91" s="213">
        <v>7</v>
      </c>
      <c r="Q91" s="214">
        <v>7</v>
      </c>
      <c r="R91" s="215">
        <v>7</v>
      </c>
      <c r="S91" s="97">
        <f>6219.66+748.35+1502.94</f>
        <v>8470.9500000000007</v>
      </c>
      <c r="T91" s="97">
        <f>6219.66+748.35+1502.94</f>
        <v>8470.9500000000007</v>
      </c>
      <c r="U91" s="97">
        <f t="shared" si="5"/>
        <v>0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26</v>
      </c>
      <c r="I92" s="210">
        <v>17</v>
      </c>
      <c r="J92" s="210">
        <v>25</v>
      </c>
      <c r="K92" s="209">
        <v>25</v>
      </c>
      <c r="L92" s="210">
        <v>23</v>
      </c>
      <c r="M92" s="211">
        <f>2301.54+4352.56+3555.69+1798.94+1481.14+763.69+2342.6+947.21+1435.6+2658.12</f>
        <v>21637.089999999997</v>
      </c>
      <c r="N92" s="211">
        <f>2301.54+4352.56+3555.69+1798.94+1481.14+763.69+2342.6+947.21</f>
        <v>17543.37</v>
      </c>
      <c r="O92" s="212">
        <f t="shared" si="4"/>
        <v>4093.7199999999975</v>
      </c>
      <c r="P92" s="213">
        <v>1</v>
      </c>
      <c r="Q92" s="214">
        <v>1</v>
      </c>
      <c r="R92" s="215">
        <v>1</v>
      </c>
      <c r="S92" s="97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119</v>
      </c>
      <c r="I93" s="210">
        <v>96</v>
      </c>
      <c r="J93" s="210">
        <v>115</v>
      </c>
      <c r="K93" s="209">
        <v>99</v>
      </c>
      <c r="L93" s="210">
        <v>83</v>
      </c>
      <c r="M93" s="211">
        <f>14656.12+3543.47+2420.25+2112.66+1299.21+2099.6+145+12320.24+7256.93+7391.73+3180.78+6298.93</f>
        <v>62724.919999999991</v>
      </c>
      <c r="N93" s="211">
        <f>14656.12+3543.47+2420.25+2112.66+1299.21+2099.6+145-10054.69+12320.24+13235.47</f>
        <v>41777.329999999994</v>
      </c>
      <c r="O93" s="212">
        <f t="shared" si="4"/>
        <v>20947.589999999997</v>
      </c>
      <c r="P93" s="213">
        <v>10</v>
      </c>
      <c r="Q93" s="214">
        <v>10</v>
      </c>
      <c r="R93" s="215">
        <v>10</v>
      </c>
      <c r="S93" s="97">
        <f>11083.64+344.5</f>
        <v>11428.14</v>
      </c>
      <c r="T93" s="97">
        <f>11083.64+344.5</f>
        <v>11428.14</v>
      </c>
      <c r="U93" s="97">
        <f t="shared" si="5"/>
        <v>0</v>
      </c>
      <c r="V93" s="161"/>
      <c r="AF93" s="145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46</v>
      </c>
      <c r="I94" s="210">
        <v>27</v>
      </c>
      <c r="J94" s="210">
        <v>33</v>
      </c>
      <c r="K94" s="210">
        <v>28</v>
      </c>
      <c r="L94" s="210">
        <v>26</v>
      </c>
      <c r="M94" s="211">
        <f>6576.32+217.5+2898.52+939.6+1008.45+1200.17+3722.95+4136.2+2392.5+736.89</f>
        <v>23829.100000000002</v>
      </c>
      <c r="N94" s="211">
        <f>6576.32+217.5+2898.52+939.6+1008.45+1200.17+3722.95</f>
        <v>16563.510000000002</v>
      </c>
      <c r="O94" s="212">
        <f t="shared" si="4"/>
        <v>7265.59</v>
      </c>
      <c r="P94" s="213">
        <v>24</v>
      </c>
      <c r="Q94" s="215">
        <v>24</v>
      </c>
      <c r="R94" s="215">
        <v>24</v>
      </c>
      <c r="S94" s="97">
        <f>18253.04+4245.2+858.65+1546.26+14802.65</f>
        <v>39705.800000000003</v>
      </c>
      <c r="T94" s="97">
        <f>18253.04+4245.2+858.65+1546.26+14802.65</f>
        <v>39705.800000000003</v>
      </c>
      <c r="U94" s="97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34</v>
      </c>
      <c r="I95" s="210">
        <v>17</v>
      </c>
      <c r="J95" s="210">
        <v>24</v>
      </c>
      <c r="K95" s="209">
        <v>24</v>
      </c>
      <c r="L95" s="210">
        <v>21</v>
      </c>
      <c r="M95" s="211">
        <f>2362.32+22110.36+455.21+2039.58+953.22+699.73+275.6+9654.91+1049.72+2185.88+466.54</f>
        <v>42253.07</v>
      </c>
      <c r="N95" s="211">
        <f>2362.32+22110.36+455.21+2039.58+953.22+699.73+275.6+9654.91+1049.22</f>
        <v>39600.15</v>
      </c>
      <c r="O95" s="212">
        <f t="shared" si="4"/>
        <v>2652.9199999999983</v>
      </c>
      <c r="P95" s="213">
        <v>16</v>
      </c>
      <c r="Q95" s="214">
        <v>16</v>
      </c>
      <c r="R95" s="215">
        <v>16</v>
      </c>
      <c r="S95" s="97">
        <f>24552.24+1001.28+122.46+1729.98-1</f>
        <v>27404.959999999999</v>
      </c>
      <c r="T95" s="97">
        <f>24552.24+1001.28+122.46+1729.98-1</f>
        <v>27404.959999999999</v>
      </c>
      <c r="U95" s="97">
        <f t="shared" si="5"/>
        <v>0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11</v>
      </c>
      <c r="I96" s="210">
        <v>7</v>
      </c>
      <c r="J96" s="210">
        <v>11</v>
      </c>
      <c r="K96" s="209">
        <v>10</v>
      </c>
      <c r="L96" s="210">
        <v>10</v>
      </c>
      <c r="M96" s="211">
        <f>826.8+2786.41+2401.3</f>
        <v>6014.51</v>
      </c>
      <c r="N96" s="211">
        <f>826.8+2786.41+2401.3</f>
        <v>6014.51</v>
      </c>
      <c r="O96" s="212">
        <f t="shared" si="4"/>
        <v>0</v>
      </c>
      <c r="P96" s="213"/>
      <c r="Q96" s="214"/>
      <c r="R96" s="215"/>
      <c r="S96" s="97"/>
      <c r="T96" s="97"/>
      <c r="U96" s="97">
        <f t="shared" si="5"/>
        <v>0</v>
      </c>
      <c r="V96" s="161"/>
    </row>
    <row r="97" spans="1:36" customFormat="1" ht="31.5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210">
        <v>7</v>
      </c>
      <c r="J97" s="210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3171.93+1457.25+380.63</f>
        <v>5009.8100000000004</v>
      </c>
      <c r="O97" s="212">
        <f t="shared" si="4"/>
        <v>0</v>
      </c>
      <c r="P97" s="213">
        <v>4</v>
      </c>
      <c r="Q97" s="214">
        <v>4</v>
      </c>
      <c r="R97" s="215">
        <v>4</v>
      </c>
      <c r="S97" s="97">
        <v>1744.35</v>
      </c>
      <c r="T97" s="97">
        <v>1744.35</v>
      </c>
      <c r="U97" s="97">
        <f t="shared" si="5"/>
        <v>0</v>
      </c>
      <c r="V97" s="161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</row>
    <row r="98" spans="1:36" customFormat="1" ht="31.5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20</v>
      </c>
      <c r="I98" s="210">
        <v>13</v>
      </c>
      <c r="J98" s="210">
        <v>14</v>
      </c>
      <c r="K98" s="209">
        <v>14</v>
      </c>
      <c r="L98" s="210">
        <v>12</v>
      </c>
      <c r="M98" s="211">
        <f>757.9+551.2+895.7+290+725+841.2+290</f>
        <v>4351</v>
      </c>
      <c r="N98" s="211">
        <f>757.9+551.2+895.7+290+725+841.2</f>
        <v>4061</v>
      </c>
      <c r="O98" s="212">
        <f t="shared" si="4"/>
        <v>290</v>
      </c>
      <c r="P98" s="213">
        <v>13</v>
      </c>
      <c r="Q98" s="214">
        <v>13</v>
      </c>
      <c r="R98" s="215">
        <v>13</v>
      </c>
      <c r="S98" s="97">
        <f>8034.56+3466.13+4060.73+413.4</f>
        <v>15974.82</v>
      </c>
      <c r="T98" s="97">
        <f>8034.56+3466.13+4060.73+413.4</f>
        <v>15974.82</v>
      </c>
      <c r="U98" s="97">
        <f t="shared" si="5"/>
        <v>0</v>
      </c>
      <c r="V98" s="161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</row>
    <row r="99" spans="1:36" customFormat="1" ht="31.5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29</v>
      </c>
      <c r="I99" s="210">
        <v>21</v>
      </c>
      <c r="J99" s="210">
        <v>27</v>
      </c>
      <c r="K99" s="209">
        <v>27</v>
      </c>
      <c r="L99" s="210">
        <v>26</v>
      </c>
      <c r="M99" s="211">
        <f>4782.23+1353.89+2195.41+1197.7+1340.79+681.5+699.48+1909.51+3782.6</f>
        <v>17943.11</v>
      </c>
      <c r="N99" s="211">
        <f>4782.23+1353.89+2195.41+1197.7+1340.79+681.57+699.48</f>
        <v>12251.07</v>
      </c>
      <c r="O99" s="212">
        <f t="shared" si="4"/>
        <v>5692.0400000000009</v>
      </c>
      <c r="P99" s="213">
        <v>12</v>
      </c>
      <c r="Q99" s="214">
        <v>12</v>
      </c>
      <c r="R99" s="215">
        <v>12</v>
      </c>
      <c r="S99" s="97">
        <f>12321.66+1021.27+487.2+781.96</f>
        <v>14612.09</v>
      </c>
      <c r="T99" s="97">
        <f>12321.66+1021.27+487.2</f>
        <v>13830.130000000001</v>
      </c>
      <c r="U99" s="97">
        <f t="shared" si="5"/>
        <v>781.95999999999913</v>
      </c>
      <c r="V99" s="161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</row>
    <row r="100" spans="1:36" customFormat="1" ht="31.5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34</v>
      </c>
      <c r="I100" s="210">
        <v>12</v>
      </c>
      <c r="J100" s="210">
        <v>21</v>
      </c>
      <c r="K100" s="209">
        <v>21</v>
      </c>
      <c r="L100" s="210">
        <v>21</v>
      </c>
      <c r="M100" s="211">
        <f>10862.96+2375.03+5632.11+356.47+2077.94+875.35+630.95</f>
        <v>22810.809999999998</v>
      </c>
      <c r="N100" s="211">
        <f>10862.96+2375.03+5632.11+357.47+2077.94</f>
        <v>21305.51</v>
      </c>
      <c r="O100" s="212">
        <f t="shared" si="4"/>
        <v>1505.2999999999993</v>
      </c>
      <c r="P100" s="213">
        <v>10</v>
      </c>
      <c r="Q100" s="214">
        <v>10</v>
      </c>
      <c r="R100" s="215">
        <v>10</v>
      </c>
      <c r="S100" s="97">
        <f>4780.1+2135.9</f>
        <v>6916</v>
      </c>
      <c r="T100" s="97">
        <f>4780.1+2135.9</f>
        <v>6916</v>
      </c>
      <c r="U100" s="97">
        <f t="shared" si="5"/>
        <v>0</v>
      </c>
      <c r="V100" s="161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45"/>
      <c r="AG100" s="134"/>
      <c r="AH100" s="134"/>
      <c r="AI100" s="134"/>
    </row>
    <row r="101" spans="1:36" customFormat="1" ht="31.5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102</v>
      </c>
      <c r="I101" s="210">
        <v>69</v>
      </c>
      <c r="J101" s="210">
        <v>80</v>
      </c>
      <c r="K101" s="209">
        <v>74</v>
      </c>
      <c r="L101" s="210">
        <v>60</v>
      </c>
      <c r="M101" s="211">
        <f>16276.16+4466.66+1078.5+4011.53+435+1493.5+2243.15+1864.7+4804.86+840+5133.33+10737-380.89</f>
        <v>53003.5</v>
      </c>
      <c r="N101" s="211">
        <f>16276.16+4466.66+1078.5+4011.53+435+1493.5+2243.15-144.3-2415.9+5133.33+2766.9</f>
        <v>35344.53</v>
      </c>
      <c r="O101" s="212">
        <f t="shared" si="4"/>
        <v>17658.97</v>
      </c>
      <c r="P101" s="213">
        <v>36</v>
      </c>
      <c r="Q101" s="214">
        <v>36</v>
      </c>
      <c r="R101" s="215">
        <v>35</v>
      </c>
      <c r="S101" s="97">
        <f>21329.45-2252.12+532.3+345.99+26455.28+1.67+3039.85-3960.98+551.2+1658</f>
        <v>47700.639999999992</v>
      </c>
      <c r="T101" s="97">
        <f>21329.45-2252.12+532.3+345.99+26455.28+1.67+3039.85-3960.98+2209.2</f>
        <v>47700.639999999992</v>
      </c>
      <c r="U101" s="97">
        <f t="shared" si="5"/>
        <v>0</v>
      </c>
      <c r="V101" s="161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45"/>
      <c r="AI101" s="134"/>
    </row>
    <row r="102" spans="1:36" customFormat="1" ht="31.5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13</v>
      </c>
      <c r="I102" s="217">
        <v>9</v>
      </c>
      <c r="J102" s="217">
        <v>12</v>
      </c>
      <c r="K102" s="216">
        <v>12</v>
      </c>
      <c r="L102" s="217">
        <v>12</v>
      </c>
      <c r="M102" s="218">
        <f>3259.83+1328.19+2964.21+8477.2+2525.13</f>
        <v>18554.560000000001</v>
      </c>
      <c r="N102" s="218">
        <f>3259.83+1328.19+2964.21+8477.2</f>
        <v>16029.43</v>
      </c>
      <c r="O102" s="212">
        <f t="shared" si="4"/>
        <v>2525.130000000001</v>
      </c>
      <c r="P102" s="219">
        <v>4</v>
      </c>
      <c r="Q102" s="220">
        <v>4</v>
      </c>
      <c r="R102" s="221">
        <v>4</v>
      </c>
      <c r="S102" s="147">
        <f>1193.3+5843.89</f>
        <v>7037.1900000000005</v>
      </c>
      <c r="T102" s="147">
        <f>1193.3+5843.89</f>
        <v>7037.1900000000005</v>
      </c>
      <c r="U102" s="147">
        <f t="shared" si="5"/>
        <v>0</v>
      </c>
      <c r="V102" s="161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</row>
    <row r="103" spans="1:36" customFormat="1" ht="31.5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27</v>
      </c>
      <c r="I103" s="210">
        <v>8</v>
      </c>
      <c r="J103" s="210">
        <v>10</v>
      </c>
      <c r="K103" s="209">
        <v>10</v>
      </c>
      <c r="L103" s="210">
        <v>8</v>
      </c>
      <c r="M103" s="211">
        <f>699.33+580+1941.55</f>
        <v>3220.88</v>
      </c>
      <c r="N103" s="211">
        <f>699.33+580+1941.55</f>
        <v>3220.88</v>
      </c>
      <c r="O103" s="212">
        <f t="shared" si="4"/>
        <v>0</v>
      </c>
      <c r="P103" s="215"/>
      <c r="Q103" s="214"/>
      <c r="R103" s="215"/>
      <c r="S103" s="97"/>
      <c r="T103" s="97"/>
      <c r="U103" s="147">
        <f t="shared" si="5"/>
        <v>0</v>
      </c>
      <c r="V103" s="161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</row>
    <row r="104" spans="1:36" customFormat="1" ht="31.5" x14ac:dyDescent="0.25">
      <c r="A104" s="155"/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210">
        <v>2</v>
      </c>
      <c r="J104" s="210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214"/>
      <c r="R104" s="215"/>
      <c r="S104" s="97"/>
      <c r="T104" s="97"/>
      <c r="U104" s="97">
        <f t="shared" si="5"/>
        <v>0</v>
      </c>
      <c r="V104" s="161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45"/>
      <c r="AG104" s="134"/>
      <c r="AH104" s="145"/>
      <c r="AI104" s="134"/>
    </row>
    <row r="105" spans="1:36" customFormat="1" x14ac:dyDescent="0.25">
      <c r="A105" s="155"/>
      <c r="B105" s="362"/>
      <c r="C105" s="362"/>
      <c r="D105" s="362"/>
      <c r="E105" s="362"/>
      <c r="F105" s="362"/>
      <c r="G105" s="362"/>
      <c r="H105" s="119">
        <f t="shared" ref="H105:P105" si="7">SUM(H10:H104)</f>
        <v>2691</v>
      </c>
      <c r="I105" s="223">
        <f t="shared" si="7"/>
        <v>1793</v>
      </c>
      <c r="J105" s="223">
        <f t="shared" si="7"/>
        <v>2416</v>
      </c>
      <c r="K105" s="222">
        <f t="shared" si="7"/>
        <v>2287</v>
      </c>
      <c r="L105" s="223">
        <f t="shared" si="7"/>
        <v>2154</v>
      </c>
      <c r="M105" s="224">
        <f t="shared" si="7"/>
        <v>1813039.34</v>
      </c>
      <c r="N105" s="224">
        <f t="shared" si="7"/>
        <v>1499787.8900000004</v>
      </c>
      <c r="O105" s="224">
        <f t="shared" si="7"/>
        <v>313251.44999999995</v>
      </c>
      <c r="P105" s="225">
        <f t="shared" si="7"/>
        <v>759</v>
      </c>
      <c r="Q105" s="226">
        <f>SUM(Q10:Q104)</f>
        <v>758</v>
      </c>
      <c r="R105" s="225">
        <f>SUM(R11:R104)</f>
        <v>738</v>
      </c>
      <c r="S105" s="151">
        <f>SUM(S10:S104)</f>
        <v>1052963.26</v>
      </c>
      <c r="T105" s="151">
        <f>SUM(T10:T104)</f>
        <v>1028444.2099999998</v>
      </c>
      <c r="U105" s="151">
        <f>SUM(U10:U104)</f>
        <v>24519.049999999996</v>
      </c>
      <c r="V105" s="244"/>
      <c r="W105" s="245"/>
      <c r="X105" s="246"/>
      <c r="Y105" s="245"/>
      <c r="Z105" s="246"/>
      <c r="AA105" s="245"/>
      <c r="AB105" s="246"/>
      <c r="AC105" s="246"/>
      <c r="AD105" s="246"/>
      <c r="AE105" s="246"/>
      <c r="AF105" s="245"/>
      <c r="AG105" s="245"/>
      <c r="AH105" s="236"/>
      <c r="AI105" s="134"/>
    </row>
    <row r="106" spans="1:36" customFormat="1" x14ac:dyDescent="0.25">
      <c r="A106" s="155"/>
      <c r="B106" s="184"/>
      <c r="C106" s="184"/>
      <c r="D106" s="184"/>
      <c r="E106" s="184"/>
      <c r="F106" s="184"/>
      <c r="G106" s="184"/>
      <c r="H106" s="184"/>
      <c r="I106" s="184"/>
      <c r="J106" s="227"/>
      <c r="K106" s="227"/>
      <c r="L106" s="227"/>
      <c r="M106" s="228"/>
      <c r="N106" s="228"/>
      <c r="O106" s="228"/>
      <c r="P106" s="228"/>
      <c r="Q106" s="228"/>
      <c r="R106" s="228"/>
      <c r="S106" s="185"/>
      <c r="T106" s="185"/>
      <c r="U106" s="186"/>
      <c r="V106" s="245"/>
      <c r="W106" s="245"/>
      <c r="X106" s="246"/>
      <c r="Y106" s="246"/>
      <c r="Z106" s="246"/>
      <c r="AA106" s="246"/>
      <c r="AB106" s="246"/>
      <c r="AC106" s="246"/>
      <c r="AD106" s="246"/>
      <c r="AE106" s="246"/>
      <c r="AF106" s="245"/>
      <c r="AG106" s="246"/>
      <c r="AH106" s="235"/>
      <c r="AI106" s="134"/>
    </row>
    <row r="107" spans="1:36" customFormat="1" x14ac:dyDescent="0.25">
      <c r="A107" s="155"/>
      <c r="B107" s="184"/>
      <c r="C107" s="184"/>
      <c r="D107" s="184"/>
      <c r="E107" s="184"/>
      <c r="F107" s="184"/>
      <c r="G107" s="184"/>
      <c r="H107" s="184"/>
      <c r="I107" s="184"/>
      <c r="J107" s="227"/>
      <c r="K107" s="227"/>
      <c r="L107" s="227"/>
      <c r="M107" s="228"/>
      <c r="N107" s="228"/>
      <c r="O107" s="228"/>
      <c r="P107" s="228"/>
      <c r="Q107" s="228"/>
      <c r="R107" s="228"/>
      <c r="S107" s="185"/>
      <c r="T107" s="185"/>
      <c r="U107" s="186"/>
      <c r="V107" s="245"/>
      <c r="W107" s="245"/>
      <c r="X107" s="246"/>
      <c r="Y107" s="246"/>
      <c r="Z107" s="246"/>
      <c r="AA107" s="246"/>
      <c r="AB107" s="246"/>
      <c r="AC107" s="246"/>
      <c r="AD107" s="246"/>
      <c r="AE107" s="246"/>
      <c r="AF107" s="245"/>
      <c r="AG107" s="245"/>
      <c r="AH107" s="234"/>
      <c r="AI107" s="145"/>
      <c r="AJ107" s="59"/>
    </row>
    <row r="108" spans="1:36" customFormat="1" x14ac:dyDescent="0.25">
      <c r="A108" s="155"/>
      <c r="B108" s="184"/>
      <c r="C108" s="184"/>
      <c r="D108" s="184"/>
      <c r="E108" s="184"/>
      <c r="F108" s="184"/>
      <c r="G108" s="184"/>
      <c r="H108" s="184"/>
      <c r="I108" s="184"/>
      <c r="J108" s="227"/>
      <c r="K108" s="227"/>
      <c r="L108" s="227"/>
      <c r="M108" s="228"/>
      <c r="N108" s="228"/>
      <c r="O108" s="228"/>
      <c r="P108" s="228"/>
      <c r="Q108" s="228"/>
      <c r="R108" s="228"/>
      <c r="S108" s="185"/>
      <c r="T108" s="185"/>
      <c r="U108" s="186"/>
      <c r="V108" s="145"/>
      <c r="W108" s="145"/>
      <c r="X108" s="134"/>
      <c r="Y108" s="134"/>
      <c r="Z108" s="134"/>
      <c r="AA108" s="134"/>
      <c r="AB108" s="134"/>
      <c r="AC108" s="134"/>
      <c r="AD108" s="134"/>
      <c r="AE108" s="134"/>
      <c r="AF108" s="234"/>
      <c r="AG108" s="234"/>
      <c r="AH108" s="235"/>
      <c r="AI108" s="134"/>
    </row>
    <row r="109" spans="1:36" customFormat="1" x14ac:dyDescent="0.25">
      <c r="A109" s="155"/>
      <c r="B109" s="184"/>
      <c r="C109" s="184"/>
      <c r="D109" s="184"/>
      <c r="E109" s="184"/>
      <c r="F109" s="184"/>
      <c r="G109" s="184"/>
      <c r="H109" s="184"/>
      <c r="I109" s="184"/>
      <c r="J109" s="227"/>
      <c r="K109" s="227"/>
      <c r="L109" s="227"/>
      <c r="M109" s="228"/>
      <c r="N109" s="228"/>
      <c r="O109" s="228"/>
      <c r="P109" s="228"/>
      <c r="Q109" s="228"/>
      <c r="R109" s="228"/>
      <c r="S109" s="185"/>
      <c r="T109" s="185"/>
      <c r="U109" s="186"/>
      <c r="V109" s="145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235"/>
      <c r="AG109" s="235"/>
      <c r="AH109" s="234"/>
      <c r="AI109" s="134"/>
    </row>
    <row r="110" spans="1:36" customFormat="1" x14ac:dyDescent="0.25">
      <c r="A110" s="155"/>
      <c r="B110" s="184"/>
      <c r="C110" s="184"/>
      <c r="D110" s="184"/>
      <c r="E110" s="184"/>
      <c r="F110" s="184"/>
      <c r="G110" s="184"/>
      <c r="H110" s="184"/>
      <c r="I110" s="184"/>
      <c r="J110" s="227"/>
      <c r="K110" s="227"/>
      <c r="L110" s="227"/>
      <c r="M110" s="228"/>
      <c r="N110" s="228"/>
      <c r="O110" s="228"/>
      <c r="P110" s="228"/>
      <c r="Q110" s="228"/>
      <c r="R110" s="228"/>
      <c r="S110" s="185"/>
      <c r="T110" s="185"/>
      <c r="U110" s="186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235"/>
      <c r="AG110" s="235"/>
      <c r="AH110" s="234"/>
      <c r="AI110" s="134"/>
    </row>
    <row r="111" spans="1:36" customFormat="1" x14ac:dyDescent="0.25">
      <c r="A111" s="155"/>
      <c r="B111" s="184"/>
      <c r="C111" s="184"/>
      <c r="D111" s="184"/>
      <c r="E111" s="184"/>
      <c r="F111" s="184"/>
      <c r="G111" s="184"/>
      <c r="H111" s="184"/>
      <c r="I111" s="184"/>
      <c r="J111" s="227"/>
      <c r="K111" s="227"/>
      <c r="L111" s="227"/>
      <c r="M111" s="228"/>
      <c r="N111" s="228"/>
      <c r="O111" s="228"/>
      <c r="P111" s="228"/>
      <c r="Q111" s="228"/>
      <c r="R111" s="228"/>
      <c r="S111" s="185"/>
      <c r="T111" s="185"/>
      <c r="U111" s="186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235"/>
      <c r="AG111" s="235"/>
      <c r="AH111" s="235"/>
      <c r="AI111" s="134"/>
    </row>
    <row r="112" spans="1:36" customFormat="1" x14ac:dyDescent="0.25">
      <c r="A112" s="155"/>
      <c r="B112" s="184"/>
      <c r="C112" s="184"/>
      <c r="D112" s="184"/>
      <c r="E112" s="184"/>
      <c r="F112" s="184"/>
      <c r="G112" s="184"/>
      <c r="H112" s="184"/>
      <c r="I112" s="184"/>
      <c r="J112" s="227"/>
      <c r="K112" s="227"/>
      <c r="L112" s="227"/>
      <c r="M112" s="228"/>
      <c r="N112" s="228"/>
      <c r="O112" s="228"/>
      <c r="P112" s="228"/>
      <c r="Q112" s="228"/>
      <c r="R112" s="228"/>
      <c r="S112" s="185"/>
      <c r="T112" s="185"/>
      <c r="U112" s="186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235"/>
      <c r="AG112" s="235"/>
      <c r="AH112" s="235"/>
      <c r="AI112" s="134"/>
    </row>
    <row r="113" spans="10:34" customFormat="1" ht="15" x14ac:dyDescent="0.25">
      <c r="J113" s="243"/>
      <c r="K113" s="243"/>
      <c r="L113" s="243"/>
      <c r="M113" s="243"/>
      <c r="N113" s="243"/>
      <c r="O113" s="243"/>
      <c r="P113" s="243"/>
      <c r="Q113" s="243"/>
      <c r="R113" s="243"/>
      <c r="S113" s="55"/>
      <c r="T113" s="55"/>
      <c r="U113" s="59"/>
      <c r="AF113" s="235"/>
      <c r="AG113" s="235"/>
      <c r="AH113" s="235"/>
    </row>
    <row r="114" spans="10:34" customFormat="1" ht="15" x14ac:dyDescent="0.25">
      <c r="J114" s="243"/>
      <c r="K114" s="243"/>
      <c r="L114" s="243"/>
      <c r="M114" s="243"/>
      <c r="N114" s="243"/>
      <c r="O114" s="243"/>
      <c r="P114" s="243"/>
      <c r="Q114" s="243"/>
      <c r="R114" s="243"/>
      <c r="S114" s="55"/>
      <c r="T114" s="55"/>
      <c r="AF114" s="235"/>
      <c r="AG114" s="235"/>
      <c r="AH114" s="23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213" priority="11" stopIfTrue="1" operator="equal">
      <formula>0</formula>
    </cfRule>
  </conditionalFormatting>
  <conditionalFormatting sqref="AL45">
    <cfRule type="cellIs" dxfId="212" priority="10" stopIfTrue="1" operator="equal">
      <formula>0</formula>
    </cfRule>
  </conditionalFormatting>
  <conditionalFormatting sqref="T45">
    <cfRule type="cellIs" dxfId="211" priority="9" stopIfTrue="1" operator="equal">
      <formula>0</formula>
    </cfRule>
  </conditionalFormatting>
  <conditionalFormatting sqref="T45">
    <cfRule type="cellIs" dxfId="210" priority="8" stopIfTrue="1" operator="equal">
      <formula>0</formula>
    </cfRule>
  </conditionalFormatting>
  <conditionalFormatting sqref="T45">
    <cfRule type="cellIs" dxfId="209" priority="7" stopIfTrue="1" operator="equal">
      <formula>0</formula>
    </cfRule>
  </conditionalFormatting>
  <conditionalFormatting sqref="T45">
    <cfRule type="cellIs" dxfId="208" priority="6" stopIfTrue="1" operator="equal">
      <formula>0</formula>
    </cfRule>
  </conditionalFormatting>
  <conditionalFormatting sqref="T45">
    <cfRule type="cellIs" dxfId="207" priority="5" stopIfTrue="1" operator="equal">
      <formula>0</formula>
    </cfRule>
  </conditionalFormatting>
  <conditionalFormatting sqref="T45">
    <cfRule type="cellIs" dxfId="206" priority="4" stopIfTrue="1" operator="equal">
      <formula>0</formula>
    </cfRule>
  </conditionalFormatting>
  <conditionalFormatting sqref="T45">
    <cfRule type="cellIs" dxfId="205" priority="3" stopIfTrue="1" operator="equal">
      <formula>0</formula>
    </cfRule>
  </conditionalFormatting>
  <conditionalFormatting sqref="T45">
    <cfRule type="cellIs" dxfId="204" priority="2" stopIfTrue="1" operator="equal">
      <formula>0</formula>
    </cfRule>
  </conditionalFormatting>
  <conditionalFormatting sqref="T45">
    <cfRule type="cellIs" dxfId="20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F49" zoomScale="70" zoomScaleNormal="70" workbookViewId="0">
      <selection activeCell="L73" sqref="L73"/>
    </sheetView>
  </sheetViews>
  <sheetFormatPr defaultRowHeight="15.75" x14ac:dyDescent="0.25"/>
  <cols>
    <col min="1" max="1" width="6.28515625" style="155" hidden="1" customWidth="1"/>
    <col min="2" max="2" width="7.425781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0" style="184" customWidth="1"/>
    <col min="7" max="7" width="18.5703125" style="184" customWidth="1"/>
    <col min="8" max="8" width="10.7109375" style="184" customWidth="1"/>
    <col min="9" max="9" width="9.140625" style="184" customWidth="1"/>
    <col min="10" max="12" width="9.140625" style="227" customWidth="1"/>
    <col min="13" max="13" width="16.5703125" style="228" customWidth="1"/>
    <col min="14" max="14" width="15.140625" style="228" customWidth="1"/>
    <col min="15" max="15" width="19.5703125" style="228" customWidth="1"/>
    <col min="16" max="17" width="11.85546875" style="228" customWidth="1"/>
    <col min="18" max="18" width="11.7109375" style="228" customWidth="1"/>
    <col min="19" max="19" width="16.7109375" style="228" customWidth="1"/>
    <col min="20" max="20" width="17.140625" style="185" customWidth="1"/>
    <col min="21" max="21" width="17.85546875" style="186" customWidth="1"/>
    <col min="22" max="22" width="15" style="134" customWidth="1"/>
    <col min="23" max="23" width="14" style="134" customWidth="1"/>
    <col min="24" max="24" width="9.140625" style="134" customWidth="1"/>
    <col min="25" max="25" width="9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3" style="134" customWidth="1"/>
    <col min="35" max="35" width="9.140625" style="134" customWidth="1"/>
    <col min="36" max="36" width="11.7109375" style="134" customWidth="1"/>
    <col min="37" max="42" width="9.140625" style="134" customWidth="1"/>
  </cols>
  <sheetData>
    <row r="1" spans="1:40" customFormat="1" ht="16.5" thickBot="1" x14ac:dyDescent="0.3">
      <c r="A1" s="155"/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</row>
    <row r="2" spans="1:40" customFormat="1" x14ac:dyDescent="0.25">
      <c r="A2" s="155"/>
      <c r="B2" s="348" t="s">
        <v>323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</row>
    <row r="3" spans="1:40" customFormat="1" x14ac:dyDescent="0.25">
      <c r="A3" s="155"/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</row>
    <row r="4" spans="1:40" customFormat="1" x14ac:dyDescent="0.25">
      <c r="A4" s="155"/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</row>
    <row r="5" spans="1:40" customFormat="1" x14ac:dyDescent="0.25">
      <c r="A5" s="155"/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</row>
    <row r="6" spans="1:40" customFormat="1" ht="16.5" thickBot="1" x14ac:dyDescent="0.3">
      <c r="A6" s="155"/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</row>
    <row r="7" spans="1:40" customFormat="1" ht="16.5" thickBot="1" x14ac:dyDescent="0.3">
      <c r="A7" s="155"/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324</v>
      </c>
      <c r="Q7" s="360"/>
      <c r="R7" s="360"/>
      <c r="S7" s="360"/>
      <c r="T7" s="360"/>
      <c r="U7" s="361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</row>
    <row r="8" spans="1:40" customFormat="1" ht="299.25" x14ac:dyDescent="0.25">
      <c r="A8" s="155"/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199" t="s">
        <v>14</v>
      </c>
      <c r="T8" s="94" t="s">
        <v>15</v>
      </c>
      <c r="U8" s="94" t="s">
        <v>16</v>
      </c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</row>
    <row r="9" spans="1:40" customFormat="1" x14ac:dyDescent="0.25">
      <c r="A9" s="155"/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205">
        <f t="shared" si="0"/>
        <v>18</v>
      </c>
      <c r="T9" s="130">
        <f t="shared" si="0"/>
        <v>19</v>
      </c>
      <c r="U9" s="122">
        <f t="shared" si="0"/>
        <v>20</v>
      </c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</row>
    <row r="10" spans="1:40" customFormat="1" ht="31.5" x14ac:dyDescent="0.25">
      <c r="A10" s="155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46</v>
      </c>
      <c r="I10" s="210">
        <v>27</v>
      </c>
      <c r="J10" s="210">
        <v>30</v>
      </c>
      <c r="K10" s="209">
        <v>30</v>
      </c>
      <c r="L10" s="210">
        <v>29</v>
      </c>
      <c r="M10" s="211">
        <f>8818.63+2629.32+1661.28+2228.94+580+2232.29</f>
        <v>18150.46</v>
      </c>
      <c r="N10" s="211">
        <f>8818.63+2629.32+1661.28+2228.94+580+2232.29</f>
        <v>18150.46</v>
      </c>
      <c r="O10" s="212">
        <f xml:space="preserve"> (M10-N10)</f>
        <v>0</v>
      </c>
      <c r="P10" s="213">
        <v>8</v>
      </c>
      <c r="Q10" s="214">
        <v>8</v>
      </c>
      <c r="R10" s="215">
        <v>8</v>
      </c>
      <c r="S10" s="211">
        <f>4246.75+895.7+2557.8</f>
        <v>7700.25</v>
      </c>
      <c r="T10" s="97">
        <f>4246.75+895.7+2557.8</f>
        <v>7700.25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</row>
    <row r="11" spans="1:40" customFormat="1" ht="31.5" x14ac:dyDescent="0.25">
      <c r="A11" s="155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17</v>
      </c>
      <c r="I11" s="210">
        <v>13</v>
      </c>
      <c r="J11" s="210">
        <v>13</v>
      </c>
      <c r="K11" s="209">
        <v>13</v>
      </c>
      <c r="L11" s="210">
        <v>13</v>
      </c>
      <c r="M11" s="211">
        <f>1778.86+580+1740+464+580</f>
        <v>5142.8599999999997</v>
      </c>
      <c r="N11" s="211">
        <f>1778.86+580+1740+464+580</f>
        <v>5142.8599999999997</v>
      </c>
      <c r="O11" s="212">
        <f t="shared" ref="O11:O74" si="1" xml:space="preserve"> (M11-N11)</f>
        <v>0</v>
      </c>
      <c r="P11" s="213">
        <v>2</v>
      </c>
      <c r="Q11" s="214">
        <v>2</v>
      </c>
      <c r="R11" s="215">
        <v>2</v>
      </c>
      <c r="S11" s="211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</row>
    <row r="12" spans="1:40" customFormat="1" x14ac:dyDescent="0.25">
      <c r="A12" s="155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210"/>
      <c r="J12" s="210"/>
      <c r="K12" s="209"/>
      <c r="L12" s="210"/>
      <c r="M12" s="211"/>
      <c r="N12" s="211"/>
      <c r="O12" s="212">
        <f t="shared" si="1"/>
        <v>0</v>
      </c>
      <c r="P12" s="213">
        <v>3</v>
      </c>
      <c r="Q12" s="214">
        <v>3</v>
      </c>
      <c r="R12" s="215">
        <v>3</v>
      </c>
      <c r="S12" s="211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</row>
    <row r="13" spans="1:40" customFormat="1" ht="31.5" x14ac:dyDescent="0.25">
      <c r="A13" s="155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39</v>
      </c>
      <c r="I13" s="210">
        <v>27</v>
      </c>
      <c r="J13" s="210">
        <v>38</v>
      </c>
      <c r="K13" s="209">
        <v>25</v>
      </c>
      <c r="L13" s="210">
        <v>25</v>
      </c>
      <c r="M13" s="211">
        <f>272.84+2699.54+4096.17+3682.51+1608.75+939.54</f>
        <v>13299.350000000002</v>
      </c>
      <c r="N13" s="211">
        <f>272.84+2699.54+4096.17+939.54</f>
        <v>8008.09</v>
      </c>
      <c r="O13" s="212">
        <f t="shared" si="1"/>
        <v>5291.260000000002</v>
      </c>
      <c r="P13" s="213">
        <v>6</v>
      </c>
      <c r="Q13" s="214">
        <v>6</v>
      </c>
      <c r="R13" s="215">
        <v>6</v>
      </c>
      <c r="S13" s="211">
        <f>7385.53+1228.66+7042.2+301.46</f>
        <v>15957.849999999999</v>
      </c>
      <c r="T13" s="97">
        <f>7385.53+1228.66+7042.2</f>
        <v>15656.39</v>
      </c>
      <c r="U13" s="97">
        <f t="shared" si="2"/>
        <v>301.45999999999913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</row>
    <row r="14" spans="1:40" customFormat="1" ht="31.5" x14ac:dyDescent="0.25">
      <c r="A14" s="155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38</v>
      </c>
      <c r="I14" s="210">
        <v>24</v>
      </c>
      <c r="J14" s="210">
        <v>30</v>
      </c>
      <c r="K14" s="209">
        <v>30</v>
      </c>
      <c r="L14" s="210">
        <v>28</v>
      </c>
      <c r="M14" s="211">
        <f>4932.74+3257.04+137+2487.39+344.5+725+7097.92+895.7+6261.98</f>
        <v>26139.269999999997</v>
      </c>
      <c r="N14" s="211">
        <f>4932.74+3257.04+137+2487.39+344.5+725</f>
        <v>11883.669999999998</v>
      </c>
      <c r="O14" s="212">
        <f t="shared" si="1"/>
        <v>14255.599999999999</v>
      </c>
      <c r="P14" s="213">
        <v>7</v>
      </c>
      <c r="Q14" s="214">
        <v>7</v>
      </c>
      <c r="R14" s="215">
        <v>6</v>
      </c>
      <c r="S14" s="211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</row>
    <row r="15" spans="1:40" customFormat="1" ht="31.5" x14ac:dyDescent="0.25">
      <c r="A15" s="155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36</v>
      </c>
      <c r="I15" s="210">
        <v>24</v>
      </c>
      <c r="J15" s="210">
        <v>30</v>
      </c>
      <c r="K15" s="209">
        <v>30</v>
      </c>
      <c r="L15" s="210">
        <v>29</v>
      </c>
      <c r="M15" s="211">
        <f>16942.87+1278.76+580+108.75+616.25+797.5</f>
        <v>20324.129999999997</v>
      </c>
      <c r="N15" s="211">
        <f>16942.87+1278.76+580+108.75</f>
        <v>18910.379999999997</v>
      </c>
      <c r="O15" s="212">
        <f t="shared" si="1"/>
        <v>1413.75</v>
      </c>
      <c r="P15" s="213">
        <v>16</v>
      </c>
      <c r="Q15" s="214">
        <v>16</v>
      </c>
      <c r="R15" s="215">
        <v>15</v>
      </c>
      <c r="S15" s="211">
        <f>13813.9+1491.1+372.78</f>
        <v>15677.78</v>
      </c>
      <c r="T15" s="97">
        <f>13813.9+1491.1</f>
        <v>15305</v>
      </c>
      <c r="U15" s="97">
        <f t="shared" si="2"/>
        <v>372.78000000000065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</row>
    <row r="16" spans="1:40" customFormat="1" ht="31.5" x14ac:dyDescent="0.25">
      <c r="A16" s="155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210"/>
      <c r="J16" s="210"/>
      <c r="K16" s="209"/>
      <c r="L16" s="210"/>
      <c r="M16" s="211"/>
      <c r="N16" s="211"/>
      <c r="O16" s="212">
        <f t="shared" si="1"/>
        <v>0</v>
      </c>
      <c r="P16" s="213"/>
      <c r="Q16" s="214"/>
      <c r="R16" s="215"/>
      <c r="S16" s="211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</row>
    <row r="17" spans="1:42" ht="20.100000000000001" customHeight="1" x14ac:dyDescent="0.25">
      <c r="A17" s="155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48</v>
      </c>
      <c r="I17" s="210">
        <v>28</v>
      </c>
      <c r="J17" s="210">
        <v>35</v>
      </c>
      <c r="K17" s="209">
        <v>23</v>
      </c>
      <c r="L17" s="210">
        <v>22</v>
      </c>
      <c r="M17" s="211">
        <f>7235.14+4416.12+1559.66+658.56+1087.5+652.5+1377.5+1615.75+2829.41</f>
        <v>21432.14</v>
      </c>
      <c r="N17" s="211">
        <f>7235.14+4416.12+1559.66+658.56+1087.5</f>
        <v>14956.98</v>
      </c>
      <c r="O17" s="212">
        <f t="shared" si="1"/>
        <v>6475.16</v>
      </c>
      <c r="P17" s="213">
        <v>1</v>
      </c>
      <c r="Q17" s="214">
        <v>1</v>
      </c>
      <c r="R17" s="215">
        <v>1</v>
      </c>
      <c r="S17" s="211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155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35</v>
      </c>
      <c r="I18" s="210">
        <v>27</v>
      </c>
      <c r="J18" s="210">
        <v>33</v>
      </c>
      <c r="K18" s="210">
        <v>33</v>
      </c>
      <c r="L18" s="210">
        <v>30</v>
      </c>
      <c r="M18" s="211">
        <f>2118.92+12936.58+4403.89+2411.49+2972.12+403.47+2654.68+806.94+1188.45</f>
        <v>29896.539999999997</v>
      </c>
      <c r="N18" s="211">
        <f>2118.92+12936.58+4403.89+2411.49+2972.12+403.4</f>
        <v>25246.399999999998</v>
      </c>
      <c r="O18" s="212">
        <f t="shared" si="1"/>
        <v>4650.1399999999994</v>
      </c>
      <c r="P18" s="213">
        <v>7</v>
      </c>
      <c r="Q18" s="215">
        <v>7</v>
      </c>
      <c r="R18" s="215">
        <v>6</v>
      </c>
      <c r="S18" s="211">
        <f>14748.55+934.31</f>
        <v>15682.859999999999</v>
      </c>
      <c r="T18" s="97">
        <f>14748.55+934.31</f>
        <v>15682.859999999999</v>
      </c>
      <c r="U18" s="97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155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35</v>
      </c>
      <c r="I19" s="210">
        <v>21</v>
      </c>
      <c r="J19" s="210">
        <v>36</v>
      </c>
      <c r="K19" s="209">
        <v>36</v>
      </c>
      <c r="L19" s="210">
        <v>34</v>
      </c>
      <c r="M19" s="211">
        <v>28952.05</v>
      </c>
      <c r="N19" s="211">
        <f>5345.36+3385.2+4242.79+7468.83+387.77</f>
        <v>20829.95</v>
      </c>
      <c r="O19" s="212">
        <f t="shared" si="1"/>
        <v>8122.0999999999985</v>
      </c>
      <c r="P19" s="213">
        <v>15</v>
      </c>
      <c r="Q19" s="214">
        <v>15</v>
      </c>
      <c r="R19" s="215">
        <v>15</v>
      </c>
      <c r="S19" s="211"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155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48</v>
      </c>
      <c r="I20" s="210">
        <v>28</v>
      </c>
      <c r="J20" s="210">
        <v>37</v>
      </c>
      <c r="K20" s="210">
        <v>33</v>
      </c>
      <c r="L20" s="210">
        <v>30</v>
      </c>
      <c r="M20" s="211">
        <f>5728.14+3727.02+315.94+2507.59+652.5+2191.47+1855.28+358.88+2503.15+5297.67+1579.05</f>
        <v>26716.69</v>
      </c>
      <c r="N20" s="211">
        <f>5728.14+3727.02+315.94+2507.59+652.5+2191.47+1855.28+2371.7</f>
        <v>19349.64</v>
      </c>
      <c r="O20" s="212">
        <f t="shared" si="1"/>
        <v>7367.0499999999993</v>
      </c>
      <c r="P20" s="213">
        <v>28</v>
      </c>
      <c r="Q20" s="215">
        <v>28</v>
      </c>
      <c r="R20" s="215">
        <v>28</v>
      </c>
      <c r="S20" s="211">
        <f>36404.57+1488.24+1902.09+2012.82</f>
        <v>41807.719999999994</v>
      </c>
      <c r="T20" s="97">
        <f>36404.57+1488.24+1902.09</f>
        <v>39794.899999999994</v>
      </c>
      <c r="U20" s="97">
        <f t="shared" si="2"/>
        <v>2012.8199999999997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155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26</v>
      </c>
      <c r="I21" s="210">
        <v>13</v>
      </c>
      <c r="J21" s="210">
        <v>20</v>
      </c>
      <c r="K21" s="209">
        <v>20</v>
      </c>
      <c r="L21" s="210">
        <v>20</v>
      </c>
      <c r="M21" s="211">
        <v>17955.669999999998</v>
      </c>
      <c r="N21" s="211">
        <f>3586.84+1791.4+1337.88+413.4+1061.35+942.5+2425.9</f>
        <v>11559.269999999999</v>
      </c>
      <c r="O21" s="212">
        <f t="shared" si="1"/>
        <v>6396.4</v>
      </c>
      <c r="P21" s="213">
        <v>8</v>
      </c>
      <c r="Q21" s="214">
        <v>8</v>
      </c>
      <c r="R21" s="215">
        <v>7</v>
      </c>
      <c r="S21" s="211">
        <v>10636.43</v>
      </c>
      <c r="T21" s="97">
        <f>7288.02+447.62+2487.39</f>
        <v>10223.030000000001</v>
      </c>
      <c r="U21" s="97">
        <f t="shared" si="2"/>
        <v>413.39999999999964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155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127</v>
      </c>
      <c r="I22" s="210">
        <v>91</v>
      </c>
      <c r="J22" s="210">
        <v>110</v>
      </c>
      <c r="K22" s="210">
        <v>95</v>
      </c>
      <c r="L22" s="210">
        <v>95</v>
      </c>
      <c r="M22" s="211">
        <f>19787.02+2513.73+2255.05+12081.39+6786.96+4545.76+7112.29+9234.79</f>
        <v>64316.990000000005</v>
      </c>
      <c r="N22" s="211">
        <f>19787.02+2513.73+2255.05+12081.39+6786.96+4545.76</f>
        <v>47969.91</v>
      </c>
      <c r="O22" s="212">
        <f t="shared" si="1"/>
        <v>16347.080000000002</v>
      </c>
      <c r="P22" s="213">
        <v>24</v>
      </c>
      <c r="Q22" s="215">
        <v>24</v>
      </c>
      <c r="R22" s="215">
        <v>23</v>
      </c>
      <c r="S22" s="211">
        <f>24103.23+3334.5+1378+3155.14</f>
        <v>31970.87</v>
      </c>
      <c r="T22" s="97">
        <f>24103.23+3334.5+1378</f>
        <v>28815.73</v>
      </c>
      <c r="U22" s="97">
        <f t="shared" si="2"/>
        <v>3155.1399999999994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155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20</v>
      </c>
      <c r="I23" s="210">
        <v>15</v>
      </c>
      <c r="J23" s="210">
        <v>23</v>
      </c>
      <c r="K23" s="209">
        <v>19</v>
      </c>
      <c r="L23" s="210">
        <v>17</v>
      </c>
      <c r="M23" s="211">
        <f>5739.04+1828.05+1440.72+631.62+564.05+641.19+793.15+2475.51+1311.53</f>
        <v>15424.86</v>
      </c>
      <c r="N23" s="211">
        <f>5739.04+1828.05+1440.72+631.62+564.05+641.19+793.15</f>
        <v>11637.82</v>
      </c>
      <c r="O23" s="212">
        <f t="shared" si="1"/>
        <v>3787.0400000000009</v>
      </c>
      <c r="P23" s="213">
        <v>12</v>
      </c>
      <c r="Q23" s="214">
        <v>12</v>
      </c>
      <c r="R23" s="215">
        <v>12</v>
      </c>
      <c r="S23" s="211">
        <f>26607.02+6387.23</f>
        <v>32994.25</v>
      </c>
      <c r="T23" s="97">
        <v>26607.02</v>
      </c>
      <c r="U23" s="97">
        <f t="shared" si="2"/>
        <v>6387.23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155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24</v>
      </c>
      <c r="I24" s="210">
        <v>19</v>
      </c>
      <c r="J24" s="210">
        <v>22</v>
      </c>
      <c r="K24" s="209">
        <v>22</v>
      </c>
      <c r="L24" s="210">
        <v>22</v>
      </c>
      <c r="M24" s="211">
        <f>1515.11+3525.12+1811.05</f>
        <v>6851.28</v>
      </c>
      <c r="N24" s="211">
        <f>1515.11+3525.12</f>
        <v>5040.2299999999996</v>
      </c>
      <c r="O24" s="212">
        <f t="shared" si="1"/>
        <v>1811.0500000000002</v>
      </c>
      <c r="P24" s="213">
        <v>7</v>
      </c>
      <c r="Q24" s="214">
        <v>7</v>
      </c>
      <c r="R24" s="215">
        <v>7</v>
      </c>
      <c r="S24" s="211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155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41</v>
      </c>
      <c r="I25" s="210">
        <v>13</v>
      </c>
      <c r="J25" s="210">
        <v>34</v>
      </c>
      <c r="K25" s="210">
        <v>34</v>
      </c>
      <c r="L25" s="210">
        <v>32</v>
      </c>
      <c r="M25" s="211">
        <f>9005.69+15068.32+3714.72+1200.78</f>
        <v>28989.510000000002</v>
      </c>
      <c r="N25" s="211">
        <f>9005.69+15068.32+3714.72+1200.78</f>
        <v>28989.510000000002</v>
      </c>
      <c r="O25" s="212">
        <f t="shared" si="1"/>
        <v>0</v>
      </c>
      <c r="P25" s="213">
        <v>22</v>
      </c>
      <c r="Q25" s="215">
        <v>21</v>
      </c>
      <c r="R25" s="215">
        <v>21</v>
      </c>
      <c r="S25" s="211">
        <f>24213.05+6197.08+341.06</f>
        <v>30751.19</v>
      </c>
      <c r="T25" s="97">
        <f>24213.05+6197.08+341.06</f>
        <v>30751.19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155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210">
        <v>11</v>
      </c>
      <c r="J26" s="210">
        <v>18</v>
      </c>
      <c r="K26" s="209">
        <v>18</v>
      </c>
      <c r="L26" s="210">
        <v>18</v>
      </c>
      <c r="M26" s="211">
        <f>3777.1+6399.51+6251.64+358.88</f>
        <v>16787.13</v>
      </c>
      <c r="N26" s="211">
        <f>3777.1+6399.51+6251.64+358.88</f>
        <v>16787.13</v>
      </c>
      <c r="O26" s="212">
        <f t="shared" si="1"/>
        <v>0</v>
      </c>
      <c r="P26" s="213">
        <v>12</v>
      </c>
      <c r="Q26" s="214">
        <v>12</v>
      </c>
      <c r="R26" s="215">
        <v>12</v>
      </c>
      <c r="S26" s="211">
        <f>3386.7+2140.45</f>
        <v>5527.15</v>
      </c>
      <c r="T26" s="97">
        <f>3386.7+2140.45</f>
        <v>5527.15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155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35</v>
      </c>
      <c r="I27" s="210">
        <v>22</v>
      </c>
      <c r="J27" s="210">
        <v>39</v>
      </c>
      <c r="K27" s="209">
        <v>39</v>
      </c>
      <c r="L27" s="210">
        <v>39</v>
      </c>
      <c r="M27" s="211">
        <v>24273.31</v>
      </c>
      <c r="N27" s="211">
        <f>6801.73+4254.18+3948.81+757.9+1004.85+1005.5+5240.86</f>
        <v>23013.829999999998</v>
      </c>
      <c r="O27" s="212">
        <f t="shared" si="1"/>
        <v>1259.4800000000032</v>
      </c>
      <c r="P27" s="213">
        <v>14</v>
      </c>
      <c r="Q27" s="214">
        <v>14</v>
      </c>
      <c r="R27" s="215">
        <v>14</v>
      </c>
      <c r="S27" s="211"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210"/>
      <c r="J28" s="210"/>
      <c r="K28" s="209"/>
      <c r="L28" s="210"/>
      <c r="M28" s="211"/>
      <c r="N28" s="211"/>
      <c r="O28" s="212">
        <f t="shared" si="1"/>
        <v>0</v>
      </c>
      <c r="P28" s="213"/>
      <c r="Q28" s="214"/>
      <c r="R28" s="215"/>
      <c r="S28" s="211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155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28</v>
      </c>
      <c r="I29" s="210">
        <v>23</v>
      </c>
      <c r="J29" s="210">
        <v>34</v>
      </c>
      <c r="K29" s="209">
        <v>34</v>
      </c>
      <c r="L29" s="210">
        <v>33</v>
      </c>
      <c r="M29" s="211">
        <f>7765.28+1107.91+3282.4+1320.23+1580.98+622.05+447.4+992.16+691.25+3323.84</f>
        <v>21133.5</v>
      </c>
      <c r="N29" s="211">
        <f>7765.28+1107.91+3282.4+1320.23+1580.98+622.05+447.4+992.16</f>
        <v>17118.41</v>
      </c>
      <c r="O29" s="212">
        <f t="shared" si="1"/>
        <v>4015.09</v>
      </c>
      <c r="P29" s="213">
        <v>14</v>
      </c>
      <c r="Q29" s="214">
        <v>14</v>
      </c>
      <c r="R29" s="215">
        <v>14</v>
      </c>
      <c r="S29" s="211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155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47</v>
      </c>
      <c r="I30" s="210">
        <v>39</v>
      </c>
      <c r="J30" s="210">
        <v>56</v>
      </c>
      <c r="K30" s="210">
        <v>56</v>
      </c>
      <c r="L30" s="210">
        <v>51</v>
      </c>
      <c r="M30" s="211">
        <v>38400.01</v>
      </c>
      <c r="N30" s="211">
        <f>5246.17+4965.96+1939.12+3762.43+2342.38+4011.61+2238.08</f>
        <v>24505.75</v>
      </c>
      <c r="O30" s="212">
        <f t="shared" si="1"/>
        <v>13894.260000000002</v>
      </c>
      <c r="P30" s="213">
        <v>23</v>
      </c>
      <c r="Q30" s="215">
        <v>23</v>
      </c>
      <c r="R30" s="215">
        <v>23</v>
      </c>
      <c r="S30" s="211">
        <v>49912.160000000003</v>
      </c>
      <c r="T30" s="97">
        <f>39414.6+4786.67+1562.33+638.43+2216.93+1293.2</f>
        <v>49912.159999999996</v>
      </c>
      <c r="U30" s="97">
        <f t="shared" si="2"/>
        <v>7.2759576141834259E-12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155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210">
        <v>1</v>
      </c>
      <c r="J31" s="210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13">
        <v>2</v>
      </c>
      <c r="Q31" s="214">
        <v>2</v>
      </c>
      <c r="R31" s="215">
        <v>2</v>
      </c>
      <c r="S31" s="211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210"/>
      <c r="J32" s="210"/>
      <c r="K32" s="209"/>
      <c r="L32" s="210"/>
      <c r="M32" s="211"/>
      <c r="N32" s="211"/>
      <c r="O32" s="212">
        <f t="shared" si="1"/>
        <v>0</v>
      </c>
      <c r="P32" s="213"/>
      <c r="Q32" s="214"/>
      <c r="R32" s="215"/>
      <c r="S32" s="211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0" customFormat="1" ht="31.5" x14ac:dyDescent="0.25">
      <c r="A33" s="155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14</v>
      </c>
      <c r="I33" s="210">
        <v>9</v>
      </c>
      <c r="J33" s="210">
        <v>12</v>
      </c>
      <c r="K33" s="209">
        <v>12</v>
      </c>
      <c r="L33" s="210">
        <v>12</v>
      </c>
      <c r="M33" s="211">
        <f>4065+2226.4+2915.4+290+826.8</f>
        <v>10323.599999999999</v>
      </c>
      <c r="N33" s="211">
        <f>4065+2226.4+2915.4+290+826.8</f>
        <v>10323.599999999999</v>
      </c>
      <c r="O33" s="212">
        <f t="shared" si="1"/>
        <v>0</v>
      </c>
      <c r="P33" s="213"/>
      <c r="Q33" s="214"/>
      <c r="R33" s="215"/>
      <c r="S33" s="211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</row>
    <row r="34" spans="1:40" customFormat="1" ht="31.5" x14ac:dyDescent="0.25">
      <c r="A34" s="155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210">
        <v>14</v>
      </c>
      <c r="J34" s="210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13">
        <v>2</v>
      </c>
      <c r="Q34" s="214">
        <v>2</v>
      </c>
      <c r="R34" s="215">
        <v>2</v>
      </c>
      <c r="S34" s="211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</row>
    <row r="35" spans="1:40" customFormat="1" ht="31.5" x14ac:dyDescent="0.25">
      <c r="A35" s="155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14</v>
      </c>
      <c r="I35" s="210">
        <v>6</v>
      </c>
      <c r="J35" s="210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13">
        <v>10</v>
      </c>
      <c r="Q35" s="214">
        <v>10</v>
      </c>
      <c r="R35" s="215">
        <v>10</v>
      </c>
      <c r="S35" s="211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</row>
    <row r="36" spans="1:40" customFormat="1" ht="31.5" x14ac:dyDescent="0.25">
      <c r="A36" s="155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26</v>
      </c>
      <c r="I36" s="210">
        <v>13</v>
      </c>
      <c r="J36" s="210">
        <v>16</v>
      </c>
      <c r="K36" s="209">
        <v>16</v>
      </c>
      <c r="L36" s="210">
        <v>16</v>
      </c>
      <c r="M36" s="211">
        <f>2360+2665.25+2800.06+3488.89+1050.79</f>
        <v>12364.989999999998</v>
      </c>
      <c r="N36" s="211">
        <f>2360+2665.25+2800.06+3488.89+1050.79</f>
        <v>12364.989999999998</v>
      </c>
      <c r="O36" s="212">
        <f t="shared" si="1"/>
        <v>0</v>
      </c>
      <c r="P36" s="213">
        <v>6</v>
      </c>
      <c r="Q36" s="214">
        <v>6</v>
      </c>
      <c r="R36" s="215">
        <v>6</v>
      </c>
      <c r="S36" s="211">
        <f>1436.08+3433.93+5939.33+1723.52</f>
        <v>12532.86</v>
      </c>
      <c r="T36" s="97">
        <f>1436.08+3433.93+5939.33+1723.52</f>
        <v>12532.86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</row>
    <row r="37" spans="1:40" customFormat="1" ht="31.5" x14ac:dyDescent="0.25">
      <c r="A37" s="155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22</v>
      </c>
      <c r="I37" s="210">
        <v>13</v>
      </c>
      <c r="J37" s="210">
        <v>18</v>
      </c>
      <c r="K37" s="209">
        <v>18</v>
      </c>
      <c r="L37" s="210">
        <v>18</v>
      </c>
      <c r="M37" s="211">
        <f>4126.56+990.2+862.75+145+358.88+1424.06+2121.03+507.5</f>
        <v>10535.980000000001</v>
      </c>
      <c r="N37" s="211">
        <f>4126.56+990.2+862.75+145+358.88+1424.06+2121.03</f>
        <v>10028.480000000001</v>
      </c>
      <c r="O37" s="212">
        <f t="shared" si="1"/>
        <v>507.5</v>
      </c>
      <c r="P37" s="213">
        <v>2</v>
      </c>
      <c r="Q37" s="214">
        <v>2</v>
      </c>
      <c r="R37" s="215">
        <v>2</v>
      </c>
      <c r="S37" s="211">
        <f>552.96+1556.69</f>
        <v>2109.65</v>
      </c>
      <c r="T37" s="97">
        <v>552.96</v>
      </c>
      <c r="U37" s="97">
        <f t="shared" si="2"/>
        <v>1556.69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</row>
    <row r="38" spans="1:40" customFormat="1" ht="31.5" x14ac:dyDescent="0.25">
      <c r="A38" s="155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86</v>
      </c>
      <c r="I38" s="210">
        <v>50</v>
      </c>
      <c r="J38" s="210">
        <v>69</v>
      </c>
      <c r="K38" s="209">
        <v>69</v>
      </c>
      <c r="L38" s="210">
        <v>69</v>
      </c>
      <c r="M38" s="211">
        <v>78646.37</v>
      </c>
      <c r="N38" s="211">
        <f>18043.85+1739.74+12219.36+4084.73+2867.69+2388.56+1377.5+2533.95</f>
        <v>45255.38</v>
      </c>
      <c r="O38" s="212">
        <f t="shared" si="1"/>
        <v>33390.99</v>
      </c>
      <c r="P38" s="213">
        <v>21</v>
      </c>
      <c r="Q38" s="214">
        <v>21</v>
      </c>
      <c r="R38" s="215">
        <v>21</v>
      </c>
      <c r="S38" s="211"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</row>
    <row r="39" spans="1:40" customFormat="1" ht="31.5" x14ac:dyDescent="0.25">
      <c r="A39" s="155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29</v>
      </c>
      <c r="I39" s="210">
        <v>16</v>
      </c>
      <c r="J39" s="210">
        <v>21</v>
      </c>
      <c r="K39" s="209">
        <v>20</v>
      </c>
      <c r="L39" s="210">
        <v>19</v>
      </c>
      <c r="M39" s="211">
        <f>4309.67+3353.38+84.05+2832.72+349.74+868+1575.33+360.5</f>
        <v>13733.39</v>
      </c>
      <c r="N39" s="211">
        <f>4309.67+3353.38+84.05+2832.72+349.74+868</f>
        <v>11797.56</v>
      </c>
      <c r="O39" s="212">
        <f t="shared" si="1"/>
        <v>1935.83</v>
      </c>
      <c r="P39" s="213">
        <v>3</v>
      </c>
      <c r="Q39" s="214">
        <v>3</v>
      </c>
      <c r="R39" s="215">
        <v>3</v>
      </c>
      <c r="S39" s="211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</row>
    <row r="40" spans="1:40" customFormat="1" ht="31.5" x14ac:dyDescent="0.25">
      <c r="A40" s="155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10</v>
      </c>
      <c r="I40" s="210">
        <v>6</v>
      </c>
      <c r="J40" s="210">
        <v>7</v>
      </c>
      <c r="K40" s="209">
        <v>6</v>
      </c>
      <c r="L40" s="210">
        <v>6</v>
      </c>
      <c r="M40" s="211">
        <f>5430.01+287.1</f>
        <v>5717.1100000000006</v>
      </c>
      <c r="N40" s="211">
        <f>5430.01+287.1</f>
        <v>5717.1100000000006</v>
      </c>
      <c r="O40" s="212">
        <f t="shared" si="1"/>
        <v>0</v>
      </c>
      <c r="P40" s="213">
        <v>4</v>
      </c>
      <c r="Q40" s="214">
        <v>4</v>
      </c>
      <c r="R40" s="215">
        <v>4</v>
      </c>
      <c r="S40" s="211">
        <f>3996.7+1341.47+7404.94</f>
        <v>12743.11</v>
      </c>
      <c r="T40" s="97">
        <f>3996.7+1341.47+7404.94</f>
        <v>12743.11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</row>
    <row r="41" spans="1:40" customFormat="1" ht="31.5" x14ac:dyDescent="0.25">
      <c r="A41" s="155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27</v>
      </c>
      <c r="I41" s="210">
        <v>20</v>
      </c>
      <c r="J41" s="210">
        <v>22</v>
      </c>
      <c r="K41" s="209">
        <v>19</v>
      </c>
      <c r="L41" s="210">
        <v>19</v>
      </c>
      <c r="M41" s="211">
        <f>4892.78+1033.5+545.69+1551.08+3520.24</f>
        <v>11543.289999999999</v>
      </c>
      <c r="N41" s="211">
        <f>4892.78+1033.5+545.69+1551.08</f>
        <v>8023.0499999999993</v>
      </c>
      <c r="O41" s="212">
        <f t="shared" si="1"/>
        <v>3520.24</v>
      </c>
      <c r="P41" s="213">
        <v>4</v>
      </c>
      <c r="Q41" s="214">
        <v>4</v>
      </c>
      <c r="R41" s="215">
        <v>4</v>
      </c>
      <c r="S41" s="211">
        <f>1842.88+373.68</f>
        <v>2216.56</v>
      </c>
      <c r="T41" s="97">
        <f>1842.88+373.68</f>
        <v>2216.56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</row>
    <row r="42" spans="1:40" customFormat="1" ht="31.5" x14ac:dyDescent="0.25">
      <c r="A42" s="155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16</v>
      </c>
      <c r="I42" s="210">
        <v>7</v>
      </c>
      <c r="J42" s="210">
        <v>12</v>
      </c>
      <c r="K42" s="209">
        <v>12</v>
      </c>
      <c r="L42" s="210">
        <v>12</v>
      </c>
      <c r="M42" s="211">
        <f>5095.29+1605.75+430.65+529.04+145+1216.34</f>
        <v>9022.07</v>
      </c>
      <c r="N42" s="211">
        <f>5095.29+1605.75+430.65+529.04</f>
        <v>7660.73</v>
      </c>
      <c r="O42" s="212">
        <f t="shared" si="1"/>
        <v>1361.3400000000001</v>
      </c>
      <c r="P42" s="213">
        <v>5</v>
      </c>
      <c r="Q42" s="214">
        <v>5</v>
      </c>
      <c r="R42" s="215">
        <v>5</v>
      </c>
      <c r="S42" s="211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</row>
    <row r="43" spans="1:40" customFormat="1" ht="31.5" x14ac:dyDescent="0.25">
      <c r="A43" s="155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24</v>
      </c>
      <c r="I43" s="210">
        <v>13</v>
      </c>
      <c r="J43" s="210">
        <v>24</v>
      </c>
      <c r="K43" s="209">
        <v>24</v>
      </c>
      <c r="L43" s="210">
        <v>23</v>
      </c>
      <c r="M43" s="211">
        <v>28407.24</v>
      </c>
      <c r="N43" s="211">
        <f>1949.94+11241.95+1670.56+979+622.78+145+551.2+2279.66</f>
        <v>19440.09</v>
      </c>
      <c r="O43" s="212">
        <f t="shared" si="1"/>
        <v>8967.1500000000015</v>
      </c>
      <c r="P43" s="213">
        <v>7</v>
      </c>
      <c r="Q43" s="214">
        <v>7</v>
      </c>
      <c r="R43" s="215">
        <v>6</v>
      </c>
      <c r="S43" s="211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</row>
    <row r="44" spans="1:40" customFormat="1" ht="31.5" x14ac:dyDescent="0.25">
      <c r="A44" s="155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14</v>
      </c>
      <c r="I44" s="210">
        <v>10</v>
      </c>
      <c r="J44" s="210">
        <v>16</v>
      </c>
      <c r="K44" s="209">
        <v>16</v>
      </c>
      <c r="L44" s="210">
        <v>16</v>
      </c>
      <c r="M44" s="211">
        <v>22500.73</v>
      </c>
      <c r="N44" s="211">
        <f>9600.95+145+2182.75+7980.88+580+287.1</f>
        <v>20776.68</v>
      </c>
      <c r="O44" s="212">
        <f t="shared" si="1"/>
        <v>1724.0499999999993</v>
      </c>
      <c r="P44" s="213">
        <v>10</v>
      </c>
      <c r="Q44" s="214">
        <v>10</v>
      </c>
      <c r="R44" s="215">
        <v>10</v>
      </c>
      <c r="S44" s="211">
        <f>3997.92+850.65+4367.7+2262.73+189.48+1019.96</f>
        <v>12688.439999999999</v>
      </c>
      <c r="T44" s="97">
        <f>3997.92+850.65+4367.7+2262.73+189.48</f>
        <v>11668.48</v>
      </c>
      <c r="U44" s="97">
        <f t="shared" si="2"/>
        <v>1019.9599999999991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</row>
    <row r="45" spans="1:40" customFormat="1" x14ac:dyDescent="0.25">
      <c r="A45" s="155"/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210"/>
      <c r="J45" s="210"/>
      <c r="K45" s="209"/>
      <c r="L45" s="210"/>
      <c r="M45" s="211"/>
      <c r="N45" s="211"/>
      <c r="O45" s="212">
        <f t="shared" si="1"/>
        <v>0</v>
      </c>
      <c r="P45" s="213"/>
      <c r="Q45" s="214"/>
      <c r="R45" s="215"/>
      <c r="S45" s="211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</row>
    <row r="46" spans="1:40" customFormat="1" ht="31.5" x14ac:dyDescent="0.25">
      <c r="A46" s="155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20</v>
      </c>
      <c r="I46" s="210">
        <v>14</v>
      </c>
      <c r="J46" s="210">
        <v>17</v>
      </c>
      <c r="K46" s="209">
        <v>17</v>
      </c>
      <c r="L46" s="210">
        <v>17</v>
      </c>
      <c r="M46" s="211">
        <v>7372.32</v>
      </c>
      <c r="N46" s="211">
        <f>1290.6+2343.84+935.25</f>
        <v>4569.6900000000005</v>
      </c>
      <c r="O46" s="212">
        <f t="shared" si="1"/>
        <v>2802.6299999999992</v>
      </c>
      <c r="P46" s="213">
        <v>2</v>
      </c>
      <c r="Q46" s="214">
        <v>2</v>
      </c>
      <c r="R46" s="215">
        <v>2</v>
      </c>
      <c r="S46" s="211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</row>
    <row r="47" spans="1:40" customFormat="1" ht="31.5" x14ac:dyDescent="0.25">
      <c r="A47" s="155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49</v>
      </c>
      <c r="I47" s="210">
        <v>34</v>
      </c>
      <c r="J47" s="210">
        <v>47</v>
      </c>
      <c r="K47" s="209">
        <v>46</v>
      </c>
      <c r="L47" s="210">
        <v>43</v>
      </c>
      <c r="M47" s="211">
        <v>28405.79</v>
      </c>
      <c r="N47" s="211">
        <f>9335.56+3507.6+826.8+2284.16+1015+1378</f>
        <v>18347.12</v>
      </c>
      <c r="O47" s="212">
        <f t="shared" si="1"/>
        <v>10058.670000000002</v>
      </c>
      <c r="P47" s="213">
        <v>3</v>
      </c>
      <c r="Q47" s="214">
        <v>3</v>
      </c>
      <c r="R47" s="215">
        <v>2</v>
      </c>
      <c r="S47" s="211">
        <v>1209.1099999999999</v>
      </c>
      <c r="T47" s="97">
        <v>1209.1099999999999</v>
      </c>
      <c r="U47" s="97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</row>
    <row r="48" spans="1:40" customFormat="1" ht="31.5" x14ac:dyDescent="0.25">
      <c r="A48" s="155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20</v>
      </c>
      <c r="I48" s="210">
        <v>9</v>
      </c>
      <c r="J48" s="210">
        <v>12</v>
      </c>
      <c r="K48" s="209">
        <v>12</v>
      </c>
      <c r="L48" s="210">
        <v>12</v>
      </c>
      <c r="M48" s="211">
        <f>8890.84+1828.05+435+2479.5</f>
        <v>13633.39</v>
      </c>
      <c r="N48" s="211">
        <f>8890.84+1828.05+435</f>
        <v>11153.89</v>
      </c>
      <c r="O48" s="212">
        <f t="shared" si="1"/>
        <v>2479.5</v>
      </c>
      <c r="P48" s="213">
        <v>3</v>
      </c>
      <c r="Q48" s="214">
        <v>3</v>
      </c>
      <c r="R48" s="215">
        <v>3</v>
      </c>
      <c r="S48" s="211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</row>
    <row r="49" spans="1:40" customFormat="1" ht="31.5" x14ac:dyDescent="0.25">
      <c r="A49" s="155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22</v>
      </c>
      <c r="I49" s="210">
        <v>12</v>
      </c>
      <c r="J49" s="210">
        <v>17</v>
      </c>
      <c r="K49" s="209">
        <v>17</v>
      </c>
      <c r="L49" s="210">
        <v>17</v>
      </c>
      <c r="M49" s="211">
        <v>9124.73</v>
      </c>
      <c r="N49" s="211">
        <f>1831.71+137.8+1816.78+290+420.6</f>
        <v>4496.8900000000003</v>
      </c>
      <c r="O49" s="212">
        <f t="shared" si="1"/>
        <v>4627.8399999999992</v>
      </c>
      <c r="P49" s="213">
        <v>10</v>
      </c>
      <c r="Q49" s="214">
        <v>10</v>
      </c>
      <c r="R49" s="215">
        <v>10</v>
      </c>
      <c r="S49" s="211">
        <f>8296.23+1378+5368+1032.31</f>
        <v>16074.539999999999</v>
      </c>
      <c r="T49" s="97">
        <f>8296.23+1378+5368</f>
        <v>15042.23</v>
      </c>
      <c r="U49" s="97">
        <f t="shared" si="2"/>
        <v>1032.3099999999995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</row>
    <row r="50" spans="1:40" customFormat="1" ht="31.5" x14ac:dyDescent="0.25">
      <c r="A50" s="155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26</v>
      </c>
      <c r="I50" s="210">
        <v>19</v>
      </c>
      <c r="J50" s="210">
        <v>22</v>
      </c>
      <c r="K50" s="209">
        <v>22</v>
      </c>
      <c r="L50" s="210">
        <v>21</v>
      </c>
      <c r="M50" s="211">
        <f>8308.92+786.44+453+302+1256.5+1232.5</f>
        <v>12339.36</v>
      </c>
      <c r="N50" s="211">
        <f>8308.92+786.44+453+302+1256.5</f>
        <v>11106.86</v>
      </c>
      <c r="O50" s="212">
        <f t="shared" si="1"/>
        <v>1232.5</v>
      </c>
      <c r="P50" s="213">
        <v>6</v>
      </c>
      <c r="Q50" s="214">
        <v>6</v>
      </c>
      <c r="R50" s="215">
        <v>6</v>
      </c>
      <c r="S50" s="211">
        <f>2457.28+1725.6+5017.9+1584.7</f>
        <v>10785.48</v>
      </c>
      <c r="T50" s="97">
        <f>2457.28+1725.6+5017.9+1584.7</f>
        <v>10785.48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</row>
    <row r="51" spans="1:40" customFormat="1" ht="31.5" x14ac:dyDescent="0.25">
      <c r="A51" s="155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31</v>
      </c>
      <c r="I51" s="210">
        <v>13</v>
      </c>
      <c r="J51" s="210">
        <v>19</v>
      </c>
      <c r="K51" s="209">
        <v>19</v>
      </c>
      <c r="L51" s="210">
        <v>16</v>
      </c>
      <c r="M51" s="211">
        <v>11276.82</v>
      </c>
      <c r="N51" s="211">
        <f>5580.75+571.11+696.2+574.2+408.03+1234.53+1446.9</f>
        <v>10511.72</v>
      </c>
      <c r="O51" s="212">
        <f t="shared" si="1"/>
        <v>765.10000000000036</v>
      </c>
      <c r="P51" s="213">
        <v>1</v>
      </c>
      <c r="Q51" s="214">
        <v>1</v>
      </c>
      <c r="R51" s="215">
        <v>1</v>
      </c>
      <c r="S51" s="211">
        <f>728.15</f>
        <v>728.15</v>
      </c>
      <c r="T51" s="97">
        <f>728.15</f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</row>
    <row r="52" spans="1:40" customFormat="1" ht="31.5" x14ac:dyDescent="0.25">
      <c r="A52" s="155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24</v>
      </c>
      <c r="I52" s="210">
        <v>15</v>
      </c>
      <c r="J52" s="210">
        <v>19</v>
      </c>
      <c r="K52" s="209">
        <v>19</v>
      </c>
      <c r="L52" s="210">
        <v>17</v>
      </c>
      <c r="M52" s="211">
        <v>10557.44</v>
      </c>
      <c r="N52" s="211">
        <f>3782.6+430.65+1221.61+2194.55</f>
        <v>7629.41</v>
      </c>
      <c r="O52" s="212">
        <f t="shared" si="1"/>
        <v>2928.0300000000007</v>
      </c>
      <c r="P52" s="213">
        <v>11</v>
      </c>
      <c r="Q52" s="214">
        <v>11</v>
      </c>
      <c r="R52" s="215">
        <v>10</v>
      </c>
      <c r="S52" s="211">
        <f>1535.39+1035.3+828.82+12756.45+716.22</f>
        <v>16872.18</v>
      </c>
      <c r="T52" s="97">
        <f>1535.39+1035.3+828.82+12756.45</f>
        <v>16155.960000000001</v>
      </c>
      <c r="U52" s="97">
        <f t="shared" si="2"/>
        <v>716.21999999999935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</row>
    <row r="53" spans="1:40" customFormat="1" ht="31.5" x14ac:dyDescent="0.25">
      <c r="A53" s="155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14</v>
      </c>
      <c r="I53" s="210">
        <v>3</v>
      </c>
      <c r="J53" s="210">
        <v>4</v>
      </c>
      <c r="K53" s="209">
        <v>4</v>
      </c>
      <c r="L53" s="210">
        <v>3</v>
      </c>
      <c r="M53" s="211">
        <f>1102.4+328.37</f>
        <v>1430.77</v>
      </c>
      <c r="N53" s="211">
        <f>1102.4+328.37</f>
        <v>1430.77</v>
      </c>
      <c r="O53" s="212">
        <f t="shared" si="1"/>
        <v>0</v>
      </c>
      <c r="P53" s="213">
        <v>2</v>
      </c>
      <c r="Q53" s="214">
        <v>2</v>
      </c>
      <c r="R53" s="215">
        <v>2</v>
      </c>
      <c r="S53" s="211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</row>
    <row r="54" spans="1:40" customFormat="1" ht="31.5" x14ac:dyDescent="0.25">
      <c r="A54" s="155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123</v>
      </c>
      <c r="I54" s="210">
        <v>106</v>
      </c>
      <c r="J54" s="210">
        <v>125</v>
      </c>
      <c r="K54" s="209">
        <v>118</v>
      </c>
      <c r="L54" s="210">
        <v>106</v>
      </c>
      <c r="M54" s="211">
        <f>12031.27+4728.85+7137.01+1218+507+4175.93+5308.12+6184.37+6281.56</f>
        <v>47572.110000000008</v>
      </c>
      <c r="N54" s="211">
        <f>12031.27+4728.85+7137.01+1218+507+4175.93+5308.12</f>
        <v>35106.180000000008</v>
      </c>
      <c r="O54" s="212">
        <f t="shared" si="1"/>
        <v>12465.93</v>
      </c>
      <c r="P54" s="213">
        <v>17</v>
      </c>
      <c r="Q54" s="214">
        <v>17</v>
      </c>
      <c r="R54" s="215">
        <v>17</v>
      </c>
      <c r="S54" s="211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</row>
    <row r="55" spans="1:40" customFormat="1" ht="31.5" x14ac:dyDescent="0.25">
      <c r="A55" s="155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8</v>
      </c>
      <c r="I55" s="210">
        <v>3</v>
      </c>
      <c r="J55" s="210">
        <v>4</v>
      </c>
      <c r="K55" s="209">
        <v>4</v>
      </c>
      <c r="L55" s="210">
        <v>4</v>
      </c>
      <c r="M55" s="211">
        <v>8188.55</v>
      </c>
      <c r="N55" s="211">
        <v>8188.55</v>
      </c>
      <c r="O55" s="212">
        <f t="shared" si="1"/>
        <v>0</v>
      </c>
      <c r="P55" s="213">
        <v>3</v>
      </c>
      <c r="Q55" s="214">
        <v>3</v>
      </c>
      <c r="R55" s="215">
        <v>3</v>
      </c>
      <c r="S55" s="211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</row>
    <row r="56" spans="1:40" customFormat="1" ht="31.5" x14ac:dyDescent="0.25">
      <c r="A56" s="155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67</v>
      </c>
      <c r="I56" s="210">
        <v>42</v>
      </c>
      <c r="J56" s="210">
        <v>65</v>
      </c>
      <c r="K56" s="209">
        <v>65</v>
      </c>
      <c r="L56" s="210">
        <v>63</v>
      </c>
      <c r="M56" s="211">
        <v>70230.75</v>
      </c>
      <c r="N56" s="211">
        <f>13145.7+14183.3+726.22+3195.47+5181.98+1425.26+6804.83+1811+6356.42-6356.42+1423.76+3508.9</f>
        <v>51406.420000000006</v>
      </c>
      <c r="O56" s="212">
        <f t="shared" si="1"/>
        <v>18824.329999999994</v>
      </c>
      <c r="P56" s="213">
        <v>35</v>
      </c>
      <c r="Q56" s="214">
        <v>35</v>
      </c>
      <c r="R56" s="215">
        <v>32</v>
      </c>
      <c r="S56" s="211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</row>
    <row r="57" spans="1:40" customFormat="1" ht="31.5" x14ac:dyDescent="0.25">
      <c r="A57" s="155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210">
        <v>11</v>
      </c>
      <c r="J57" s="210">
        <v>12</v>
      </c>
      <c r="K57" s="209">
        <v>3</v>
      </c>
      <c r="L57" s="210">
        <v>3</v>
      </c>
      <c r="M57" s="211">
        <v>1200.96</v>
      </c>
      <c r="N57" s="211">
        <v>1200.96</v>
      </c>
      <c r="O57" s="212">
        <f t="shared" si="1"/>
        <v>0</v>
      </c>
      <c r="P57" s="213"/>
      <c r="Q57" s="214"/>
      <c r="R57" s="215"/>
      <c r="S57" s="211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</row>
    <row r="58" spans="1:40" customFormat="1" ht="31.5" x14ac:dyDescent="0.25">
      <c r="A58" s="155"/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210"/>
      <c r="J58" s="210"/>
      <c r="K58" s="209"/>
      <c r="L58" s="210"/>
      <c r="M58" s="211"/>
      <c r="N58" s="211"/>
      <c r="O58" s="212">
        <f t="shared" si="1"/>
        <v>0</v>
      </c>
      <c r="P58" s="213">
        <v>1</v>
      </c>
      <c r="Q58" s="214">
        <v>1</v>
      </c>
      <c r="R58" s="215">
        <v>1</v>
      </c>
      <c r="S58" s="211">
        <v>548.1</v>
      </c>
      <c r="T58" s="97">
        <v>548.1</v>
      </c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</row>
    <row r="59" spans="1:40" customFormat="1" ht="31.5" x14ac:dyDescent="0.25">
      <c r="A59" s="155"/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210"/>
      <c r="J59" s="210"/>
      <c r="K59" s="209"/>
      <c r="L59" s="210"/>
      <c r="M59" s="211"/>
      <c r="N59" s="211"/>
      <c r="O59" s="212">
        <f t="shared" si="1"/>
        <v>0</v>
      </c>
      <c r="P59" s="213"/>
      <c r="Q59" s="214"/>
      <c r="R59" s="215"/>
      <c r="S59" s="211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</row>
    <row r="60" spans="1:40" customFormat="1" ht="31.5" x14ac:dyDescent="0.25">
      <c r="A60" s="155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63</v>
      </c>
      <c r="I60" s="210">
        <v>36</v>
      </c>
      <c r="J60" s="210">
        <v>51</v>
      </c>
      <c r="K60" s="209">
        <v>51</v>
      </c>
      <c r="L60" s="210">
        <v>50</v>
      </c>
      <c r="M60" s="211">
        <v>55405.35</v>
      </c>
      <c r="N60" s="211">
        <f>19657.67+3859.57+3638.88+11285.84+2356.7+1870.22+2374.32</f>
        <v>45043.199999999997</v>
      </c>
      <c r="O60" s="212">
        <f t="shared" si="1"/>
        <v>10362.150000000001</v>
      </c>
      <c r="P60" s="213">
        <v>7</v>
      </c>
      <c r="Q60" s="214">
        <v>7</v>
      </c>
      <c r="R60" s="215">
        <v>7</v>
      </c>
      <c r="S60" s="211">
        <f>7737.36+1404.36</f>
        <v>9141.7199999999993</v>
      </c>
      <c r="T60" s="97">
        <v>7737.36</v>
      </c>
      <c r="U60" s="97">
        <f t="shared" si="2"/>
        <v>1404.3599999999997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</row>
    <row r="61" spans="1:40" customFormat="1" ht="31.5" x14ac:dyDescent="0.25">
      <c r="A61" s="155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32</v>
      </c>
      <c r="I61" s="210">
        <v>17</v>
      </c>
      <c r="J61" s="210">
        <v>26</v>
      </c>
      <c r="K61" s="209">
        <v>24</v>
      </c>
      <c r="L61" s="210">
        <v>24</v>
      </c>
      <c r="M61" s="211">
        <f>3986.21+989.8+3814.75+1492.92+2107.58+1990.86+3001.41+1940.89</f>
        <v>19324.419999999998</v>
      </c>
      <c r="N61" s="211">
        <f>3986.21+989.8+3814.75+1492.92+2107.58+1990.86</f>
        <v>14382.12</v>
      </c>
      <c r="O61" s="212">
        <f t="shared" si="1"/>
        <v>4942.2999999999975</v>
      </c>
      <c r="P61" s="213"/>
      <c r="Q61" s="214"/>
      <c r="R61" s="215"/>
      <c r="S61" s="211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</row>
    <row r="62" spans="1:40" customFormat="1" ht="31.5" x14ac:dyDescent="0.25">
      <c r="A62" s="155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19</v>
      </c>
      <c r="I62" s="210">
        <v>11</v>
      </c>
      <c r="J62" s="210">
        <v>24</v>
      </c>
      <c r="K62" s="209">
        <v>22</v>
      </c>
      <c r="L62" s="210">
        <v>22</v>
      </c>
      <c r="M62" s="211">
        <v>17435.95</v>
      </c>
      <c r="N62" s="211">
        <f>1263.45+2111.32+5011.35+4260.64</f>
        <v>12646.760000000002</v>
      </c>
      <c r="O62" s="212">
        <f t="shared" si="1"/>
        <v>4789.1899999999987</v>
      </c>
      <c r="P62" s="213">
        <v>9</v>
      </c>
      <c r="Q62" s="214">
        <v>9</v>
      </c>
      <c r="R62" s="215">
        <v>9</v>
      </c>
      <c r="S62" s="211">
        <v>7582.54</v>
      </c>
      <c r="T62" s="97">
        <f>740.14+4736.32+577.79</f>
        <v>6054.25</v>
      </c>
      <c r="U62" s="97">
        <f t="shared" si="2"/>
        <v>1528.29</v>
      </c>
      <c r="V62" s="161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</row>
    <row r="63" spans="1:40" customFormat="1" ht="31.5" x14ac:dyDescent="0.25">
      <c r="A63" s="155"/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210"/>
      <c r="J63" s="210"/>
      <c r="K63" s="209"/>
      <c r="L63" s="210"/>
      <c r="M63" s="211"/>
      <c r="N63" s="211"/>
      <c r="O63" s="212">
        <f t="shared" si="1"/>
        <v>0</v>
      </c>
      <c r="P63" s="213">
        <v>29</v>
      </c>
      <c r="Q63" s="214">
        <v>29</v>
      </c>
      <c r="R63" s="215">
        <v>29</v>
      </c>
      <c r="S63" s="211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</row>
    <row r="64" spans="1:40" customFormat="1" ht="31.5" x14ac:dyDescent="0.25">
      <c r="A64" s="155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37</v>
      </c>
      <c r="I64" s="210">
        <v>22</v>
      </c>
      <c r="J64" s="210">
        <v>24</v>
      </c>
      <c r="K64" s="209">
        <v>23</v>
      </c>
      <c r="L64" s="210">
        <v>23</v>
      </c>
      <c r="M64" s="211">
        <v>20270.52</v>
      </c>
      <c r="N64" s="211">
        <f>6496.16+4335.01+2477.65+2687.1+609</f>
        <v>16604.919999999998</v>
      </c>
      <c r="O64" s="212">
        <f t="shared" si="1"/>
        <v>3665.6000000000022</v>
      </c>
      <c r="P64" s="213">
        <v>12</v>
      </c>
      <c r="Q64" s="214">
        <v>12</v>
      </c>
      <c r="R64" s="215">
        <v>12</v>
      </c>
      <c r="S64" s="211">
        <f>6866.56+548.1</f>
        <v>7414.6600000000008</v>
      </c>
      <c r="T64" s="97">
        <f>6866.56+548.1</f>
        <v>7414.6600000000008</v>
      </c>
      <c r="U64" s="97">
        <f t="shared" si="2"/>
        <v>0</v>
      </c>
      <c r="V64" s="161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</row>
    <row r="65" spans="1:42" ht="31.5" x14ac:dyDescent="0.25">
      <c r="A65" s="155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62</v>
      </c>
      <c r="I65" s="210">
        <v>51</v>
      </c>
      <c r="J65" s="210">
        <v>63</v>
      </c>
      <c r="K65" s="209">
        <v>56</v>
      </c>
      <c r="L65" s="210">
        <v>56</v>
      </c>
      <c r="M65" s="211">
        <f>21561.61+5719.7+1305+4149.27+2397.37+5906.18+1251.03+829.55+4633.7+2607.11+652.5+3265.4+1216.55</f>
        <v>55494.970000000008</v>
      </c>
      <c r="N65" s="211">
        <f>21561.61+5719.7+1305+4149.27+2397.37+5906.18+1251.03+829.55+4633.7+2607.11</f>
        <v>50360.520000000004</v>
      </c>
      <c r="O65" s="212">
        <f t="shared" si="1"/>
        <v>5134.4500000000044</v>
      </c>
      <c r="P65" s="213">
        <v>11</v>
      </c>
      <c r="Q65" s="214">
        <v>11</v>
      </c>
      <c r="R65" s="215">
        <v>11</v>
      </c>
      <c r="S65" s="211">
        <f>7456.7+19131.63</f>
        <v>26588.33</v>
      </c>
      <c r="T65" s="97">
        <f>7456.7+19131.63</f>
        <v>26588.33</v>
      </c>
      <c r="U65" s="97">
        <f t="shared" si="2"/>
        <v>0</v>
      </c>
      <c r="V65" s="161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</row>
    <row r="66" spans="1:42" ht="31.5" x14ac:dyDescent="0.25">
      <c r="A66" s="155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210">
        <v>2</v>
      </c>
      <c r="J66" s="210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13">
        <v>4</v>
      </c>
      <c r="Q66" s="214">
        <v>4</v>
      </c>
      <c r="R66" s="215">
        <v>4</v>
      </c>
      <c r="S66" s="211">
        <v>3148.1</v>
      </c>
      <c r="T66" s="97">
        <v>3148.1</v>
      </c>
      <c r="U66" s="97">
        <f t="shared" si="2"/>
        <v>0</v>
      </c>
      <c r="V66" s="161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</row>
    <row r="67" spans="1:42" ht="31.5" x14ac:dyDescent="0.25">
      <c r="A67" s="155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67</v>
      </c>
      <c r="I67" s="210">
        <v>47</v>
      </c>
      <c r="J67" s="210">
        <v>65</v>
      </c>
      <c r="K67" s="209">
        <v>65</v>
      </c>
      <c r="L67" s="210">
        <v>64</v>
      </c>
      <c r="M67" s="211">
        <v>57336.7</v>
      </c>
      <c r="N67" s="211">
        <f>19710.93+7009.96+ 8900.54+165.98+1497.55+1081.95+652.5+834+3570.78</f>
        <v>43424.19</v>
      </c>
      <c r="O67" s="212">
        <f t="shared" si="1"/>
        <v>13912.509999999995</v>
      </c>
      <c r="P67" s="213">
        <v>11</v>
      </c>
      <c r="Q67" s="214">
        <v>11</v>
      </c>
      <c r="R67" s="215">
        <v>11</v>
      </c>
      <c r="S67" s="211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  <c r="W67"/>
      <c r="X67"/>
      <c r="Y67"/>
      <c r="Z67"/>
      <c r="AA67"/>
      <c r="AB67"/>
      <c r="AC67"/>
      <c r="AD67"/>
      <c r="AE67"/>
      <c r="AF67" s="59"/>
      <c r="AG67"/>
      <c r="AH67"/>
      <c r="AI67"/>
      <c r="AJ67"/>
      <c r="AK67"/>
      <c r="AL67"/>
      <c r="AM67"/>
      <c r="AN67"/>
      <c r="AO67"/>
      <c r="AP67"/>
    </row>
    <row r="68" spans="1:42" ht="31.5" x14ac:dyDescent="0.25">
      <c r="A68" s="155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43</v>
      </c>
      <c r="I68" s="210">
        <v>34</v>
      </c>
      <c r="J68" s="210">
        <v>56</v>
      </c>
      <c r="K68" s="209">
        <v>56</v>
      </c>
      <c r="L68" s="210">
        <v>55</v>
      </c>
      <c r="M68" s="211">
        <v>37213.910000000003</v>
      </c>
      <c r="N68" s="211">
        <f>18750.75+2683.13+8424.37</f>
        <v>29858.25</v>
      </c>
      <c r="O68" s="212">
        <f t="shared" si="1"/>
        <v>7355.6600000000035</v>
      </c>
      <c r="P68" s="213">
        <v>11</v>
      </c>
      <c r="Q68" s="214">
        <v>11</v>
      </c>
      <c r="R68" s="215">
        <v>11</v>
      </c>
      <c r="S68" s="211">
        <v>6249.15</v>
      </c>
      <c r="T68" s="97">
        <v>6249.15</v>
      </c>
      <c r="U68" s="97">
        <f t="shared" si="2"/>
        <v>0</v>
      </c>
      <c r="V68" s="161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</row>
    <row r="69" spans="1:42" ht="31.5" x14ac:dyDescent="0.25">
      <c r="A69" s="155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20</v>
      </c>
      <c r="I69" s="210">
        <v>6</v>
      </c>
      <c r="J69" s="210">
        <v>8</v>
      </c>
      <c r="K69" s="209">
        <v>8</v>
      </c>
      <c r="L69" s="210">
        <v>7</v>
      </c>
      <c r="M69" s="211">
        <f>2756+1240.2+1305+1087.5+1232.5</f>
        <v>7621.2</v>
      </c>
      <c r="N69" s="211">
        <f>2756+1240.2+1305</f>
        <v>5301.2</v>
      </c>
      <c r="O69" s="212">
        <f t="shared" si="1"/>
        <v>2320</v>
      </c>
      <c r="P69" s="213"/>
      <c r="Q69" s="214"/>
      <c r="R69" s="215"/>
      <c r="S69" s="211"/>
      <c r="T69" s="97"/>
      <c r="U69" s="97">
        <f t="shared" si="2"/>
        <v>0</v>
      </c>
      <c r="V69" s="161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</row>
    <row r="70" spans="1:42" ht="31.5" x14ac:dyDescent="0.25">
      <c r="A70" s="155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19</v>
      </c>
      <c r="I70" s="210">
        <v>13</v>
      </c>
      <c r="J70" s="210">
        <v>15</v>
      </c>
      <c r="K70" s="209">
        <v>15</v>
      </c>
      <c r="L70" s="210">
        <v>14</v>
      </c>
      <c r="M70" s="211">
        <v>15374.68</v>
      </c>
      <c r="N70" s="211">
        <f>2039.44+3242.32+2027.39+3567+822.15</f>
        <v>11698.300000000001</v>
      </c>
      <c r="O70" s="212">
        <f t="shared" si="1"/>
        <v>3676.3799999999992</v>
      </c>
      <c r="P70" s="213">
        <v>7</v>
      </c>
      <c r="Q70" s="214">
        <v>7</v>
      </c>
      <c r="R70" s="215">
        <v>7</v>
      </c>
      <c r="S70" s="211">
        <f>3513.9+460.56+401.94</f>
        <v>4376.3999999999996</v>
      </c>
      <c r="T70" s="97">
        <v>3513.9</v>
      </c>
      <c r="U70" s="97">
        <f t="shared" si="2"/>
        <v>862.49999999999955</v>
      </c>
      <c r="V70" s="161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</row>
    <row r="71" spans="1:42" s="249" customFormat="1" ht="31.5" x14ac:dyDescent="0.25">
      <c r="A71" s="247">
        <v>57</v>
      </c>
      <c r="B71" s="248">
        <f t="shared" si="3"/>
        <v>62</v>
      </c>
      <c r="C71" s="250" t="s">
        <v>74</v>
      </c>
      <c r="D71" s="251" t="s">
        <v>124</v>
      </c>
      <c r="E71" s="252"/>
      <c r="F71" s="253" t="s">
        <v>111</v>
      </c>
      <c r="G71" s="254" t="s">
        <v>190</v>
      </c>
      <c r="H71" s="255">
        <v>30</v>
      </c>
      <c r="I71" s="210">
        <v>18</v>
      </c>
      <c r="J71" s="210">
        <v>22</v>
      </c>
      <c r="K71" s="209">
        <v>20</v>
      </c>
      <c r="L71" s="210">
        <v>20</v>
      </c>
      <c r="M71" s="211">
        <f>2383.53+3781.9+7505.17+507+5161.87+1335.02+1152.8-3276.5+5715.74</f>
        <v>24266.53</v>
      </c>
      <c r="N71" s="211">
        <f>2383.53+3781.9+7505.17+507+5161.87+1335.02+1152.8-3276.5</f>
        <v>18550.79</v>
      </c>
      <c r="O71" s="212">
        <f t="shared" si="1"/>
        <v>5715.739999999998</v>
      </c>
      <c r="P71" s="213">
        <v>25</v>
      </c>
      <c r="Q71" s="214">
        <v>25</v>
      </c>
      <c r="R71" s="215">
        <v>24</v>
      </c>
      <c r="S71" s="211">
        <f>52337.46+18000.02+1926.09</f>
        <v>72263.569999999992</v>
      </c>
      <c r="T71" s="97">
        <f>52337.46+18000.02+1926.09</f>
        <v>72263.569999999992</v>
      </c>
      <c r="U71" s="211">
        <f t="shared" si="2"/>
        <v>0</v>
      </c>
      <c r="V71" s="161"/>
      <c r="W71" s="243"/>
      <c r="X71" s="243"/>
      <c r="Y71" s="243"/>
      <c r="Z71" s="243"/>
      <c r="AA71" s="243"/>
      <c r="AB71" s="243"/>
      <c r="AC71" s="243"/>
      <c r="AD71" s="243"/>
      <c r="AE71" s="243"/>
      <c r="AF71" s="256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</row>
    <row r="72" spans="1:42" ht="31.5" x14ac:dyDescent="0.25">
      <c r="A72" s="155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22</v>
      </c>
      <c r="I72" s="210">
        <v>12</v>
      </c>
      <c r="J72" s="210">
        <v>15</v>
      </c>
      <c r="K72" s="209">
        <v>15</v>
      </c>
      <c r="L72" s="210">
        <v>15</v>
      </c>
      <c r="M72" s="211">
        <f>4703.53+544.32+1960.26+2120.63+1914.44+822.15</f>
        <v>12065.33</v>
      </c>
      <c r="N72" s="211">
        <f>4703.53+544.32+1960.26+2120.63</f>
        <v>9328.74</v>
      </c>
      <c r="O72" s="212">
        <f t="shared" si="1"/>
        <v>2736.59</v>
      </c>
      <c r="P72" s="213">
        <v>7</v>
      </c>
      <c r="Q72" s="214">
        <v>7</v>
      </c>
      <c r="R72" s="215">
        <v>7</v>
      </c>
      <c r="S72" s="211">
        <f>3959.69+961.38</f>
        <v>4921.07</v>
      </c>
      <c r="T72" s="97">
        <f>3959.69+961.38</f>
        <v>4921.07</v>
      </c>
      <c r="U72" s="97">
        <f t="shared" si="2"/>
        <v>0</v>
      </c>
      <c r="V72" s="161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1:42" ht="31.5" x14ac:dyDescent="0.25">
      <c r="A73" s="155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44</v>
      </c>
      <c r="I73" s="210">
        <v>30</v>
      </c>
      <c r="J73" s="210">
        <v>30</v>
      </c>
      <c r="K73" s="209">
        <v>30</v>
      </c>
      <c r="L73" s="210">
        <v>29</v>
      </c>
      <c r="M73" s="211">
        <f>2095.52+746.9+4941.1+3310.3+2104.91+2516.25</f>
        <v>15714.98</v>
      </c>
      <c r="N73" s="211">
        <f>2095.52+746.9+4941.1+3310.3+2104.91</f>
        <v>13198.73</v>
      </c>
      <c r="O73" s="212">
        <f t="shared" si="1"/>
        <v>2516.25</v>
      </c>
      <c r="P73" s="213">
        <v>8</v>
      </c>
      <c r="Q73" s="214">
        <v>8</v>
      </c>
      <c r="R73" s="215">
        <v>8</v>
      </c>
      <c r="S73" s="211">
        <f>1821.06+4580.19+1240.2+1963.25</f>
        <v>9604.7000000000007</v>
      </c>
      <c r="T73" s="97">
        <f>1821.06+4580.19+1240.2</f>
        <v>7641.45</v>
      </c>
      <c r="U73" s="97">
        <f t="shared" si="2"/>
        <v>1963.2500000000009</v>
      </c>
      <c r="V73" s="161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ht="31.5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210"/>
      <c r="J74" s="210"/>
      <c r="K74" s="209"/>
      <c r="L74" s="210"/>
      <c r="M74" s="211"/>
      <c r="N74" s="211"/>
      <c r="O74" s="212">
        <f t="shared" si="1"/>
        <v>0</v>
      </c>
      <c r="P74" s="213">
        <v>1</v>
      </c>
      <c r="Q74" s="214">
        <v>1</v>
      </c>
      <c r="R74" s="215">
        <v>1</v>
      </c>
      <c r="S74" s="211">
        <v>3278.32</v>
      </c>
      <c r="T74" s="97">
        <v>3278.32</v>
      </c>
      <c r="U74" s="97">
        <f t="shared" si="2"/>
        <v>0</v>
      </c>
      <c r="V74" s="161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ht="31.5" x14ac:dyDescent="0.25">
      <c r="A75" s="155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27</v>
      </c>
      <c r="I75" s="210">
        <v>5</v>
      </c>
      <c r="J75" s="210">
        <v>8</v>
      </c>
      <c r="K75" s="209">
        <v>8</v>
      </c>
      <c r="L75" s="210">
        <v>8</v>
      </c>
      <c r="M75" s="211">
        <f>275.6+741.36+14287.26+2399.03</f>
        <v>17703.25</v>
      </c>
      <c r="N75" s="211">
        <f>275.6+741.36+14287.26</f>
        <v>15304.220000000001</v>
      </c>
      <c r="O75" s="212">
        <f t="shared" ref="O75:O104" si="4" xml:space="preserve"> (M75-N75)</f>
        <v>2399.0299999999988</v>
      </c>
      <c r="P75" s="213">
        <v>3</v>
      </c>
      <c r="Q75" s="214">
        <v>3</v>
      </c>
      <c r="R75" s="215">
        <v>3</v>
      </c>
      <c r="S75" s="211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ht="31.5" x14ac:dyDescent="0.25">
      <c r="A76" s="155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38</v>
      </c>
      <c r="I76" s="210">
        <v>31</v>
      </c>
      <c r="J76" s="210">
        <v>45</v>
      </c>
      <c r="K76" s="209">
        <v>45</v>
      </c>
      <c r="L76" s="210">
        <v>42</v>
      </c>
      <c r="M76" s="211">
        <f>11803.63+1320.23+3132.15+12104.63+822.42+4875.99+435.02+2678.15+3594.84</f>
        <v>40767.06</v>
      </c>
      <c r="N76" s="211">
        <f>11803.63+1320.23+3132.15+12104.63+822.42+4875.99+435.02</f>
        <v>34494.069999999992</v>
      </c>
      <c r="O76" s="212">
        <f t="shared" si="4"/>
        <v>6272.9900000000052</v>
      </c>
      <c r="P76" s="213">
        <v>5</v>
      </c>
      <c r="Q76" s="214">
        <v>5</v>
      </c>
      <c r="R76" s="215">
        <v>5</v>
      </c>
      <c r="S76" s="211">
        <f>5751.78+461.63</f>
        <v>6213.41</v>
      </c>
      <c r="T76" s="97">
        <v>5751.78</v>
      </c>
      <c r="U76" s="97">
        <f t="shared" si="5"/>
        <v>461.63000000000011</v>
      </c>
      <c r="V76" s="161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ht="31.5" x14ac:dyDescent="0.25">
      <c r="A77" s="155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26</v>
      </c>
      <c r="I77" s="210">
        <v>14</v>
      </c>
      <c r="J77" s="210">
        <v>19</v>
      </c>
      <c r="K77" s="209">
        <v>19</v>
      </c>
      <c r="L77" s="210">
        <v>18</v>
      </c>
      <c r="M77" s="211">
        <v>19014.61</v>
      </c>
      <c r="N77" s="211">
        <f>4234.67+4498.63+1766.87+2083.87+1368.44+4016.5</f>
        <v>17968.979999999996</v>
      </c>
      <c r="O77" s="212">
        <f t="shared" si="4"/>
        <v>1045.6300000000047</v>
      </c>
      <c r="P77" s="213"/>
      <c r="Q77" s="214"/>
      <c r="R77" s="215"/>
      <c r="S77" s="211"/>
      <c r="T77" s="97"/>
      <c r="U77" s="97">
        <f t="shared" si="5"/>
        <v>0</v>
      </c>
      <c r="V77" s="161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</row>
    <row r="78" spans="1:42" ht="31.5" x14ac:dyDescent="0.25">
      <c r="A78" s="155" t="s">
        <v>315</v>
      </c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210"/>
      <c r="J78" s="210"/>
      <c r="K78" s="209"/>
      <c r="L78" s="210"/>
      <c r="M78" s="211"/>
      <c r="N78" s="211"/>
      <c r="O78" s="212">
        <f t="shared" si="4"/>
        <v>0</v>
      </c>
      <c r="P78" s="213">
        <v>9</v>
      </c>
      <c r="Q78" s="214">
        <v>9</v>
      </c>
      <c r="R78" s="215">
        <v>9</v>
      </c>
      <c r="S78" s="211">
        <f>3889.76+778.48</f>
        <v>4668.24</v>
      </c>
      <c r="T78" s="97">
        <f>3889.76+778.48</f>
        <v>4668.24</v>
      </c>
      <c r="U78" s="97">
        <f t="shared" si="5"/>
        <v>0</v>
      </c>
      <c r="V78" s="161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1:42" ht="31.5" x14ac:dyDescent="0.25">
      <c r="A79" s="155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25</v>
      </c>
      <c r="I79" s="210">
        <v>15</v>
      </c>
      <c r="J79" s="210">
        <v>21</v>
      </c>
      <c r="K79" s="209">
        <v>21</v>
      </c>
      <c r="L79" s="210">
        <v>21</v>
      </c>
      <c r="M79" s="211">
        <f>8913.81+7027.61+1244.33+15395.91+4278.3</f>
        <v>36859.96</v>
      </c>
      <c r="N79" s="211">
        <f>8913.81+7027.61+1244.33+15395.91+4278.3</f>
        <v>36859.96</v>
      </c>
      <c r="O79" s="212">
        <f t="shared" si="4"/>
        <v>0</v>
      </c>
      <c r="P79" s="213">
        <v>4</v>
      </c>
      <c r="Q79" s="214">
        <v>4</v>
      </c>
      <c r="R79" s="215">
        <v>4</v>
      </c>
      <c r="S79" s="211">
        <f>275.6+4163.58</f>
        <v>4439.18</v>
      </c>
      <c r="T79" s="97">
        <f>275.6+4163.58</f>
        <v>4439.18</v>
      </c>
      <c r="U79" s="97">
        <f t="shared" si="5"/>
        <v>0</v>
      </c>
      <c r="V79" s="161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1:42" ht="31.5" x14ac:dyDescent="0.25">
      <c r="A80" s="155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20</v>
      </c>
      <c r="I80" s="210">
        <v>14</v>
      </c>
      <c r="J80" s="210">
        <v>22</v>
      </c>
      <c r="K80" s="209">
        <v>22</v>
      </c>
      <c r="L80" s="210">
        <v>22</v>
      </c>
      <c r="M80" s="211">
        <f>14959.64+7384.39+14758.51+362.5+822.42+1311.95</f>
        <v>39599.409999999996</v>
      </c>
      <c r="N80" s="211">
        <f>14959.64+7384.39+14758.51+362.5+822.42</f>
        <v>38287.46</v>
      </c>
      <c r="O80" s="212">
        <f t="shared" si="4"/>
        <v>1311.9499999999971</v>
      </c>
      <c r="P80" s="213">
        <v>10</v>
      </c>
      <c r="Q80" s="214">
        <v>10</v>
      </c>
      <c r="R80" s="215">
        <v>10</v>
      </c>
      <c r="S80" s="211">
        <f>13554.7+2057.24+454.74</f>
        <v>16066.68</v>
      </c>
      <c r="T80" s="97">
        <f>13554.7+2057.24+454.74</f>
        <v>16066.68</v>
      </c>
      <c r="U80" s="97">
        <f t="shared" si="5"/>
        <v>0</v>
      </c>
      <c r="V80" s="161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1:42" ht="20.100000000000001" customHeight="1" x14ac:dyDescent="0.25">
      <c r="A81" s="155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210">
        <v>2</v>
      </c>
      <c r="J81" s="210">
        <v>4</v>
      </c>
      <c r="K81" s="209">
        <v>4</v>
      </c>
      <c r="L81" s="210">
        <v>3</v>
      </c>
      <c r="M81" s="211">
        <f>287.1+4640.98+1283.25</f>
        <v>6211.33</v>
      </c>
      <c r="N81" s="211">
        <v>287.10000000000002</v>
      </c>
      <c r="O81" s="212">
        <f t="shared" si="4"/>
        <v>5924.23</v>
      </c>
      <c r="P81" s="213">
        <v>1</v>
      </c>
      <c r="Q81" s="214">
        <v>1</v>
      </c>
      <c r="R81" s="215">
        <v>1</v>
      </c>
      <c r="S81" s="211">
        <v>2673.24</v>
      </c>
      <c r="T81" s="97">
        <v>2673.24</v>
      </c>
      <c r="U81" s="97">
        <f t="shared" si="5"/>
        <v>0</v>
      </c>
      <c r="V81" s="161"/>
    </row>
    <row r="82" spans="1:42" ht="20.100000000000001" customHeight="1" x14ac:dyDescent="0.25">
      <c r="A82" s="155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24</v>
      </c>
      <c r="I82" s="210">
        <v>17</v>
      </c>
      <c r="J82" s="210">
        <v>19</v>
      </c>
      <c r="K82" s="209">
        <v>19</v>
      </c>
      <c r="L82" s="210">
        <v>18</v>
      </c>
      <c r="M82" s="211">
        <f>2626.75+8084.46+600.05+7445.83+942.5+668.95+1283.25</f>
        <v>21651.789999999997</v>
      </c>
      <c r="N82" s="211">
        <f>2626.75+8084.46+600.05+7445.83+942.5+668.95</f>
        <v>20368.539999999997</v>
      </c>
      <c r="O82" s="212">
        <f t="shared" si="4"/>
        <v>1283.25</v>
      </c>
      <c r="P82" s="213">
        <v>10</v>
      </c>
      <c r="Q82" s="214">
        <v>10</v>
      </c>
      <c r="R82" s="215">
        <v>10</v>
      </c>
      <c r="S82" s="211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155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27</v>
      </c>
      <c r="I83" s="210">
        <v>14</v>
      </c>
      <c r="J83" s="210">
        <v>30</v>
      </c>
      <c r="K83" s="209">
        <v>30</v>
      </c>
      <c r="L83" s="210">
        <v>30</v>
      </c>
      <c r="M83" s="211">
        <f>11232.31+3440.1+14435.12-1360.99+3088.95+2556.06+1891.38+763.69</f>
        <v>36046.619999999995</v>
      </c>
      <c r="N83" s="211">
        <f>11232.31+3440.1+14435.12-1360.99+3088.95+2556.06</f>
        <v>33391.549999999996</v>
      </c>
      <c r="O83" s="212">
        <f t="shared" si="4"/>
        <v>2655.0699999999997</v>
      </c>
      <c r="P83" s="213">
        <v>7</v>
      </c>
      <c r="Q83" s="214">
        <v>7</v>
      </c>
      <c r="R83" s="215">
        <v>7</v>
      </c>
      <c r="S83" s="211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155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21</v>
      </c>
      <c r="I84" s="210">
        <v>15</v>
      </c>
      <c r="J84" s="210">
        <v>24</v>
      </c>
      <c r="K84" s="209">
        <v>24</v>
      </c>
      <c r="L84" s="210">
        <v>23</v>
      </c>
      <c r="M84" s="211">
        <f>5429.56+2272.28+2029.9+2976.46+1243.6+3190.51</f>
        <v>17142.310000000001</v>
      </c>
      <c r="N84" s="211">
        <f>5429.56+2272.28+2029.9+2976.46+1243.6+3190.51</f>
        <v>17142.310000000001</v>
      </c>
      <c r="O84" s="212">
        <f t="shared" si="4"/>
        <v>0</v>
      </c>
      <c r="P84" s="213">
        <v>1</v>
      </c>
      <c r="Q84" s="214">
        <v>1</v>
      </c>
      <c r="R84" s="215">
        <v>1</v>
      </c>
      <c r="S84" s="211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155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52</v>
      </c>
      <c r="I85" s="210">
        <v>40</v>
      </c>
      <c r="J85" s="210">
        <v>67</v>
      </c>
      <c r="K85" s="209">
        <v>64</v>
      </c>
      <c r="L85" s="210">
        <v>64</v>
      </c>
      <c r="M85" s="211">
        <f>15506.09+4089.12+1924.78+1267.55+6546.86+1962.04+654.22+1080.22+392.95+1059.68+8180.45+435+1409.81</f>
        <v>44508.76999999999</v>
      </c>
      <c r="N85" s="211">
        <f>15506.09+4089.12+1924.78+1267.55+6546.86+1962.04+654.22+1080.22+392.95+1059.68</f>
        <v>34483.509999999995</v>
      </c>
      <c r="O85" s="212">
        <f t="shared" si="4"/>
        <v>10025.259999999995</v>
      </c>
      <c r="P85" s="213">
        <v>5</v>
      </c>
      <c r="Q85" s="214">
        <v>5</v>
      </c>
      <c r="R85" s="215">
        <v>5</v>
      </c>
      <c r="S85" s="211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155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22</v>
      </c>
      <c r="I86" s="210">
        <v>18</v>
      </c>
      <c r="J86" s="210">
        <v>21</v>
      </c>
      <c r="K86" s="209">
        <v>21</v>
      </c>
      <c r="L86" s="210">
        <v>19</v>
      </c>
      <c r="M86" s="211">
        <f>1956.76+1128.38+1752.82+1595+1761.46</f>
        <v>8194.42</v>
      </c>
      <c r="N86" s="211">
        <f>1956.76+1128.38+1752.82</f>
        <v>4837.96</v>
      </c>
      <c r="O86" s="212">
        <f t="shared" si="4"/>
        <v>3356.46</v>
      </c>
      <c r="P86" s="213">
        <v>2</v>
      </c>
      <c r="Q86" s="214">
        <v>2</v>
      </c>
      <c r="R86" s="215">
        <v>2</v>
      </c>
      <c r="S86" s="211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155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10</v>
      </c>
      <c r="I87" s="210">
        <v>7</v>
      </c>
      <c r="J87" s="210">
        <v>12</v>
      </c>
      <c r="K87" s="209">
        <v>12</v>
      </c>
      <c r="L87" s="210">
        <v>12</v>
      </c>
      <c r="M87" s="211">
        <f>795.8+4099.92+1305+358.88+1643.65+1026.38+1265.93</f>
        <v>10495.560000000001</v>
      </c>
      <c r="N87" s="211">
        <f>795.8+4099.92+1305+358.88+1643.65</f>
        <v>8203.25</v>
      </c>
      <c r="O87" s="212">
        <f t="shared" si="4"/>
        <v>2292.3100000000013</v>
      </c>
      <c r="P87" s="213">
        <v>6</v>
      </c>
      <c r="Q87" s="214">
        <v>6</v>
      </c>
      <c r="R87" s="215">
        <v>6</v>
      </c>
      <c r="S87" s="211">
        <f>2723.78+3718.48+4265.16+4595.62</f>
        <v>15303.04</v>
      </c>
      <c r="T87" s="97">
        <f>2723.78+3718.48+4265.16+4595.62</f>
        <v>15303.04</v>
      </c>
      <c r="U87" s="97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210"/>
      <c r="J88" s="210"/>
      <c r="K88" s="209"/>
      <c r="L88" s="210"/>
      <c r="M88" s="211"/>
      <c r="N88" s="211"/>
      <c r="O88" s="212">
        <f t="shared" si="4"/>
        <v>0</v>
      </c>
      <c r="P88" s="213">
        <v>6</v>
      </c>
      <c r="Q88" s="214">
        <v>6</v>
      </c>
      <c r="R88" s="215">
        <v>6</v>
      </c>
      <c r="S88" s="211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155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15</v>
      </c>
      <c r="I89" s="210">
        <v>9</v>
      </c>
      <c r="J89" s="210">
        <v>11</v>
      </c>
      <c r="K89" s="209">
        <v>11</v>
      </c>
      <c r="L89" s="210">
        <v>11</v>
      </c>
      <c r="M89" s="211">
        <f>2874.33+1509.2+1943+315.81+145+874.35+533.98</f>
        <v>8195.67</v>
      </c>
      <c r="N89" s="211">
        <f>2874.33+1509.2+1943+315.81</f>
        <v>6642.34</v>
      </c>
      <c r="O89" s="212">
        <f t="shared" si="4"/>
        <v>1553.33</v>
      </c>
      <c r="P89" s="213">
        <v>8</v>
      </c>
      <c r="Q89" s="214">
        <v>8</v>
      </c>
      <c r="R89" s="215">
        <v>8</v>
      </c>
      <c r="S89" s="211">
        <f>8161.92+1118.75+3779.58+1127.2+2077.34</f>
        <v>16264.79</v>
      </c>
      <c r="T89" s="97">
        <f>8161.92+1118.75+3779.58+1127.2</f>
        <v>14187.45</v>
      </c>
      <c r="U89" s="97">
        <f t="shared" si="5"/>
        <v>2077.34</v>
      </c>
      <c r="V89" s="161"/>
    </row>
    <row r="90" spans="1:42" ht="20.100000000000001" customHeight="1" x14ac:dyDescent="0.25">
      <c r="A90" s="155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54</v>
      </c>
      <c r="I90" s="210">
        <v>47</v>
      </c>
      <c r="J90" s="210">
        <v>82</v>
      </c>
      <c r="K90" s="209">
        <v>82</v>
      </c>
      <c r="L90" s="210">
        <v>82</v>
      </c>
      <c r="M90" s="211">
        <f>14303.46+6714.67+1828.05+13505.93+582.9+8733.75+358.88+2031-1990+16472.8</f>
        <v>62541.440000000002</v>
      </c>
      <c r="N90" s="211">
        <f>14303.46+6714.67+1828.05+13505.93+582.9+8733.75+358.88+2031-1990</f>
        <v>46068.639999999999</v>
      </c>
      <c r="O90" s="212">
        <f t="shared" si="4"/>
        <v>16472.800000000003</v>
      </c>
      <c r="P90" s="213">
        <v>8</v>
      </c>
      <c r="Q90" s="214">
        <v>8</v>
      </c>
      <c r="R90" s="215">
        <v>8</v>
      </c>
      <c r="S90" s="211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155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33</v>
      </c>
      <c r="I91" s="210">
        <v>17</v>
      </c>
      <c r="J91" s="210">
        <v>24</v>
      </c>
      <c r="K91" s="209">
        <v>23</v>
      </c>
      <c r="L91" s="210">
        <v>23</v>
      </c>
      <c r="M91" s="211">
        <f>5384.83+3572.76+8100.09+725+145+1865.54</f>
        <v>19793.22</v>
      </c>
      <c r="N91" s="211">
        <f>5384.83+3572.76+8100.09+870</f>
        <v>17927.68</v>
      </c>
      <c r="O91" s="212">
        <f t="shared" si="4"/>
        <v>1865.5400000000009</v>
      </c>
      <c r="P91" s="213">
        <v>7</v>
      </c>
      <c r="Q91" s="214">
        <v>7</v>
      </c>
      <c r="R91" s="215">
        <v>7</v>
      </c>
      <c r="S91" s="211">
        <f>6219.66+748.35+1502.94</f>
        <v>8470.9500000000007</v>
      </c>
      <c r="T91" s="97">
        <f>6219.66+748.35+1502.94</f>
        <v>8470.9500000000007</v>
      </c>
      <c r="U91" s="97">
        <f t="shared" si="5"/>
        <v>0</v>
      </c>
      <c r="V91" s="161"/>
    </row>
    <row r="92" spans="1:42" ht="20.100000000000001" customHeight="1" x14ac:dyDescent="0.25">
      <c r="A92" s="155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26</v>
      </c>
      <c r="I92" s="210">
        <v>17</v>
      </c>
      <c r="J92" s="210">
        <v>25</v>
      </c>
      <c r="K92" s="209">
        <v>25</v>
      </c>
      <c r="L92" s="210">
        <v>25</v>
      </c>
      <c r="M92" s="211">
        <f>2301.54+4352.56+3555.69+1798.94+1481.14+763.69+2342.6+947.21+1435.6+2658.12+788.44</f>
        <v>22425.529999999995</v>
      </c>
      <c r="N92" s="211">
        <f>2301.54+4352.56+3555.69+1798.94+1481.14+763.69+2342.6+947.21</f>
        <v>17543.37</v>
      </c>
      <c r="O92" s="212">
        <f t="shared" si="4"/>
        <v>4882.1599999999962</v>
      </c>
      <c r="P92" s="213">
        <v>1</v>
      </c>
      <c r="Q92" s="214">
        <v>1</v>
      </c>
      <c r="R92" s="215">
        <v>1</v>
      </c>
      <c r="S92" s="211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155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119</v>
      </c>
      <c r="I93" s="210">
        <v>96</v>
      </c>
      <c r="J93" s="210">
        <v>115</v>
      </c>
      <c r="K93" s="209">
        <v>99</v>
      </c>
      <c r="L93" s="210">
        <v>83</v>
      </c>
      <c r="M93" s="211">
        <f>14656.12+3543.47+2420.25+2112.66+1299.21+2099.6+145+12320.24+7256.93+7391.73+3180.78+6298.93</f>
        <v>62724.919999999991</v>
      </c>
      <c r="N93" s="211">
        <f>14656.12+3543.47+2420.25+2112.66+1299.21+2099.6+145-10054.69+12320.24+13235.47</f>
        <v>41777.329999999994</v>
      </c>
      <c r="O93" s="212">
        <f t="shared" si="4"/>
        <v>20947.589999999997</v>
      </c>
      <c r="P93" s="213">
        <v>10</v>
      </c>
      <c r="Q93" s="214">
        <v>10</v>
      </c>
      <c r="R93" s="215">
        <v>10</v>
      </c>
      <c r="S93" s="211">
        <f>11083.64+344.5</f>
        <v>11428.14</v>
      </c>
      <c r="T93" s="97">
        <f>11083.64+344.5</f>
        <v>11428.14</v>
      </c>
      <c r="U93" s="97">
        <f t="shared" si="5"/>
        <v>0</v>
      </c>
      <c r="V93" s="161"/>
      <c r="AF93" s="145"/>
    </row>
    <row r="94" spans="1:42" s="58" customFormat="1" ht="20.100000000000001" customHeight="1" x14ac:dyDescent="0.25">
      <c r="A94" s="155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48</v>
      </c>
      <c r="I94" s="210">
        <v>27</v>
      </c>
      <c r="J94" s="210">
        <v>33</v>
      </c>
      <c r="K94" s="210">
        <v>28</v>
      </c>
      <c r="L94" s="210">
        <v>26</v>
      </c>
      <c r="M94" s="211">
        <f>6576.32+217.5+2898.52+939.6+1008.45+1200.17+3722.95+4136.2+2392.5+736.89</f>
        <v>23829.100000000002</v>
      </c>
      <c r="N94" s="211">
        <f>6576.32+217.5+2898.52+939.6+1008.45+1200.17+3722.95</f>
        <v>16563.510000000002</v>
      </c>
      <c r="O94" s="212">
        <f t="shared" si="4"/>
        <v>7265.59</v>
      </c>
      <c r="P94" s="213">
        <v>24</v>
      </c>
      <c r="Q94" s="215">
        <v>24</v>
      </c>
      <c r="R94" s="215">
        <v>24</v>
      </c>
      <c r="S94" s="211">
        <f>18253.04+4245.2+858.65+1546.26+14802.65</f>
        <v>39705.800000000003</v>
      </c>
      <c r="T94" s="97">
        <f>18253.04+4245.2+858.65+1546.26+14802.65</f>
        <v>39705.800000000003</v>
      </c>
      <c r="U94" s="97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155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35</v>
      </c>
      <c r="I95" s="210">
        <v>17</v>
      </c>
      <c r="J95" s="210">
        <v>24</v>
      </c>
      <c r="K95" s="209">
        <v>24</v>
      </c>
      <c r="L95" s="210">
        <v>21</v>
      </c>
      <c r="M95" s="211">
        <f>2362.32+22110.36+455.21+2039.58+953.22+699.73+275.6+9654.91+1049.72+2185.88+466.54</f>
        <v>42253.07</v>
      </c>
      <c r="N95" s="211">
        <f>2362.32+22110.36+455.21+2039.58+953.22+699.73+275.6+9654.91+1049.22</f>
        <v>39600.15</v>
      </c>
      <c r="O95" s="212">
        <f t="shared" si="4"/>
        <v>2652.9199999999983</v>
      </c>
      <c r="P95" s="213">
        <v>16</v>
      </c>
      <c r="Q95" s="214">
        <v>16</v>
      </c>
      <c r="R95" s="215">
        <v>16</v>
      </c>
      <c r="S95" s="211">
        <f>24552.24+1001.28+122.46+1729.98-1</f>
        <v>27404.959999999999</v>
      </c>
      <c r="T95" s="97">
        <f>24552.24+1001.28+122.46+1729.98-1</f>
        <v>27404.959999999999</v>
      </c>
      <c r="U95" s="97">
        <f t="shared" si="5"/>
        <v>0</v>
      </c>
      <c r="V95" s="161"/>
    </row>
    <row r="96" spans="1:42" ht="20.100000000000001" customHeight="1" x14ac:dyDescent="0.25">
      <c r="A96" s="155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11</v>
      </c>
      <c r="I96" s="210">
        <v>7</v>
      </c>
      <c r="J96" s="210">
        <v>11</v>
      </c>
      <c r="K96" s="209">
        <v>10</v>
      </c>
      <c r="L96" s="210">
        <v>10</v>
      </c>
      <c r="M96" s="211">
        <f>826.8+2786.41+2401.3</f>
        <v>6014.51</v>
      </c>
      <c r="N96" s="211">
        <f>826.8+2786.41+2401.3</f>
        <v>6014.51</v>
      </c>
      <c r="O96" s="212">
        <f t="shared" si="4"/>
        <v>0</v>
      </c>
      <c r="P96" s="213"/>
      <c r="Q96" s="214"/>
      <c r="R96" s="215"/>
      <c r="S96" s="211"/>
      <c r="T96" s="97"/>
      <c r="U96" s="97">
        <f t="shared" si="5"/>
        <v>0</v>
      </c>
      <c r="V96" s="161"/>
    </row>
    <row r="97" spans="1:36" customFormat="1" ht="31.5" x14ac:dyDescent="0.25">
      <c r="A97" s="155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12</v>
      </c>
      <c r="I97" s="210">
        <v>7</v>
      </c>
      <c r="J97" s="210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3171.93+1457.25+380.63</f>
        <v>5009.8100000000004</v>
      </c>
      <c r="O97" s="212">
        <f t="shared" si="4"/>
        <v>0</v>
      </c>
      <c r="P97" s="213">
        <v>4</v>
      </c>
      <c r="Q97" s="214">
        <v>4</v>
      </c>
      <c r="R97" s="215">
        <v>4</v>
      </c>
      <c r="S97" s="211">
        <v>1744.35</v>
      </c>
      <c r="T97" s="97">
        <v>1744.35</v>
      </c>
      <c r="U97" s="97">
        <f t="shared" si="5"/>
        <v>0</v>
      </c>
      <c r="V97" s="161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</row>
    <row r="98" spans="1:36" customFormat="1" ht="31.5" x14ac:dyDescent="0.25">
      <c r="A98" s="155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20</v>
      </c>
      <c r="I98" s="210">
        <v>13</v>
      </c>
      <c r="J98" s="210">
        <v>14</v>
      </c>
      <c r="K98" s="209">
        <v>14</v>
      </c>
      <c r="L98" s="210">
        <v>14</v>
      </c>
      <c r="M98" s="211">
        <f>757.9+551.2+895.7+290+725+841.2+290+725</f>
        <v>5076</v>
      </c>
      <c r="N98" s="211">
        <f>757.9+551.2+895.7+290+725+841.2</f>
        <v>4061</v>
      </c>
      <c r="O98" s="212">
        <f t="shared" si="4"/>
        <v>1015</v>
      </c>
      <c r="P98" s="213">
        <v>13</v>
      </c>
      <c r="Q98" s="214">
        <v>13</v>
      </c>
      <c r="R98" s="215">
        <v>13</v>
      </c>
      <c r="S98" s="211">
        <f>8034.56+3466.13+4060.73+413.4</f>
        <v>15974.82</v>
      </c>
      <c r="T98" s="97">
        <f>8034.56+3466.13+4060.73+413.4</f>
        <v>15974.82</v>
      </c>
      <c r="U98" s="97">
        <f t="shared" si="5"/>
        <v>0</v>
      </c>
      <c r="V98" s="161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</row>
    <row r="99" spans="1:36" customFormat="1" ht="31.5" x14ac:dyDescent="0.25">
      <c r="A99" s="155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29</v>
      </c>
      <c r="I99" s="210">
        <v>21</v>
      </c>
      <c r="J99" s="210">
        <v>27</v>
      </c>
      <c r="K99" s="209">
        <v>27</v>
      </c>
      <c r="L99" s="210">
        <v>26</v>
      </c>
      <c r="M99" s="211">
        <f>4782.23+1353.89+2195.41+1197.7+1340.79+681.5+699.48+1909.51+3782.6</f>
        <v>17943.11</v>
      </c>
      <c r="N99" s="211">
        <f>4782.23+1353.89+2195.41+1197.7+1340.79+681.57+699.48</f>
        <v>12251.07</v>
      </c>
      <c r="O99" s="212">
        <f t="shared" si="4"/>
        <v>5692.0400000000009</v>
      </c>
      <c r="P99" s="213">
        <v>12</v>
      </c>
      <c r="Q99" s="214">
        <v>12</v>
      </c>
      <c r="R99" s="215">
        <v>12</v>
      </c>
      <c r="S99" s="211">
        <f>12321.66+1021.27+487.2+781.96</f>
        <v>14612.09</v>
      </c>
      <c r="T99" s="97">
        <f>12321.66+1021.27+487.2</f>
        <v>13830.130000000001</v>
      </c>
      <c r="U99" s="97">
        <f t="shared" si="5"/>
        <v>781.95999999999913</v>
      </c>
      <c r="V99" s="161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</row>
    <row r="100" spans="1:36" customFormat="1" ht="31.5" x14ac:dyDescent="0.25">
      <c r="A100" s="155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34</v>
      </c>
      <c r="I100" s="210">
        <v>12</v>
      </c>
      <c r="J100" s="210">
        <v>21</v>
      </c>
      <c r="K100" s="209">
        <v>21</v>
      </c>
      <c r="L100" s="210">
        <v>21</v>
      </c>
      <c r="M100" s="211">
        <f>10862.96+2375.03+5632.11+356.47+2077.94+875.35+630.95</f>
        <v>22810.809999999998</v>
      </c>
      <c r="N100" s="211">
        <f>10862.96+2375.03+5632.11+357.47+2077.94</f>
        <v>21305.51</v>
      </c>
      <c r="O100" s="212">
        <f t="shared" si="4"/>
        <v>1505.2999999999993</v>
      </c>
      <c r="P100" s="213">
        <v>10</v>
      </c>
      <c r="Q100" s="214">
        <v>10</v>
      </c>
      <c r="R100" s="215">
        <v>10</v>
      </c>
      <c r="S100" s="211">
        <f>4780.1+2135.9</f>
        <v>6916</v>
      </c>
      <c r="T100" s="97">
        <f>4780.1+2135.9</f>
        <v>6916</v>
      </c>
      <c r="U100" s="97">
        <f t="shared" si="5"/>
        <v>0</v>
      </c>
      <c r="V100" s="161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45"/>
      <c r="AG100" s="134"/>
      <c r="AH100" s="134"/>
      <c r="AI100" s="134"/>
    </row>
    <row r="101" spans="1:36" customFormat="1" ht="31.5" x14ac:dyDescent="0.25">
      <c r="A101" s="155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102</v>
      </c>
      <c r="I101" s="210">
        <v>69</v>
      </c>
      <c r="J101" s="210">
        <v>80</v>
      </c>
      <c r="K101" s="209">
        <v>74</v>
      </c>
      <c r="L101" s="210">
        <v>60</v>
      </c>
      <c r="M101" s="211">
        <f>16276.16+4466.66+1078.5+4011.53+435+1493.5+2243.15+1864.7+4804.86+840+5133.33+10737-380.89</f>
        <v>53003.5</v>
      </c>
      <c r="N101" s="211">
        <f>16276.16+4466.66+1078.5+4011.53+435+1493.5+2243.15-144.3-2415.9+5133.33+2766.9</f>
        <v>35344.53</v>
      </c>
      <c r="O101" s="212">
        <f t="shared" si="4"/>
        <v>17658.97</v>
      </c>
      <c r="P101" s="213">
        <v>36</v>
      </c>
      <c r="Q101" s="214">
        <v>36</v>
      </c>
      <c r="R101" s="215">
        <v>35</v>
      </c>
      <c r="S101" s="211">
        <f>21329.45-2252.12+532.3+345.99+26455.28+1.67+3039.85-3960.98+551.2+1658</f>
        <v>47700.639999999992</v>
      </c>
      <c r="T101" s="97">
        <f>21329.45-2252.12+532.3+345.99+26455.28+1.67+3039.85-3960.98+2209.2</f>
        <v>47700.639999999992</v>
      </c>
      <c r="U101" s="97">
        <f t="shared" si="5"/>
        <v>0</v>
      </c>
      <c r="V101" s="161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45"/>
      <c r="AI101" s="134"/>
    </row>
    <row r="102" spans="1:36" customFormat="1" ht="31.5" x14ac:dyDescent="0.25">
      <c r="A102" s="155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13</v>
      </c>
      <c r="I102" s="217">
        <v>9</v>
      </c>
      <c r="J102" s="217">
        <v>12</v>
      </c>
      <c r="K102" s="216">
        <v>12</v>
      </c>
      <c r="L102" s="217">
        <v>12</v>
      </c>
      <c r="M102" s="218">
        <f>3259.83+1328.19+2964.21+8477.2+2525.13</f>
        <v>18554.560000000001</v>
      </c>
      <c r="N102" s="218">
        <f>3259.83+1328.19+2964.21+8477.2</f>
        <v>16029.43</v>
      </c>
      <c r="O102" s="212">
        <f t="shared" si="4"/>
        <v>2525.130000000001</v>
      </c>
      <c r="P102" s="219">
        <v>4</v>
      </c>
      <c r="Q102" s="220">
        <v>4</v>
      </c>
      <c r="R102" s="221">
        <v>4</v>
      </c>
      <c r="S102" s="218">
        <f>1193.3+5843.89</f>
        <v>7037.1900000000005</v>
      </c>
      <c r="T102" s="147">
        <f>1193.3+5843.89</f>
        <v>7037.1900000000005</v>
      </c>
      <c r="U102" s="147">
        <f t="shared" si="5"/>
        <v>0</v>
      </c>
      <c r="V102" s="161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</row>
    <row r="103" spans="1:36" customFormat="1" ht="31.5" x14ac:dyDescent="0.25">
      <c r="A103" s="155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28</v>
      </c>
      <c r="I103" s="210">
        <v>8</v>
      </c>
      <c r="J103" s="210">
        <v>10</v>
      </c>
      <c r="K103" s="209">
        <v>10</v>
      </c>
      <c r="L103" s="210">
        <v>10</v>
      </c>
      <c r="M103" s="211">
        <f>699.33+580+1941.55+1384.15</f>
        <v>4605.0300000000007</v>
      </c>
      <c r="N103" s="211">
        <f>699.33+580+1941.55</f>
        <v>3220.88</v>
      </c>
      <c r="O103" s="212">
        <f t="shared" si="4"/>
        <v>1384.1500000000005</v>
      </c>
      <c r="P103" s="215"/>
      <c r="Q103" s="214"/>
      <c r="R103" s="215"/>
      <c r="S103" s="211"/>
      <c r="T103" s="97"/>
      <c r="U103" s="147">
        <f t="shared" si="5"/>
        <v>0</v>
      </c>
      <c r="V103" s="161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</row>
    <row r="104" spans="1:36" customFormat="1" ht="31.5" x14ac:dyDescent="0.25">
      <c r="A104" s="155"/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210">
        <v>2</v>
      </c>
      <c r="J104" s="210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15"/>
      <c r="Q104" s="214"/>
      <c r="R104" s="215"/>
      <c r="S104" s="211"/>
      <c r="T104" s="97"/>
      <c r="U104" s="97">
        <f t="shared" si="5"/>
        <v>0</v>
      </c>
      <c r="V104" s="161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45"/>
      <c r="AG104" s="134"/>
      <c r="AH104" s="145"/>
      <c r="AI104" s="134"/>
    </row>
    <row r="105" spans="1:36" customFormat="1" x14ac:dyDescent="0.25">
      <c r="A105" s="155"/>
      <c r="B105" s="362"/>
      <c r="C105" s="362"/>
      <c r="D105" s="362"/>
      <c r="E105" s="362"/>
      <c r="F105" s="362"/>
      <c r="G105" s="362"/>
      <c r="H105" s="119">
        <f t="shared" ref="H105:P105" si="7">SUM(H10:H104)</f>
        <v>2775</v>
      </c>
      <c r="I105" s="223">
        <f t="shared" si="7"/>
        <v>1793</v>
      </c>
      <c r="J105" s="223">
        <f t="shared" si="7"/>
        <v>2447</v>
      </c>
      <c r="K105" s="222">
        <f t="shared" si="7"/>
        <v>2331</v>
      </c>
      <c r="L105" s="223">
        <f t="shared" si="7"/>
        <v>2231</v>
      </c>
      <c r="M105" s="224">
        <f t="shared" si="7"/>
        <v>1891578.5000000005</v>
      </c>
      <c r="N105" s="224">
        <f t="shared" si="7"/>
        <v>1499787.8900000004</v>
      </c>
      <c r="O105" s="224">
        <f t="shared" si="7"/>
        <v>391790.61</v>
      </c>
      <c r="P105" s="225">
        <f t="shared" si="7"/>
        <v>763</v>
      </c>
      <c r="Q105" s="226">
        <f>SUM(Q10:Q104)</f>
        <v>762</v>
      </c>
      <c r="R105" s="225">
        <f>SUM(R11:R104)</f>
        <v>741</v>
      </c>
      <c r="S105" s="224">
        <f>SUM(S10:S104)</f>
        <v>1054491.55</v>
      </c>
      <c r="T105" s="151">
        <f>SUM(T10:T104)</f>
        <v>1028444.2099999998</v>
      </c>
      <c r="U105" s="151">
        <f>SUM(U10:U104)</f>
        <v>26047.340000000004</v>
      </c>
      <c r="V105" s="244"/>
      <c r="W105" s="245"/>
      <c r="X105" s="246"/>
      <c r="Y105" s="245"/>
      <c r="Z105" s="246"/>
      <c r="AA105" s="245"/>
      <c r="AB105" s="246"/>
      <c r="AC105" s="246"/>
      <c r="AD105" s="246"/>
      <c r="AE105" s="246"/>
      <c r="AF105" s="245"/>
      <c r="AG105" s="245"/>
      <c r="AH105" s="236"/>
      <c r="AI105" s="134"/>
    </row>
    <row r="106" spans="1:36" customFormat="1" x14ac:dyDescent="0.25">
      <c r="A106" s="155"/>
      <c r="B106" s="184"/>
      <c r="C106" s="184"/>
      <c r="D106" s="184"/>
      <c r="E106" s="184"/>
      <c r="F106" s="184"/>
      <c r="G106" s="184"/>
      <c r="H106" s="184"/>
      <c r="I106" s="184"/>
      <c r="J106" s="227"/>
      <c r="K106" s="227"/>
      <c r="L106" s="227"/>
      <c r="M106" s="228"/>
      <c r="N106" s="228"/>
      <c r="O106" s="228"/>
      <c r="P106" s="228"/>
      <c r="Q106" s="228"/>
      <c r="R106" s="228"/>
      <c r="S106" s="228"/>
      <c r="T106" s="185"/>
      <c r="U106" s="186"/>
      <c r="V106" s="245"/>
      <c r="W106" s="245"/>
      <c r="X106" s="246"/>
      <c r="Y106" s="246"/>
      <c r="Z106" s="246"/>
      <c r="AA106" s="246"/>
      <c r="AB106" s="246"/>
      <c r="AC106" s="246"/>
      <c r="AD106" s="246"/>
      <c r="AE106" s="246"/>
      <c r="AF106" s="245"/>
      <c r="AG106" s="246"/>
      <c r="AH106" s="235"/>
      <c r="AI106" s="134"/>
    </row>
    <row r="107" spans="1:36" customFormat="1" x14ac:dyDescent="0.25">
      <c r="A107" s="155"/>
      <c r="B107" s="184"/>
      <c r="C107" s="184"/>
      <c r="D107" s="184"/>
      <c r="E107" s="184"/>
      <c r="F107" s="184"/>
      <c r="G107" s="184"/>
      <c r="H107" s="184"/>
      <c r="I107" s="184"/>
      <c r="J107" s="227"/>
      <c r="K107" s="227"/>
      <c r="L107" s="227"/>
      <c r="M107" s="228"/>
      <c r="N107" s="228"/>
      <c r="O107" s="228"/>
      <c r="P107" s="228"/>
      <c r="Q107" s="228"/>
      <c r="R107" s="228"/>
      <c r="S107" s="228"/>
      <c r="T107" s="185"/>
      <c r="U107" s="186"/>
      <c r="V107" s="245"/>
      <c r="W107" s="245"/>
      <c r="X107" s="246"/>
      <c r="Y107" s="246"/>
      <c r="Z107" s="246"/>
      <c r="AA107" s="246"/>
      <c r="AB107" s="246"/>
      <c r="AC107" s="246"/>
      <c r="AD107" s="246"/>
      <c r="AE107" s="246"/>
      <c r="AF107" s="245"/>
      <c r="AG107" s="245"/>
      <c r="AH107" s="234"/>
      <c r="AI107" s="145"/>
      <c r="AJ107" s="59"/>
    </row>
    <row r="108" spans="1:36" customFormat="1" x14ac:dyDescent="0.25">
      <c r="A108" s="155"/>
      <c r="B108" s="184"/>
      <c r="C108" s="184"/>
      <c r="D108" s="184"/>
      <c r="E108" s="184"/>
      <c r="F108" s="184"/>
      <c r="G108" s="184"/>
      <c r="H108" s="184"/>
      <c r="I108" s="184"/>
      <c r="J108" s="227"/>
      <c r="K108" s="227"/>
      <c r="L108" s="227"/>
      <c r="M108" s="228"/>
      <c r="N108" s="228"/>
      <c r="O108" s="228"/>
      <c r="P108" s="228"/>
      <c r="Q108" s="228"/>
      <c r="R108" s="228"/>
      <c r="S108" s="228"/>
      <c r="T108" s="185"/>
      <c r="U108" s="186"/>
      <c r="V108" s="145"/>
      <c r="W108" s="145"/>
      <c r="X108" s="134"/>
      <c r="Y108" s="134"/>
      <c r="Z108" s="134"/>
      <c r="AA108" s="134"/>
      <c r="AB108" s="134"/>
      <c r="AC108" s="134"/>
      <c r="AD108" s="134"/>
      <c r="AE108" s="134"/>
      <c r="AF108" s="234"/>
      <c r="AG108" s="234"/>
      <c r="AH108" s="235"/>
      <c r="AI108" s="134"/>
    </row>
    <row r="109" spans="1:36" customFormat="1" x14ac:dyDescent="0.25">
      <c r="A109" s="155"/>
      <c r="B109" s="184"/>
      <c r="C109" s="184"/>
      <c r="D109" s="184"/>
      <c r="E109" s="184"/>
      <c r="F109" s="184"/>
      <c r="G109" s="184"/>
      <c r="H109" s="184"/>
      <c r="I109" s="184"/>
      <c r="J109" s="227"/>
      <c r="K109" s="227"/>
      <c r="L109" s="227"/>
      <c r="M109" s="228"/>
      <c r="N109" s="228"/>
      <c r="O109" s="228"/>
      <c r="P109" s="228"/>
      <c r="Q109" s="228"/>
      <c r="R109" s="228"/>
      <c r="S109" s="228"/>
      <c r="T109" s="185"/>
      <c r="U109" s="186"/>
      <c r="V109" s="145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235"/>
      <c r="AG109" s="235"/>
      <c r="AH109" s="234"/>
      <c r="AI109" s="134"/>
    </row>
    <row r="110" spans="1:36" customFormat="1" x14ac:dyDescent="0.25">
      <c r="A110" s="155"/>
      <c r="B110" s="184"/>
      <c r="C110" s="184"/>
      <c r="D110" s="184"/>
      <c r="E110" s="184"/>
      <c r="F110" s="184"/>
      <c r="G110" s="184"/>
      <c r="H110" s="184"/>
      <c r="I110" s="184"/>
      <c r="J110" s="227"/>
      <c r="K110" s="227"/>
      <c r="L110" s="227"/>
      <c r="M110" s="228"/>
      <c r="N110" s="228"/>
      <c r="O110" s="228"/>
      <c r="P110" s="228"/>
      <c r="Q110" s="228"/>
      <c r="R110" s="228"/>
      <c r="S110" s="228"/>
      <c r="T110" s="185"/>
      <c r="U110" s="186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235"/>
      <c r="AG110" s="235"/>
      <c r="AH110" s="234"/>
      <c r="AI110" s="134"/>
    </row>
    <row r="111" spans="1:36" customFormat="1" x14ac:dyDescent="0.25">
      <c r="A111" s="155"/>
      <c r="B111" s="184"/>
      <c r="C111" s="184"/>
      <c r="D111" s="184"/>
      <c r="E111" s="184"/>
      <c r="F111" s="184"/>
      <c r="G111" s="184"/>
      <c r="H111" s="184"/>
      <c r="I111" s="184"/>
      <c r="J111" s="227"/>
      <c r="K111" s="227"/>
      <c r="L111" s="227"/>
      <c r="M111" s="228"/>
      <c r="N111" s="228"/>
      <c r="O111" s="228"/>
      <c r="P111" s="228"/>
      <c r="Q111" s="228"/>
      <c r="R111" s="228"/>
      <c r="S111" s="228"/>
      <c r="T111" s="185"/>
      <c r="U111" s="186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235"/>
      <c r="AG111" s="235"/>
      <c r="AH111" s="235"/>
      <c r="AI111" s="134"/>
    </row>
    <row r="112" spans="1:36" customFormat="1" x14ac:dyDescent="0.25">
      <c r="A112" s="155"/>
      <c r="B112" s="184"/>
      <c r="C112" s="184"/>
      <c r="D112" s="184"/>
      <c r="E112" s="184"/>
      <c r="F112" s="184"/>
      <c r="G112" s="184"/>
      <c r="H112" s="184"/>
      <c r="I112" s="184"/>
      <c r="J112" s="227"/>
      <c r="K112" s="227"/>
      <c r="L112" s="227"/>
      <c r="M112" s="228"/>
      <c r="N112" s="228"/>
      <c r="O112" s="228"/>
      <c r="P112" s="228"/>
      <c r="Q112" s="228"/>
      <c r="R112" s="228"/>
      <c r="S112" s="228"/>
      <c r="T112" s="185"/>
      <c r="U112" s="186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235"/>
      <c r="AG112" s="235"/>
      <c r="AH112" s="235"/>
      <c r="AI112" s="134"/>
    </row>
    <row r="113" spans="10:34" customFormat="1" ht="15" x14ac:dyDescent="0.25">
      <c r="J113" s="243"/>
      <c r="K113" s="243"/>
      <c r="L113" s="243"/>
      <c r="M113" s="243"/>
      <c r="N113" s="243"/>
      <c r="O113" s="243"/>
      <c r="P113" s="243"/>
      <c r="Q113" s="243"/>
      <c r="R113" s="243"/>
      <c r="S113" s="243"/>
      <c r="T113" s="55"/>
      <c r="U113" s="59"/>
      <c r="AF113" s="235"/>
      <c r="AG113" s="235"/>
      <c r="AH113" s="235"/>
    </row>
    <row r="114" spans="10:34" customFormat="1" ht="15" x14ac:dyDescent="0.25"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55"/>
      <c r="AF114" s="235"/>
      <c r="AG114" s="235"/>
      <c r="AH114" s="235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phoneticPr fontId="0" type="noConversion"/>
  <conditionalFormatting sqref="S45">
    <cfRule type="cellIs" dxfId="202" priority="11" stopIfTrue="1" operator="equal">
      <formula>0</formula>
    </cfRule>
  </conditionalFormatting>
  <conditionalFormatting sqref="AL45">
    <cfRule type="cellIs" dxfId="201" priority="10" stopIfTrue="1" operator="equal">
      <formula>0</formula>
    </cfRule>
  </conditionalFormatting>
  <conditionalFormatting sqref="T45">
    <cfRule type="cellIs" dxfId="200" priority="9" stopIfTrue="1" operator="equal">
      <formula>0</formula>
    </cfRule>
  </conditionalFormatting>
  <conditionalFormatting sqref="T45">
    <cfRule type="cellIs" dxfId="199" priority="8" stopIfTrue="1" operator="equal">
      <formula>0</formula>
    </cfRule>
  </conditionalFormatting>
  <conditionalFormatting sqref="T45">
    <cfRule type="cellIs" dxfId="198" priority="7" stopIfTrue="1" operator="equal">
      <formula>0</formula>
    </cfRule>
  </conditionalFormatting>
  <conditionalFormatting sqref="T45">
    <cfRule type="cellIs" dxfId="197" priority="6" stopIfTrue="1" operator="equal">
      <formula>0</formula>
    </cfRule>
  </conditionalFormatting>
  <conditionalFormatting sqref="T45">
    <cfRule type="cellIs" dxfId="196" priority="5" stopIfTrue="1" operator="equal">
      <formula>0</formula>
    </cfRule>
  </conditionalFormatting>
  <conditionalFormatting sqref="T45">
    <cfRule type="cellIs" dxfId="195" priority="4" stopIfTrue="1" operator="equal">
      <formula>0</formula>
    </cfRule>
  </conditionalFormatting>
  <conditionalFormatting sqref="T45">
    <cfRule type="cellIs" dxfId="194" priority="3" stopIfTrue="1" operator="equal">
      <formula>0</formula>
    </cfRule>
  </conditionalFormatting>
  <conditionalFormatting sqref="T45">
    <cfRule type="cellIs" dxfId="193" priority="2" stopIfTrue="1" operator="equal">
      <formula>0</formula>
    </cfRule>
  </conditionalFormatting>
  <conditionalFormatting sqref="T45">
    <cfRule type="cellIs" dxfId="192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27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J67" zoomScale="87" zoomScaleNormal="87" workbookViewId="0">
      <selection activeCell="B77" sqref="A77:IV77"/>
    </sheetView>
  </sheetViews>
  <sheetFormatPr defaultRowHeight="15.75" x14ac:dyDescent="0.25"/>
  <cols>
    <col min="1" max="1" width="6.28515625" style="257" hidden="1" customWidth="1"/>
    <col min="2" max="2" width="7.425781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0" style="184" customWidth="1"/>
    <col min="7" max="7" width="18.5703125" style="184" customWidth="1"/>
    <col min="8" max="8" width="10.7109375" style="184" customWidth="1"/>
    <col min="9" max="9" width="9.140625" style="184" customWidth="1"/>
    <col min="10" max="12" width="9.140625" style="227" customWidth="1"/>
    <col min="13" max="13" width="16.5703125" style="228" customWidth="1"/>
    <col min="14" max="14" width="15.140625" style="228" customWidth="1"/>
    <col min="15" max="15" width="19.5703125" style="228" customWidth="1"/>
    <col min="16" max="17" width="11.85546875" style="228" customWidth="1"/>
    <col min="18" max="18" width="11.7109375" style="228" customWidth="1"/>
    <col min="19" max="19" width="16.7109375" style="264" customWidth="1"/>
    <col min="20" max="20" width="17.140625" style="185" customWidth="1"/>
    <col min="21" max="21" width="17.85546875" style="186" customWidth="1"/>
    <col min="22" max="22" width="15" style="134" customWidth="1"/>
    <col min="23" max="23" width="14" style="134" customWidth="1"/>
    <col min="24" max="24" width="9.140625" style="134" customWidth="1"/>
    <col min="25" max="25" width="9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3" style="134" customWidth="1"/>
    <col min="35" max="35" width="9.140625" style="134" customWidth="1"/>
    <col min="36" max="36" width="11.7109375" style="134" customWidth="1"/>
    <col min="37" max="42" width="9.140625" style="134" customWidth="1"/>
  </cols>
  <sheetData>
    <row r="1" spans="1:42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47" t="s">
        <v>17</v>
      </c>
      <c r="T1" s="347"/>
      <c r="U1" s="347"/>
      <c r="AO1"/>
      <c r="AP1"/>
    </row>
    <row r="2" spans="1:42" x14ac:dyDescent="0.25">
      <c r="B2" s="348" t="s">
        <v>325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  <c r="AO2"/>
      <c r="AP2"/>
    </row>
    <row r="3" spans="1:42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  <c r="AO3"/>
      <c r="AP3"/>
    </row>
    <row r="4" spans="1:42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  <c r="AO4"/>
      <c r="AP4"/>
    </row>
    <row r="5" spans="1:42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  <c r="AO5"/>
      <c r="AP5"/>
    </row>
    <row r="6" spans="1:42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  <c r="AO6"/>
      <c r="AP6"/>
    </row>
    <row r="7" spans="1:42" ht="16.5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59" t="s">
        <v>326</v>
      </c>
      <c r="Q7" s="360"/>
      <c r="R7" s="360"/>
      <c r="S7" s="360"/>
      <c r="T7" s="360"/>
      <c r="U7" s="361"/>
      <c r="AO7"/>
      <c r="AP7"/>
    </row>
    <row r="8" spans="1:42" ht="299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259" t="s">
        <v>14</v>
      </c>
      <c r="T8" s="94" t="s">
        <v>15</v>
      </c>
      <c r="U8" s="94" t="s">
        <v>16</v>
      </c>
      <c r="AO8"/>
      <c r="AP8"/>
    </row>
    <row r="9" spans="1:42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260">
        <f t="shared" si="0"/>
        <v>18</v>
      </c>
      <c r="T9" s="130">
        <f t="shared" si="0"/>
        <v>19</v>
      </c>
      <c r="U9" s="122">
        <f t="shared" si="0"/>
        <v>20</v>
      </c>
      <c r="AO9"/>
      <c r="AP9"/>
    </row>
    <row r="10" spans="1:42" ht="31.5" x14ac:dyDescent="0.25">
      <c r="A10" s="257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46</v>
      </c>
      <c r="I10" s="266">
        <v>27</v>
      </c>
      <c r="J10" s="266">
        <v>30</v>
      </c>
      <c r="K10" s="209">
        <v>30</v>
      </c>
      <c r="L10" s="210">
        <v>29</v>
      </c>
      <c r="M10" s="211">
        <f>8818.63+2629.32+1661.28+2228.94+580+2232.29+5247.45</f>
        <v>23397.91</v>
      </c>
      <c r="N10" s="211">
        <f>8818.63+2629.32+1661.28+2228.94+580+2232.29</f>
        <v>18150.46</v>
      </c>
      <c r="O10" s="212">
        <f xml:space="preserve"> (M10-N10)</f>
        <v>5247.4500000000007</v>
      </c>
      <c r="P10" s="269">
        <v>8</v>
      </c>
      <c r="Q10" s="214">
        <v>8</v>
      </c>
      <c r="R10" s="215">
        <v>8</v>
      </c>
      <c r="S10" s="261">
        <f>4246.75+895.7+2557.8</f>
        <v>7700.25</v>
      </c>
      <c r="T10" s="97">
        <f>4246.75+895.7+2557.8</f>
        <v>7700.25</v>
      </c>
      <c r="U10" s="97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  <c r="AO10"/>
      <c r="AP10"/>
    </row>
    <row r="11" spans="1:42" ht="31.5" x14ac:dyDescent="0.25">
      <c r="A11" s="257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18</v>
      </c>
      <c r="I11" s="266">
        <v>13</v>
      </c>
      <c r="J11" s="266">
        <v>13</v>
      </c>
      <c r="K11" s="209">
        <v>13</v>
      </c>
      <c r="L11" s="210">
        <v>13</v>
      </c>
      <c r="M11" s="211">
        <f>1778.86+580+1740+464+580</f>
        <v>5142.8599999999997</v>
      </c>
      <c r="N11" s="211">
        <f>1778.86+580+1740+464+580</f>
        <v>5142.8599999999997</v>
      </c>
      <c r="O11" s="212">
        <f t="shared" ref="O11:O74" si="1" xml:space="preserve"> (M11-N11)</f>
        <v>0</v>
      </c>
      <c r="P11" s="269">
        <v>2</v>
      </c>
      <c r="Q11" s="214">
        <v>2</v>
      </c>
      <c r="R11" s="215">
        <v>2</v>
      </c>
      <c r="S11" s="261">
        <f>234.26+1035.3</f>
        <v>1269.56</v>
      </c>
      <c r="T11" s="97">
        <f>234.26+1035.3</f>
        <v>1269.56</v>
      </c>
      <c r="U11" s="97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  <c r="AO11"/>
      <c r="AP11"/>
    </row>
    <row r="12" spans="1:42" x14ac:dyDescent="0.25">
      <c r="A12" s="257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266"/>
      <c r="J12" s="266"/>
      <c r="K12" s="209"/>
      <c r="L12" s="210"/>
      <c r="M12" s="211"/>
      <c r="N12" s="211"/>
      <c r="O12" s="212">
        <f t="shared" si="1"/>
        <v>0</v>
      </c>
      <c r="P12" s="269">
        <v>3</v>
      </c>
      <c r="Q12" s="214">
        <v>3</v>
      </c>
      <c r="R12" s="215">
        <v>3</v>
      </c>
      <c r="S12" s="261">
        <v>8035.44</v>
      </c>
      <c r="T12" s="97">
        <v>8035.44</v>
      </c>
      <c r="U12" s="97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  <c r="AO12"/>
      <c r="AP12"/>
    </row>
    <row r="13" spans="1:42" ht="31.5" x14ac:dyDescent="0.25">
      <c r="A13" s="257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39</v>
      </c>
      <c r="I13" s="266">
        <v>27</v>
      </c>
      <c r="J13" s="266">
        <v>38</v>
      </c>
      <c r="K13" s="209">
        <v>25</v>
      </c>
      <c r="L13" s="210">
        <v>25</v>
      </c>
      <c r="M13" s="211">
        <f>272.84+2699.54+4096.17+3682.51+1608.75+939.54</f>
        <v>13299.350000000002</v>
      </c>
      <c r="N13" s="211">
        <f>272.84+2699.54+4096.17+939.54</f>
        <v>8008.09</v>
      </c>
      <c r="O13" s="212">
        <f t="shared" si="1"/>
        <v>5291.260000000002</v>
      </c>
      <c r="P13" s="269">
        <v>6</v>
      </c>
      <c r="Q13" s="214">
        <v>6</v>
      </c>
      <c r="R13" s="215">
        <v>6</v>
      </c>
      <c r="S13" s="261">
        <f>7385.53+1228.66+7042.2+301.46</f>
        <v>15957.849999999999</v>
      </c>
      <c r="T13" s="97">
        <f>7385.53+1228.66+7042.2</f>
        <v>15656.39</v>
      </c>
      <c r="U13" s="97">
        <f t="shared" si="2"/>
        <v>301.45999999999913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  <c r="AO13"/>
      <c r="AP13"/>
    </row>
    <row r="14" spans="1:42" ht="31.5" x14ac:dyDescent="0.25">
      <c r="A14" s="257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38</v>
      </c>
      <c r="I14" s="266">
        <v>24</v>
      </c>
      <c r="J14" s="266">
        <v>30</v>
      </c>
      <c r="K14" s="209">
        <v>30</v>
      </c>
      <c r="L14" s="210">
        <v>28</v>
      </c>
      <c r="M14" s="211">
        <f>4932.74+3257.04+137+2487.39+344.5+725+7097.92+895.7+6261.98</f>
        <v>26139.269999999997</v>
      </c>
      <c r="N14" s="211">
        <f>4932.74+3257.04+137+2487.39+344.5+725</f>
        <v>11883.669999999998</v>
      </c>
      <c r="O14" s="212">
        <f t="shared" si="1"/>
        <v>14255.599999999999</v>
      </c>
      <c r="P14" s="269">
        <v>7</v>
      </c>
      <c r="Q14" s="214">
        <v>7</v>
      </c>
      <c r="R14" s="215">
        <v>6</v>
      </c>
      <c r="S14" s="261">
        <f>2847.1+1515.8</f>
        <v>4362.8999999999996</v>
      </c>
      <c r="T14" s="97">
        <f>2847.1+1515.8</f>
        <v>4362.8999999999996</v>
      </c>
      <c r="U14" s="97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  <c r="AO14"/>
      <c r="AP14"/>
    </row>
    <row r="15" spans="1:42" ht="31.5" x14ac:dyDescent="0.25">
      <c r="A15" s="257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38</v>
      </c>
      <c r="I15" s="266">
        <v>27</v>
      </c>
      <c r="J15" s="266">
        <v>32</v>
      </c>
      <c r="K15" s="209">
        <v>32</v>
      </c>
      <c r="L15" s="210">
        <v>32</v>
      </c>
      <c r="M15" s="211">
        <f>16942.87+1278.76+580+108.75+616.25+797.5+3011.31</f>
        <v>23335.439999999999</v>
      </c>
      <c r="N15" s="211">
        <f>16942.87+1278.76+580+108.75</f>
        <v>18910.379999999997</v>
      </c>
      <c r="O15" s="212">
        <f t="shared" si="1"/>
        <v>4425.0600000000013</v>
      </c>
      <c r="P15" s="269">
        <v>16</v>
      </c>
      <c r="Q15" s="214">
        <v>16</v>
      </c>
      <c r="R15" s="215">
        <v>16</v>
      </c>
      <c r="S15" s="261">
        <f>13813.9+1491.1+372.78+454.21</f>
        <v>16131.99</v>
      </c>
      <c r="T15" s="97">
        <f>13813.9+1491.1</f>
        <v>15305</v>
      </c>
      <c r="U15" s="97">
        <f t="shared" si="2"/>
        <v>826.98999999999978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  <c r="AO15"/>
      <c r="AP15"/>
    </row>
    <row r="16" spans="1:42" ht="31.5" x14ac:dyDescent="0.25">
      <c r="A16" s="257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266"/>
      <c r="J16" s="266"/>
      <c r="K16" s="209"/>
      <c r="L16" s="210"/>
      <c r="M16" s="211"/>
      <c r="N16" s="211"/>
      <c r="O16" s="212">
        <f t="shared" si="1"/>
        <v>0</v>
      </c>
      <c r="P16" s="269"/>
      <c r="Q16" s="214"/>
      <c r="R16" s="215"/>
      <c r="S16" s="261"/>
      <c r="T16" s="97"/>
      <c r="U16" s="97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  <c r="AO16"/>
      <c r="AP16"/>
    </row>
    <row r="17" spans="1:42" ht="20.100000000000001" customHeight="1" x14ac:dyDescent="0.25">
      <c r="A17" s="257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49</v>
      </c>
      <c r="I17" s="266">
        <v>29</v>
      </c>
      <c r="J17" s="266">
        <v>36</v>
      </c>
      <c r="K17" s="209">
        <v>36</v>
      </c>
      <c r="L17" s="210">
        <v>26</v>
      </c>
      <c r="M17" s="211">
        <f>7235.14+4416.12+1559.66+658.56+1087.5+652.5+1377.5+1615.75+2829.41</f>
        <v>21432.14</v>
      </c>
      <c r="N17" s="211">
        <f>7235.14+4416.12+1559.66+658.56+1087.5</f>
        <v>14956.98</v>
      </c>
      <c r="O17" s="212">
        <f t="shared" si="1"/>
        <v>6475.16</v>
      </c>
      <c r="P17" s="269">
        <v>1</v>
      </c>
      <c r="Q17" s="214">
        <v>1</v>
      </c>
      <c r="R17" s="215">
        <v>1</v>
      </c>
      <c r="S17" s="261">
        <v>1033.5</v>
      </c>
      <c r="T17" s="97">
        <v>1033.5</v>
      </c>
      <c r="U17" s="97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257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36</v>
      </c>
      <c r="I18" s="266">
        <v>28</v>
      </c>
      <c r="J18" s="266">
        <v>34</v>
      </c>
      <c r="K18" s="210">
        <v>34</v>
      </c>
      <c r="L18" s="210">
        <v>30</v>
      </c>
      <c r="M18" s="211">
        <f>2118.92+12936.58+4403.89+2411.49+2972.12+403.47+2654.68+806.94+1188.45</f>
        <v>29896.539999999997</v>
      </c>
      <c r="N18" s="211">
        <f>2118.92+12936.58+4403.89+2411.49+2972.12+403.4</f>
        <v>25246.399999999998</v>
      </c>
      <c r="O18" s="212">
        <f t="shared" si="1"/>
        <v>4650.1399999999994</v>
      </c>
      <c r="P18" s="269">
        <v>7</v>
      </c>
      <c r="Q18" s="215">
        <v>7</v>
      </c>
      <c r="R18" s="215">
        <v>6</v>
      </c>
      <c r="S18" s="261">
        <f>14748.55+934.31</f>
        <v>15682.859999999999</v>
      </c>
      <c r="T18" s="97">
        <f>14748.55+934.31</f>
        <v>15682.859999999999</v>
      </c>
      <c r="U18" s="97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257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37</v>
      </c>
      <c r="I19" s="266">
        <v>21</v>
      </c>
      <c r="J19" s="266">
        <v>38</v>
      </c>
      <c r="K19" s="209">
        <v>36</v>
      </c>
      <c r="L19" s="210">
        <v>34</v>
      </c>
      <c r="M19" s="211">
        <v>28952.05</v>
      </c>
      <c r="N19" s="211">
        <f>5345.36+3385.2+4242.79+7468.83+387.77</f>
        <v>20829.95</v>
      </c>
      <c r="O19" s="212">
        <f t="shared" si="1"/>
        <v>8122.0999999999985</v>
      </c>
      <c r="P19" s="269">
        <v>15</v>
      </c>
      <c r="Q19" s="214">
        <v>15</v>
      </c>
      <c r="R19" s="215">
        <v>15</v>
      </c>
      <c r="S19" s="261">
        <v>33206.03</v>
      </c>
      <c r="T19" s="97">
        <f>12589.36+4299.58+3922.41+8458.25+3936.43</f>
        <v>33206.03</v>
      </c>
      <c r="U19" s="97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257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50</v>
      </c>
      <c r="I20" s="266">
        <v>28</v>
      </c>
      <c r="J20" s="266">
        <v>40</v>
      </c>
      <c r="K20" s="210">
        <v>40</v>
      </c>
      <c r="L20" s="210">
        <v>37</v>
      </c>
      <c r="M20" s="211">
        <f>5728.14+3727.02+315.94+2507.59+652.5+2191.47+1855.28+358.88+2503.15+5297.67+1579.05+5739.83</f>
        <v>32456.519999999997</v>
      </c>
      <c r="N20" s="211">
        <f>5728.14+3727.02+315.94+2507.59+652.5+2191.47+1855.28+2371.7</f>
        <v>19349.64</v>
      </c>
      <c r="O20" s="212">
        <f t="shared" si="1"/>
        <v>13106.879999999997</v>
      </c>
      <c r="P20" s="269">
        <v>28</v>
      </c>
      <c r="Q20" s="215">
        <v>28</v>
      </c>
      <c r="R20" s="215">
        <v>28</v>
      </c>
      <c r="S20" s="261">
        <f>36404.57+1488.24+1902.09+2012.82</f>
        <v>41807.719999999994</v>
      </c>
      <c r="T20" s="97">
        <f>36404.57+1488.24+1902.09</f>
        <v>39794.899999999994</v>
      </c>
      <c r="U20" s="97">
        <f t="shared" si="2"/>
        <v>2012.8199999999997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257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26</v>
      </c>
      <c r="I21" s="266">
        <v>15</v>
      </c>
      <c r="J21" s="266">
        <v>20</v>
      </c>
      <c r="K21" s="209">
        <v>20</v>
      </c>
      <c r="L21" s="210">
        <v>20</v>
      </c>
      <c r="M21" s="211">
        <f>17955.67+413.4</f>
        <v>18369.07</v>
      </c>
      <c r="N21" s="211">
        <f>3586.84+1791.4+1337.88+413.4+1061.35+942.5+2425.9</f>
        <v>11559.269999999999</v>
      </c>
      <c r="O21" s="212">
        <f t="shared" si="1"/>
        <v>6809.8000000000011</v>
      </c>
      <c r="P21" s="269">
        <v>8</v>
      </c>
      <c r="Q21" s="214">
        <v>8</v>
      </c>
      <c r="R21" s="215">
        <v>8</v>
      </c>
      <c r="S21" s="261">
        <v>10636.43</v>
      </c>
      <c r="T21" s="97">
        <f>7288.02+447.62+2487.39</f>
        <v>10223.030000000001</v>
      </c>
      <c r="U21" s="97">
        <f t="shared" si="2"/>
        <v>413.39999999999964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257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129</v>
      </c>
      <c r="I22" s="266">
        <v>97</v>
      </c>
      <c r="J22" s="266">
        <v>116</v>
      </c>
      <c r="K22" s="210">
        <v>110</v>
      </c>
      <c r="L22" s="210">
        <v>103</v>
      </c>
      <c r="M22" s="211">
        <f>19787.02+2513.73+2255.05+12081.39+6786.96+4545.76+7112.29+9234.79+3303.99</f>
        <v>67620.98000000001</v>
      </c>
      <c r="N22" s="211">
        <f>19787.02+2513.73+2255.05+12081.39+6786.96+4545.76</f>
        <v>47969.91</v>
      </c>
      <c r="O22" s="212">
        <f t="shared" si="1"/>
        <v>19651.070000000007</v>
      </c>
      <c r="P22" s="269">
        <v>26</v>
      </c>
      <c r="Q22" s="215">
        <v>26</v>
      </c>
      <c r="R22" s="215">
        <v>24</v>
      </c>
      <c r="S22" s="261">
        <f>24103.23+3334.5+1378+3155.14</f>
        <v>31970.87</v>
      </c>
      <c r="T22" s="97">
        <f>24103.23+3334.5+1378</f>
        <v>28815.73</v>
      </c>
      <c r="U22" s="97">
        <f t="shared" si="2"/>
        <v>3155.1399999999994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257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20</v>
      </c>
      <c r="I23" s="266">
        <v>15</v>
      </c>
      <c r="J23" s="266">
        <v>25</v>
      </c>
      <c r="K23" s="209">
        <v>25</v>
      </c>
      <c r="L23" s="210">
        <v>21</v>
      </c>
      <c r="M23" s="211">
        <f>5739.04+1828.05+1440.72+631.62+564.05+641.19+793.15+2475.51+1311.53+5430.51</f>
        <v>20855.370000000003</v>
      </c>
      <c r="N23" s="211">
        <f>5739.04+1828.05+1440.72+631.62+564.05+641.19+793.15</f>
        <v>11637.82</v>
      </c>
      <c r="O23" s="212">
        <f t="shared" si="1"/>
        <v>9217.5500000000029</v>
      </c>
      <c r="P23" s="269">
        <v>12</v>
      </c>
      <c r="Q23" s="214">
        <v>12</v>
      </c>
      <c r="R23" s="215">
        <v>12</v>
      </c>
      <c r="S23" s="261">
        <f>26607.02+6387.23</f>
        <v>32994.25</v>
      </c>
      <c r="T23" s="97">
        <v>26607.02</v>
      </c>
      <c r="U23" s="97">
        <f t="shared" si="2"/>
        <v>6387.23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257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24</v>
      </c>
      <c r="I24" s="266">
        <v>19</v>
      </c>
      <c r="J24" s="266">
        <v>22</v>
      </c>
      <c r="K24" s="209">
        <v>22</v>
      </c>
      <c r="L24" s="210">
        <v>22</v>
      </c>
      <c r="M24" s="211">
        <f>1515.11+3525.12+1811.05</f>
        <v>6851.28</v>
      </c>
      <c r="N24" s="211">
        <f>1515.11+3525.12</f>
        <v>5040.2299999999996</v>
      </c>
      <c r="O24" s="212">
        <f t="shared" si="1"/>
        <v>1811.0500000000002</v>
      </c>
      <c r="P24" s="269">
        <v>7</v>
      </c>
      <c r="Q24" s="214">
        <v>7</v>
      </c>
      <c r="R24" s="215">
        <v>7</v>
      </c>
      <c r="S24" s="261">
        <v>6720.87</v>
      </c>
      <c r="T24" s="97">
        <v>6720.87</v>
      </c>
      <c r="U24" s="97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257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42</v>
      </c>
      <c r="I25" s="266">
        <v>16</v>
      </c>
      <c r="J25" s="266">
        <v>37</v>
      </c>
      <c r="K25" s="210">
        <v>37</v>
      </c>
      <c r="L25" s="210">
        <v>36</v>
      </c>
      <c r="M25" s="211">
        <f>9005.69+15068.32+3714.72+1200.78+3057.6</f>
        <v>32047.11</v>
      </c>
      <c r="N25" s="211">
        <f>9005.69+15068.32+3714.72+1200.78</f>
        <v>28989.510000000002</v>
      </c>
      <c r="O25" s="212">
        <f t="shared" si="1"/>
        <v>3057.5999999999985</v>
      </c>
      <c r="P25" s="269">
        <v>22</v>
      </c>
      <c r="Q25" s="215">
        <v>22</v>
      </c>
      <c r="R25" s="215">
        <v>21</v>
      </c>
      <c r="S25" s="261">
        <f>24213.05+6197.08+341.06</f>
        <v>30751.19</v>
      </c>
      <c r="T25" s="97">
        <f>24213.05+6197.08+341.06</f>
        <v>30751.19</v>
      </c>
      <c r="U25" s="97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257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22</v>
      </c>
      <c r="I26" s="266">
        <v>11</v>
      </c>
      <c r="J26" s="266">
        <v>18</v>
      </c>
      <c r="K26" s="209">
        <v>18</v>
      </c>
      <c r="L26" s="210">
        <v>18</v>
      </c>
      <c r="M26" s="211">
        <f>3777.1+6399.51+6251.64+358.88</f>
        <v>16787.13</v>
      </c>
      <c r="N26" s="211">
        <f>3777.1+6399.51+6251.64+358.88</f>
        <v>16787.13</v>
      </c>
      <c r="O26" s="212">
        <f t="shared" si="1"/>
        <v>0</v>
      </c>
      <c r="P26" s="269">
        <v>12</v>
      </c>
      <c r="Q26" s="214">
        <v>12</v>
      </c>
      <c r="R26" s="215">
        <v>12</v>
      </c>
      <c r="S26" s="261">
        <f>3386.7+2140.45</f>
        <v>5527.15</v>
      </c>
      <c r="T26" s="97">
        <f>3386.7+2140.45</f>
        <v>5527.15</v>
      </c>
      <c r="U26" s="97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257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36</v>
      </c>
      <c r="I27" s="266">
        <v>23</v>
      </c>
      <c r="J27" s="266">
        <v>40</v>
      </c>
      <c r="K27" s="209">
        <v>39</v>
      </c>
      <c r="L27" s="210">
        <v>39</v>
      </c>
      <c r="M27" s="211">
        <v>24273.31</v>
      </c>
      <c r="N27" s="211">
        <f>6801.73+4254.18+3948.81+757.9+1004.85+1005.5+5240.86</f>
        <v>23013.829999999998</v>
      </c>
      <c r="O27" s="212">
        <f t="shared" si="1"/>
        <v>1259.4800000000032</v>
      </c>
      <c r="P27" s="269">
        <v>14</v>
      </c>
      <c r="Q27" s="214">
        <v>14</v>
      </c>
      <c r="R27" s="215">
        <v>14</v>
      </c>
      <c r="S27" s="261">
        <v>13025.83</v>
      </c>
      <c r="T27" s="97">
        <f>12827.9+197.93</f>
        <v>13025.83</v>
      </c>
      <c r="U27" s="97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266"/>
      <c r="J28" s="266"/>
      <c r="K28" s="209"/>
      <c r="L28" s="210"/>
      <c r="M28" s="211"/>
      <c r="N28" s="211"/>
      <c r="O28" s="212">
        <f t="shared" si="1"/>
        <v>0</v>
      </c>
      <c r="P28" s="269"/>
      <c r="Q28" s="214"/>
      <c r="R28" s="215"/>
      <c r="S28" s="261"/>
      <c r="T28" s="97"/>
      <c r="U28" s="97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257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29</v>
      </c>
      <c r="I29" s="266">
        <v>26</v>
      </c>
      <c r="J29" s="266">
        <v>37</v>
      </c>
      <c r="K29" s="209">
        <v>36</v>
      </c>
      <c r="L29" s="210">
        <v>35</v>
      </c>
      <c r="M29" s="211">
        <f>7765.28+1107.91+3282.4+1320.23+1580.98+622.05+447.4+992.16+691.25+3323.84+3765.77</f>
        <v>24899.27</v>
      </c>
      <c r="N29" s="211">
        <f>7765.28+1107.91+3282.4+1320.23+1580.98+622.05+447.4+992.16</f>
        <v>17118.41</v>
      </c>
      <c r="O29" s="212">
        <f t="shared" si="1"/>
        <v>7780.8600000000006</v>
      </c>
      <c r="P29" s="269">
        <v>14</v>
      </c>
      <c r="Q29" s="214">
        <v>14</v>
      </c>
      <c r="R29" s="215">
        <v>14</v>
      </c>
      <c r="S29" s="261">
        <f>15185.09+570.43</f>
        <v>15755.52</v>
      </c>
      <c r="T29" s="97">
        <f>15185.09+570.43</f>
        <v>15755.52</v>
      </c>
      <c r="U29" s="97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257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47</v>
      </c>
      <c r="I30" s="266">
        <v>39</v>
      </c>
      <c r="J30" s="266">
        <v>56</v>
      </c>
      <c r="K30" s="210">
        <v>56</v>
      </c>
      <c r="L30" s="210">
        <v>51</v>
      </c>
      <c r="M30" s="211">
        <v>38400.01</v>
      </c>
      <c r="N30" s="211">
        <f>5246.17+4965.96+1939.12+3762.43+2342.38+4011.61+2238.08</f>
        <v>24505.75</v>
      </c>
      <c r="O30" s="212">
        <f t="shared" si="1"/>
        <v>13894.260000000002</v>
      </c>
      <c r="P30" s="269">
        <v>23</v>
      </c>
      <c r="Q30" s="215">
        <v>23</v>
      </c>
      <c r="R30" s="215">
        <v>23</v>
      </c>
      <c r="S30" s="261">
        <v>49912.160000000003</v>
      </c>
      <c r="T30" s="97">
        <f>39414.6+4786.67+1562.33+638.43+2216.93+1293.2</f>
        <v>49912.159999999996</v>
      </c>
      <c r="U30" s="97">
        <f t="shared" si="2"/>
        <v>7.2759576141834259E-12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257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266">
        <v>1</v>
      </c>
      <c r="J31" s="266">
        <v>2</v>
      </c>
      <c r="K31" s="209">
        <v>2</v>
      </c>
      <c r="L31" s="210">
        <v>2</v>
      </c>
      <c r="M31" s="211">
        <v>859.25</v>
      </c>
      <c r="N31" s="211">
        <v>859.25</v>
      </c>
      <c r="O31" s="212">
        <f t="shared" si="1"/>
        <v>0</v>
      </c>
      <c r="P31" s="269">
        <v>2</v>
      </c>
      <c r="Q31" s="214">
        <v>2</v>
      </c>
      <c r="R31" s="215">
        <v>2</v>
      </c>
      <c r="S31" s="261">
        <f>442.37+1014.7</f>
        <v>1457.0700000000002</v>
      </c>
      <c r="T31" s="97">
        <f>442.37+1014.7</f>
        <v>1457.0700000000002</v>
      </c>
      <c r="U31" s="97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266"/>
      <c r="J32" s="266"/>
      <c r="K32" s="209"/>
      <c r="L32" s="210"/>
      <c r="M32" s="211"/>
      <c r="N32" s="211"/>
      <c r="O32" s="212">
        <f t="shared" si="1"/>
        <v>0</v>
      </c>
      <c r="P32" s="269"/>
      <c r="Q32" s="214"/>
      <c r="R32" s="215"/>
      <c r="S32" s="261"/>
      <c r="T32" s="97"/>
      <c r="U32" s="97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2" ht="31.5" x14ac:dyDescent="0.25">
      <c r="A33" s="257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14</v>
      </c>
      <c r="I33" s="266">
        <v>9</v>
      </c>
      <c r="J33" s="266">
        <v>12</v>
      </c>
      <c r="K33" s="209">
        <v>12</v>
      </c>
      <c r="L33" s="210">
        <v>12</v>
      </c>
      <c r="M33" s="211">
        <f>4065+2226.4+2915.4+290+826.8</f>
        <v>10323.599999999999</v>
      </c>
      <c r="N33" s="211">
        <f>4065+2226.4+2915.4+290+826.8</f>
        <v>10323.599999999999</v>
      </c>
      <c r="O33" s="212">
        <f t="shared" si="1"/>
        <v>0</v>
      </c>
      <c r="P33" s="269"/>
      <c r="Q33" s="214"/>
      <c r="R33" s="215"/>
      <c r="S33" s="261"/>
      <c r="T33" s="97"/>
      <c r="U33" s="97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  <c r="AO33"/>
      <c r="AP33"/>
    </row>
    <row r="34" spans="1:42" ht="31.5" x14ac:dyDescent="0.25">
      <c r="A34" s="257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266">
        <v>14</v>
      </c>
      <c r="J34" s="266">
        <v>22</v>
      </c>
      <c r="K34" s="209">
        <v>22</v>
      </c>
      <c r="L34" s="210">
        <v>22</v>
      </c>
      <c r="M34" s="211">
        <f>8742.16+2424.59+5870.23</f>
        <v>17036.98</v>
      </c>
      <c r="N34" s="211">
        <f>8742.16+2424.59+5870.23</f>
        <v>17036.98</v>
      </c>
      <c r="O34" s="212">
        <f t="shared" si="1"/>
        <v>0</v>
      </c>
      <c r="P34" s="269">
        <v>2</v>
      </c>
      <c r="Q34" s="214">
        <v>2</v>
      </c>
      <c r="R34" s="215">
        <v>2</v>
      </c>
      <c r="S34" s="261">
        <v>872.59</v>
      </c>
      <c r="T34" s="97">
        <v>872.59</v>
      </c>
      <c r="U34" s="97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  <c r="AO34"/>
      <c r="AP34"/>
    </row>
    <row r="35" spans="1:42" ht="31.5" x14ac:dyDescent="0.25">
      <c r="A35" s="257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16</v>
      </c>
      <c r="I35" s="266">
        <v>6</v>
      </c>
      <c r="J35" s="266">
        <v>12</v>
      </c>
      <c r="K35" s="209">
        <v>12</v>
      </c>
      <c r="L35" s="210">
        <v>12</v>
      </c>
      <c r="M35" s="211">
        <f>8755.24+1744.06</f>
        <v>10499.3</v>
      </c>
      <c r="N35" s="211">
        <f>8755.24+1744.06</f>
        <v>10499.3</v>
      </c>
      <c r="O35" s="212">
        <f t="shared" si="1"/>
        <v>0</v>
      </c>
      <c r="P35" s="269">
        <v>10</v>
      </c>
      <c r="Q35" s="214">
        <v>10</v>
      </c>
      <c r="R35" s="215">
        <v>10</v>
      </c>
      <c r="S35" s="261">
        <f>9249.99+1156.49</f>
        <v>10406.48</v>
      </c>
      <c r="T35" s="97">
        <f>9249.99+1156.49</f>
        <v>10406.48</v>
      </c>
      <c r="U35" s="97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  <c r="AO35"/>
      <c r="AP35"/>
    </row>
    <row r="36" spans="1:42" ht="31.5" x14ac:dyDescent="0.25">
      <c r="A36" s="257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26</v>
      </c>
      <c r="I36" s="266">
        <v>13</v>
      </c>
      <c r="J36" s="266">
        <v>16</v>
      </c>
      <c r="K36" s="209">
        <v>16</v>
      </c>
      <c r="L36" s="210">
        <v>16</v>
      </c>
      <c r="M36" s="211">
        <f>2360+2665.25+2800.06+3488.89+1050.79</f>
        <v>12364.989999999998</v>
      </c>
      <c r="N36" s="211">
        <f>2360+2665.25+2800.06+3488.89+1050.79</f>
        <v>12364.989999999998</v>
      </c>
      <c r="O36" s="212">
        <f t="shared" si="1"/>
        <v>0</v>
      </c>
      <c r="P36" s="269">
        <v>6</v>
      </c>
      <c r="Q36" s="214">
        <v>6</v>
      </c>
      <c r="R36" s="215">
        <v>6</v>
      </c>
      <c r="S36" s="261">
        <f>1436.08+3433.93+5939.33+1723.52</f>
        <v>12532.86</v>
      </c>
      <c r="T36" s="97">
        <f>1436.08+3433.93+5939.33+1723.52</f>
        <v>12532.86</v>
      </c>
      <c r="U36" s="97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  <c r="AO36"/>
      <c r="AP36"/>
    </row>
    <row r="37" spans="1:42" ht="31.5" x14ac:dyDescent="0.25">
      <c r="A37" s="257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23</v>
      </c>
      <c r="I37" s="266">
        <v>13</v>
      </c>
      <c r="J37" s="266">
        <v>18</v>
      </c>
      <c r="K37" s="209">
        <v>18</v>
      </c>
      <c r="L37" s="210">
        <v>18</v>
      </c>
      <c r="M37" s="211">
        <f>4126.56+990.2+862.75+145+358.88+1424.06+2121.03+507.5</f>
        <v>10535.980000000001</v>
      </c>
      <c r="N37" s="211">
        <f>4126.56+990.2+862.75+145+358.88+1424.06+2121.03</f>
        <v>10028.480000000001</v>
      </c>
      <c r="O37" s="212">
        <f t="shared" si="1"/>
        <v>507.5</v>
      </c>
      <c r="P37" s="269">
        <v>2</v>
      </c>
      <c r="Q37" s="214">
        <v>2</v>
      </c>
      <c r="R37" s="215">
        <v>2</v>
      </c>
      <c r="S37" s="261">
        <f>552.96+1556.69</f>
        <v>2109.65</v>
      </c>
      <c r="T37" s="97">
        <v>552.96</v>
      </c>
      <c r="U37" s="97">
        <f t="shared" si="2"/>
        <v>1556.69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  <c r="AO37"/>
      <c r="AP37"/>
    </row>
    <row r="38" spans="1:42" ht="31.5" x14ac:dyDescent="0.25">
      <c r="A38" s="257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91</v>
      </c>
      <c r="I38" s="266">
        <v>52</v>
      </c>
      <c r="J38" s="266">
        <v>74</v>
      </c>
      <c r="K38" s="209">
        <v>69</v>
      </c>
      <c r="L38" s="210">
        <v>69</v>
      </c>
      <c r="M38" s="211">
        <v>78646.37</v>
      </c>
      <c r="N38" s="211">
        <f>18043.85+1739.74+12219.36+4084.73+2867.69+2388.56+1377.5+2533.95</f>
        <v>45255.38</v>
      </c>
      <c r="O38" s="212">
        <f t="shared" si="1"/>
        <v>33390.99</v>
      </c>
      <c r="P38" s="269">
        <v>21</v>
      </c>
      <c r="Q38" s="214">
        <v>21</v>
      </c>
      <c r="R38" s="215">
        <v>21</v>
      </c>
      <c r="S38" s="261">
        <v>23775.77</v>
      </c>
      <c r="T38" s="97">
        <f>22326.77+417.74+1031.26</f>
        <v>23775.77</v>
      </c>
      <c r="U38" s="97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  <c r="AO38"/>
      <c r="AP38"/>
    </row>
    <row r="39" spans="1:42" ht="31.5" x14ac:dyDescent="0.25">
      <c r="A39" s="257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29</v>
      </c>
      <c r="I39" s="266">
        <v>16</v>
      </c>
      <c r="J39" s="266">
        <v>22</v>
      </c>
      <c r="K39" s="209">
        <v>22</v>
      </c>
      <c r="L39" s="210">
        <v>21</v>
      </c>
      <c r="M39" s="211">
        <f>4309.67+3353.38+84.05+2832.72+349.74+868+1575.33+360.5+3046.11</f>
        <v>16779.5</v>
      </c>
      <c r="N39" s="211">
        <f>4309.67+3353.38+84.05+2832.72+349.74+868</f>
        <v>11797.56</v>
      </c>
      <c r="O39" s="212">
        <f t="shared" si="1"/>
        <v>4981.9400000000005</v>
      </c>
      <c r="P39" s="269">
        <v>3</v>
      </c>
      <c r="Q39" s="214">
        <v>3</v>
      </c>
      <c r="R39" s="215">
        <v>3</v>
      </c>
      <c r="S39" s="261"/>
      <c r="T39" s="97"/>
      <c r="U39" s="97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  <c r="AO39"/>
      <c r="AP39"/>
    </row>
    <row r="40" spans="1:42" ht="31.5" x14ac:dyDescent="0.25">
      <c r="A40" s="257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10</v>
      </c>
      <c r="I40" s="266">
        <v>6</v>
      </c>
      <c r="J40" s="266">
        <v>7</v>
      </c>
      <c r="K40" s="209">
        <v>6</v>
      </c>
      <c r="L40" s="210">
        <v>6</v>
      </c>
      <c r="M40" s="211">
        <f>5430.01+287.1</f>
        <v>5717.1100000000006</v>
      </c>
      <c r="N40" s="211">
        <f>5430.01+287.1</f>
        <v>5717.1100000000006</v>
      </c>
      <c r="O40" s="212">
        <f t="shared" si="1"/>
        <v>0</v>
      </c>
      <c r="P40" s="269">
        <v>4</v>
      </c>
      <c r="Q40" s="214">
        <v>4</v>
      </c>
      <c r="R40" s="215">
        <v>4</v>
      </c>
      <c r="S40" s="261">
        <f>3996.7+1341.47+7404.94</f>
        <v>12743.11</v>
      </c>
      <c r="T40" s="97">
        <f>3996.7+1341.47+7404.94</f>
        <v>12743.11</v>
      </c>
      <c r="U40" s="97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  <c r="AO40"/>
      <c r="AP40"/>
    </row>
    <row r="41" spans="1:42" ht="31.5" x14ac:dyDescent="0.25">
      <c r="A41" s="257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32</v>
      </c>
      <c r="I41" s="266">
        <v>20</v>
      </c>
      <c r="J41" s="266">
        <v>22</v>
      </c>
      <c r="K41" s="209">
        <v>22</v>
      </c>
      <c r="L41" s="210">
        <v>19</v>
      </c>
      <c r="M41" s="211">
        <f>4892.78+1033.5+545.69+1551.08+3520.24</f>
        <v>11543.289999999999</v>
      </c>
      <c r="N41" s="211">
        <f>4892.78+1033.5+545.69+1551.08</f>
        <v>8023.0499999999993</v>
      </c>
      <c r="O41" s="212">
        <f t="shared" si="1"/>
        <v>3520.24</v>
      </c>
      <c r="P41" s="269">
        <v>4</v>
      </c>
      <c r="Q41" s="214">
        <v>4</v>
      </c>
      <c r="R41" s="215">
        <v>4</v>
      </c>
      <c r="S41" s="261">
        <f>1842.88+373.68</f>
        <v>2216.56</v>
      </c>
      <c r="T41" s="97">
        <f>1842.88+373.68</f>
        <v>2216.56</v>
      </c>
      <c r="U41" s="97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  <c r="AO41"/>
      <c r="AP41"/>
    </row>
    <row r="42" spans="1:42" ht="31.5" x14ac:dyDescent="0.25">
      <c r="A42" s="257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16</v>
      </c>
      <c r="I42" s="266">
        <v>7</v>
      </c>
      <c r="J42" s="266">
        <v>12</v>
      </c>
      <c r="K42" s="209">
        <v>12</v>
      </c>
      <c r="L42" s="210">
        <v>12</v>
      </c>
      <c r="M42" s="211">
        <f>5095.29+1605.75+430.65+529.04+145+1216.34</f>
        <v>9022.07</v>
      </c>
      <c r="N42" s="211">
        <f>5095.29+1605.75+430.65+529.04</f>
        <v>7660.73</v>
      </c>
      <c r="O42" s="212">
        <f t="shared" si="1"/>
        <v>1361.3400000000001</v>
      </c>
      <c r="P42" s="269">
        <v>5</v>
      </c>
      <c r="Q42" s="214">
        <v>5</v>
      </c>
      <c r="R42" s="215">
        <v>5</v>
      </c>
      <c r="S42" s="261">
        <v>5832.14</v>
      </c>
      <c r="T42" s="97">
        <v>5832.14</v>
      </c>
      <c r="U42" s="97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  <c r="AO42"/>
      <c r="AP42"/>
    </row>
    <row r="43" spans="1:42" ht="31.5" x14ac:dyDescent="0.25">
      <c r="A43" s="257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25</v>
      </c>
      <c r="I43" s="266">
        <v>14</v>
      </c>
      <c r="J43" s="266">
        <v>24</v>
      </c>
      <c r="K43" s="209">
        <v>24</v>
      </c>
      <c r="L43" s="210">
        <v>24</v>
      </c>
      <c r="M43" s="211">
        <f>28407.24+4596.5</f>
        <v>33003.740000000005</v>
      </c>
      <c r="N43" s="211">
        <f>1949.94+11241.95+1670.56+979+622.78+145+551.2+2279.66</f>
        <v>19440.09</v>
      </c>
      <c r="O43" s="212">
        <f t="shared" si="1"/>
        <v>13563.650000000005</v>
      </c>
      <c r="P43" s="269">
        <v>7</v>
      </c>
      <c r="Q43" s="214">
        <v>7</v>
      </c>
      <c r="R43" s="215">
        <v>7</v>
      </c>
      <c r="S43" s="261">
        <v>7539.4</v>
      </c>
      <c r="T43" s="97">
        <v>7539.4</v>
      </c>
      <c r="U43" s="97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  <c r="AO43"/>
      <c r="AP43"/>
    </row>
    <row r="44" spans="1:42" ht="31.5" x14ac:dyDescent="0.25">
      <c r="A44" s="257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14</v>
      </c>
      <c r="I44" s="266">
        <v>10</v>
      </c>
      <c r="J44" s="266">
        <v>16</v>
      </c>
      <c r="K44" s="209">
        <v>16</v>
      </c>
      <c r="L44" s="210">
        <v>16</v>
      </c>
      <c r="M44" s="211">
        <v>22500.73</v>
      </c>
      <c r="N44" s="211">
        <f>9600.95+145+2182.75+7980.88+580+287.1</f>
        <v>20776.68</v>
      </c>
      <c r="O44" s="212">
        <f t="shared" si="1"/>
        <v>1724.0499999999993</v>
      </c>
      <c r="P44" s="269">
        <v>10</v>
      </c>
      <c r="Q44" s="214">
        <v>10</v>
      </c>
      <c r="R44" s="215">
        <v>10</v>
      </c>
      <c r="S44" s="261">
        <f>3997.92+850.65+4367.7+2262.73+189.48+1019.96</f>
        <v>12688.439999999999</v>
      </c>
      <c r="T44" s="97">
        <f>3997.92+850.65+4367.7+2262.73+189.48</f>
        <v>11668.48</v>
      </c>
      <c r="U44" s="97">
        <f t="shared" si="2"/>
        <v>1019.9599999999991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  <c r="AO44"/>
      <c r="AP44"/>
    </row>
    <row r="45" spans="1:42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266"/>
      <c r="J45" s="266"/>
      <c r="K45" s="209"/>
      <c r="L45" s="210"/>
      <c r="M45" s="211"/>
      <c r="N45" s="211"/>
      <c r="O45" s="212">
        <f t="shared" si="1"/>
        <v>0</v>
      </c>
      <c r="P45" s="269"/>
      <c r="Q45" s="214"/>
      <c r="R45" s="215"/>
      <c r="S45" s="261"/>
      <c r="T45" s="97"/>
      <c r="U45" s="97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  <c r="AO45"/>
      <c r="AP45"/>
    </row>
    <row r="46" spans="1:42" ht="31.5" x14ac:dyDescent="0.25">
      <c r="A46" s="257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21</v>
      </c>
      <c r="I46" s="266">
        <v>14</v>
      </c>
      <c r="J46" s="266">
        <v>19</v>
      </c>
      <c r="K46" s="209">
        <v>19</v>
      </c>
      <c r="L46" s="210">
        <v>19</v>
      </c>
      <c r="M46" s="211">
        <f>7372.32+580</f>
        <v>7952.32</v>
      </c>
      <c r="N46" s="211">
        <f>1290.6+2343.84+935.25</f>
        <v>4569.6900000000005</v>
      </c>
      <c r="O46" s="212">
        <f t="shared" si="1"/>
        <v>3382.6299999999992</v>
      </c>
      <c r="P46" s="269">
        <v>2</v>
      </c>
      <c r="Q46" s="214">
        <v>2</v>
      </c>
      <c r="R46" s="215">
        <v>2</v>
      </c>
      <c r="S46" s="261">
        <v>12091.23</v>
      </c>
      <c r="T46" s="97">
        <v>12091.23</v>
      </c>
      <c r="U46" s="97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  <c r="AO46"/>
      <c r="AP46"/>
    </row>
    <row r="47" spans="1:42" ht="31.5" x14ac:dyDescent="0.25">
      <c r="A47" s="257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55</v>
      </c>
      <c r="I47" s="266">
        <v>35</v>
      </c>
      <c r="J47" s="266">
        <v>48</v>
      </c>
      <c r="K47" s="209">
        <v>46</v>
      </c>
      <c r="L47" s="210">
        <v>44</v>
      </c>
      <c r="M47" s="211">
        <f>28405.79+645.98</f>
        <v>29051.77</v>
      </c>
      <c r="N47" s="211">
        <f>9335.56+3507.6+826.8+2284.16+1015+1378</f>
        <v>18347.12</v>
      </c>
      <c r="O47" s="212">
        <f t="shared" si="1"/>
        <v>10704.650000000001</v>
      </c>
      <c r="P47" s="269">
        <v>3</v>
      </c>
      <c r="Q47" s="214">
        <v>3</v>
      </c>
      <c r="R47" s="215">
        <v>3</v>
      </c>
      <c r="S47" s="261">
        <f>1209.11+1311.53</f>
        <v>2520.64</v>
      </c>
      <c r="T47" s="97">
        <v>1209.1099999999999</v>
      </c>
      <c r="U47" s="97">
        <f t="shared" si="2"/>
        <v>1311.53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  <c r="AO47"/>
      <c r="AP47"/>
    </row>
    <row r="48" spans="1:42" ht="31.5" x14ac:dyDescent="0.25">
      <c r="A48" s="257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20</v>
      </c>
      <c r="I48" s="266">
        <v>9</v>
      </c>
      <c r="J48" s="266">
        <v>12</v>
      </c>
      <c r="K48" s="209">
        <v>12</v>
      </c>
      <c r="L48" s="210">
        <v>12</v>
      </c>
      <c r="M48" s="211">
        <f>8890.84+1828.05+435+2479.5</f>
        <v>13633.39</v>
      </c>
      <c r="N48" s="211">
        <f>8890.84+1828.05+435</f>
        <v>11153.89</v>
      </c>
      <c r="O48" s="212">
        <f t="shared" si="1"/>
        <v>2479.5</v>
      </c>
      <c r="P48" s="269">
        <v>3</v>
      </c>
      <c r="Q48" s="214">
        <v>3</v>
      </c>
      <c r="R48" s="215">
        <v>3</v>
      </c>
      <c r="S48" s="261">
        <f>2800.4+5022.92</f>
        <v>7823.32</v>
      </c>
      <c r="T48" s="97">
        <f>2800.4+5022.92</f>
        <v>7823.32</v>
      </c>
      <c r="U48" s="97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  <c r="AO48"/>
      <c r="AP48"/>
    </row>
    <row r="49" spans="1:42" ht="31.5" x14ac:dyDescent="0.25">
      <c r="A49" s="257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22</v>
      </c>
      <c r="I49" s="266">
        <v>12</v>
      </c>
      <c r="J49" s="266">
        <v>17</v>
      </c>
      <c r="K49" s="209">
        <v>17</v>
      </c>
      <c r="L49" s="210">
        <v>17</v>
      </c>
      <c r="M49" s="211">
        <v>9124.73</v>
      </c>
      <c r="N49" s="211">
        <f>1831.71+137.8+1816.78+290+420.6</f>
        <v>4496.8900000000003</v>
      </c>
      <c r="O49" s="212">
        <f t="shared" si="1"/>
        <v>4627.8399999999992</v>
      </c>
      <c r="P49" s="269">
        <v>10</v>
      </c>
      <c r="Q49" s="214">
        <v>10</v>
      </c>
      <c r="R49" s="215">
        <v>10</v>
      </c>
      <c r="S49" s="261">
        <f>8296.23+1378+5368+1032.31</f>
        <v>16074.539999999999</v>
      </c>
      <c r="T49" s="97">
        <f>8296.23+1378+5368</f>
        <v>15042.23</v>
      </c>
      <c r="U49" s="97">
        <f t="shared" si="2"/>
        <v>1032.3099999999995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  <c r="AO49"/>
      <c r="AP49"/>
    </row>
    <row r="50" spans="1:42" ht="31.5" x14ac:dyDescent="0.25">
      <c r="A50" s="257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26</v>
      </c>
      <c r="I50" s="266">
        <v>19</v>
      </c>
      <c r="J50" s="266">
        <v>22</v>
      </c>
      <c r="K50" s="209">
        <v>22</v>
      </c>
      <c r="L50" s="210">
        <v>22</v>
      </c>
      <c r="M50" s="211">
        <f>8308.92+786.44+453+302+1256.5+1232.5+2227.2</f>
        <v>14566.560000000001</v>
      </c>
      <c r="N50" s="211">
        <f>8308.92+786.44+453+302+1256.5</f>
        <v>11106.86</v>
      </c>
      <c r="O50" s="212">
        <f t="shared" si="1"/>
        <v>3459.7000000000007</v>
      </c>
      <c r="P50" s="269">
        <v>6</v>
      </c>
      <c r="Q50" s="214">
        <v>6</v>
      </c>
      <c r="R50" s="215">
        <v>6</v>
      </c>
      <c r="S50" s="261">
        <f>2457.28+1725.6+5017.9+1584.7</f>
        <v>10785.48</v>
      </c>
      <c r="T50" s="97">
        <f>2457.28+1725.6+5017.9+1584.7</f>
        <v>10785.48</v>
      </c>
      <c r="U50" s="97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  <c r="AO50"/>
      <c r="AP50"/>
    </row>
    <row r="51" spans="1:42" ht="31.5" x14ac:dyDescent="0.25">
      <c r="A51" s="257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33</v>
      </c>
      <c r="I51" s="266">
        <v>17</v>
      </c>
      <c r="J51" s="266">
        <v>19</v>
      </c>
      <c r="K51" s="209">
        <v>19</v>
      </c>
      <c r="L51" s="210">
        <v>19</v>
      </c>
      <c r="M51" s="211">
        <f>11276.82+870</f>
        <v>12146.82</v>
      </c>
      <c r="N51" s="211">
        <f>5580.75+571.11+696.2+574.2+408.03+1234.53+1446.9</f>
        <v>10511.72</v>
      </c>
      <c r="O51" s="212">
        <f t="shared" si="1"/>
        <v>1635.1000000000004</v>
      </c>
      <c r="P51" s="269">
        <v>1</v>
      </c>
      <c r="Q51" s="214">
        <v>1</v>
      </c>
      <c r="R51" s="215">
        <v>1</v>
      </c>
      <c r="S51" s="261">
        <f>728.15</f>
        <v>728.15</v>
      </c>
      <c r="T51" s="97">
        <f>728.15</f>
        <v>728.15</v>
      </c>
      <c r="U51" s="97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  <c r="AO51"/>
      <c r="AP51"/>
    </row>
    <row r="52" spans="1:42" ht="31.5" x14ac:dyDescent="0.25">
      <c r="A52" s="257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24</v>
      </c>
      <c r="I52" s="266">
        <v>16</v>
      </c>
      <c r="J52" s="266">
        <v>19</v>
      </c>
      <c r="K52" s="209">
        <v>19</v>
      </c>
      <c r="L52" s="210">
        <v>18</v>
      </c>
      <c r="M52" s="211">
        <f>10557.44+145</f>
        <v>10702.44</v>
      </c>
      <c r="N52" s="211">
        <f>3782.6+430.65+1221.61+2194.55</f>
        <v>7629.41</v>
      </c>
      <c r="O52" s="212">
        <f t="shared" si="1"/>
        <v>3073.0300000000007</v>
      </c>
      <c r="P52" s="269">
        <v>11</v>
      </c>
      <c r="Q52" s="214">
        <v>11</v>
      </c>
      <c r="R52" s="215">
        <v>10</v>
      </c>
      <c r="S52" s="261">
        <f>1535.39+1035.3+828.82+12756.45+716.22</f>
        <v>16872.18</v>
      </c>
      <c r="T52" s="97">
        <f>1535.39+1035.3+828.82+12756.45</f>
        <v>16155.960000000001</v>
      </c>
      <c r="U52" s="97">
        <f t="shared" si="2"/>
        <v>716.21999999999935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  <c r="AO52"/>
      <c r="AP52"/>
    </row>
    <row r="53" spans="1:42" ht="31.5" x14ac:dyDescent="0.25">
      <c r="A53" s="257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16</v>
      </c>
      <c r="I53" s="266">
        <v>4</v>
      </c>
      <c r="J53" s="266">
        <v>4</v>
      </c>
      <c r="K53" s="209">
        <v>4</v>
      </c>
      <c r="L53" s="210">
        <v>4</v>
      </c>
      <c r="M53" s="211">
        <f>1102.4+328.37+1595</f>
        <v>3025.77</v>
      </c>
      <c r="N53" s="211">
        <f>1102.4+328.37</f>
        <v>1430.77</v>
      </c>
      <c r="O53" s="212">
        <f t="shared" si="1"/>
        <v>1595</v>
      </c>
      <c r="P53" s="269">
        <v>2</v>
      </c>
      <c r="Q53" s="214">
        <v>2</v>
      </c>
      <c r="R53" s="215">
        <v>2</v>
      </c>
      <c r="S53" s="261">
        <v>688</v>
      </c>
      <c r="T53" s="97">
        <v>688</v>
      </c>
      <c r="U53" s="97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  <c r="AO53"/>
      <c r="AP53"/>
    </row>
    <row r="54" spans="1:42" ht="31.5" x14ac:dyDescent="0.25">
      <c r="A54" s="257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129</v>
      </c>
      <c r="I54" s="266">
        <v>106</v>
      </c>
      <c r="J54" s="266">
        <v>128</v>
      </c>
      <c r="K54" s="209">
        <v>128</v>
      </c>
      <c r="L54" s="210">
        <v>115</v>
      </c>
      <c r="M54" s="211">
        <f>12031.27+4728.85+7137.01+1218+507+4175.93+5308.12+6184.37+6281.56+3934.58</f>
        <v>51506.69000000001</v>
      </c>
      <c r="N54" s="211">
        <f>12031.27+4728.85+7137.01+1218+507+4175.93+5308.12</f>
        <v>35106.180000000008</v>
      </c>
      <c r="O54" s="212">
        <f t="shared" si="1"/>
        <v>16400.510000000002</v>
      </c>
      <c r="P54" s="269">
        <v>17</v>
      </c>
      <c r="Q54" s="214">
        <v>17</v>
      </c>
      <c r="R54" s="215">
        <v>17</v>
      </c>
      <c r="S54" s="261">
        <f>9629.72+1321.59</f>
        <v>10951.31</v>
      </c>
      <c r="T54" s="97">
        <f>9629.72+1321.59</f>
        <v>10951.31</v>
      </c>
      <c r="U54" s="97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  <c r="AO54"/>
      <c r="AP54"/>
    </row>
    <row r="55" spans="1:42" ht="31.5" x14ac:dyDescent="0.25">
      <c r="A55" s="257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8</v>
      </c>
      <c r="I55" s="266">
        <v>3</v>
      </c>
      <c r="J55" s="266">
        <v>4</v>
      </c>
      <c r="K55" s="209">
        <v>4</v>
      </c>
      <c r="L55" s="210">
        <v>4</v>
      </c>
      <c r="M55" s="211">
        <v>8188.55</v>
      </c>
      <c r="N55" s="211">
        <v>8188.55</v>
      </c>
      <c r="O55" s="212">
        <f t="shared" si="1"/>
        <v>0</v>
      </c>
      <c r="P55" s="269">
        <v>3</v>
      </c>
      <c r="Q55" s="214">
        <v>3</v>
      </c>
      <c r="R55" s="215">
        <v>3</v>
      </c>
      <c r="S55" s="261">
        <f>757.9+1321.55+620.1</f>
        <v>2699.5499999999997</v>
      </c>
      <c r="T55" s="97">
        <f>757.9+1321.55+620.1</f>
        <v>2699.5499999999997</v>
      </c>
      <c r="U55" s="97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  <c r="AO55"/>
      <c r="AP55"/>
    </row>
    <row r="56" spans="1:42" ht="31.5" x14ac:dyDescent="0.25">
      <c r="A56" s="257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70</v>
      </c>
      <c r="I56" s="266">
        <v>47</v>
      </c>
      <c r="J56" s="266">
        <v>65</v>
      </c>
      <c r="K56" s="209">
        <v>65</v>
      </c>
      <c r="L56" s="210">
        <v>63</v>
      </c>
      <c r="M56" s="211">
        <v>70230.75</v>
      </c>
      <c r="N56" s="211">
        <f>13145.7+14183.3+726.22+3195.47+5181.98+1425.26+6804.83+1811+6356.42-6356.42+1423.76+3508.9</f>
        <v>51406.420000000006</v>
      </c>
      <c r="O56" s="212">
        <f t="shared" si="1"/>
        <v>18824.329999999994</v>
      </c>
      <c r="P56" s="269">
        <v>35</v>
      </c>
      <c r="Q56" s="214">
        <v>35</v>
      </c>
      <c r="R56" s="215">
        <v>32</v>
      </c>
      <c r="S56" s="261">
        <f>53733.15+4264.52</f>
        <v>57997.67</v>
      </c>
      <c r="T56" s="97">
        <f>53733.15+4264.52</f>
        <v>57997.67</v>
      </c>
      <c r="U56" s="97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  <c r="AO56"/>
      <c r="AP56"/>
    </row>
    <row r="57" spans="1:42" ht="31.5" x14ac:dyDescent="0.25">
      <c r="A57" s="257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266">
        <v>11</v>
      </c>
      <c r="J57" s="266">
        <v>12</v>
      </c>
      <c r="K57" s="209">
        <v>11</v>
      </c>
      <c r="L57" s="210">
        <v>11</v>
      </c>
      <c r="M57" s="211">
        <f>1200.96+483.68</f>
        <v>1684.64</v>
      </c>
      <c r="N57" s="211">
        <v>1200.96</v>
      </c>
      <c r="O57" s="212">
        <f t="shared" si="1"/>
        <v>483.68000000000006</v>
      </c>
      <c r="P57" s="269"/>
      <c r="Q57" s="214"/>
      <c r="R57" s="215"/>
      <c r="S57" s="261"/>
      <c r="T57" s="97"/>
      <c r="U57" s="97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  <c r="AO57"/>
      <c r="AP57"/>
    </row>
    <row r="58" spans="1:42" ht="31.5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266"/>
      <c r="J58" s="266"/>
      <c r="K58" s="209"/>
      <c r="L58" s="210"/>
      <c r="M58" s="211"/>
      <c r="N58" s="211"/>
      <c r="O58" s="212">
        <f t="shared" si="1"/>
        <v>0</v>
      </c>
      <c r="P58" s="269">
        <v>1</v>
      </c>
      <c r="Q58" s="214">
        <v>1</v>
      </c>
      <c r="R58" s="215">
        <v>1</v>
      </c>
      <c r="S58" s="261">
        <v>548.1</v>
      </c>
      <c r="T58" s="97">
        <v>548.1</v>
      </c>
      <c r="U58" s="97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  <c r="AO58"/>
      <c r="AP58"/>
    </row>
    <row r="59" spans="1:42" ht="31.5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266"/>
      <c r="J59" s="266"/>
      <c r="K59" s="209"/>
      <c r="L59" s="210"/>
      <c r="M59" s="211"/>
      <c r="N59" s="211"/>
      <c r="O59" s="212">
        <f t="shared" si="1"/>
        <v>0</v>
      </c>
      <c r="P59" s="269"/>
      <c r="Q59" s="214"/>
      <c r="R59" s="215"/>
      <c r="S59" s="261"/>
      <c r="T59" s="97"/>
      <c r="U59" s="97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  <c r="AO59"/>
      <c r="AP59"/>
    </row>
    <row r="60" spans="1:42" ht="31.5" x14ac:dyDescent="0.25">
      <c r="A60" s="257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65</v>
      </c>
      <c r="I60" s="266">
        <v>40</v>
      </c>
      <c r="J60" s="266">
        <v>57</v>
      </c>
      <c r="K60" s="209">
        <v>51</v>
      </c>
      <c r="L60" s="210">
        <v>50</v>
      </c>
      <c r="M60" s="211">
        <v>55405.35</v>
      </c>
      <c r="N60" s="211">
        <f>19657.67+3859.57+3638.88+11285.84+2356.7+1870.22+2374.32</f>
        <v>45043.199999999997</v>
      </c>
      <c r="O60" s="212">
        <f t="shared" si="1"/>
        <v>10362.150000000001</v>
      </c>
      <c r="P60" s="269">
        <v>7</v>
      </c>
      <c r="Q60" s="214">
        <v>7</v>
      </c>
      <c r="R60" s="215">
        <v>7</v>
      </c>
      <c r="S60" s="261">
        <f>7737.36+1404.36</f>
        <v>9141.7199999999993</v>
      </c>
      <c r="T60" s="97">
        <v>7737.36</v>
      </c>
      <c r="U60" s="97">
        <f t="shared" si="2"/>
        <v>1404.3599999999997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  <c r="AO60"/>
      <c r="AP60"/>
    </row>
    <row r="61" spans="1:42" ht="31.5" x14ac:dyDescent="0.25">
      <c r="A61" s="257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33</v>
      </c>
      <c r="I61" s="266">
        <v>19</v>
      </c>
      <c r="J61" s="266">
        <v>28</v>
      </c>
      <c r="K61" s="209">
        <v>26</v>
      </c>
      <c r="L61" s="210">
        <v>26</v>
      </c>
      <c r="M61" s="211">
        <f>3986.21+989.8+3814.75+1492.92+2107.58+1990.86+3001.41+1940.89+2035.8</f>
        <v>21360.219999999998</v>
      </c>
      <c r="N61" s="211">
        <f>3986.21+989.8+3814.75+1492.92+2107.58+1990.86</f>
        <v>14382.12</v>
      </c>
      <c r="O61" s="212">
        <f t="shared" si="1"/>
        <v>6978.0999999999967</v>
      </c>
      <c r="P61" s="269"/>
      <c r="Q61" s="214"/>
      <c r="R61" s="215"/>
      <c r="S61" s="261"/>
      <c r="T61" s="97"/>
      <c r="U61" s="97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  <c r="AO61"/>
      <c r="AP61"/>
    </row>
    <row r="62" spans="1:42" ht="31.5" x14ac:dyDescent="0.25">
      <c r="A62" s="257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20</v>
      </c>
      <c r="I62" s="266">
        <v>11</v>
      </c>
      <c r="J62" s="266">
        <v>24</v>
      </c>
      <c r="K62" s="209">
        <v>22</v>
      </c>
      <c r="L62" s="210">
        <v>22</v>
      </c>
      <c r="M62" s="211">
        <v>17435.95</v>
      </c>
      <c r="N62" s="211">
        <f>1263.45+2111.32+5011.35+4260.64</f>
        <v>12646.760000000002</v>
      </c>
      <c r="O62" s="212">
        <f t="shared" si="1"/>
        <v>4789.1899999999987</v>
      </c>
      <c r="P62" s="269">
        <v>9</v>
      </c>
      <c r="Q62" s="214">
        <v>9</v>
      </c>
      <c r="R62" s="215">
        <v>9</v>
      </c>
      <c r="S62" s="261">
        <v>7582.54</v>
      </c>
      <c r="T62" s="97">
        <f>740.14+4736.32+577.79</f>
        <v>6054.25</v>
      </c>
      <c r="U62" s="97">
        <f t="shared" si="2"/>
        <v>1528.29</v>
      </c>
      <c r="V62" s="161"/>
      <c r="AO62"/>
      <c r="AP62"/>
    </row>
    <row r="63" spans="1:42" ht="31.5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266"/>
      <c r="J63" s="266"/>
      <c r="K63" s="209"/>
      <c r="L63" s="210"/>
      <c r="M63" s="211"/>
      <c r="N63" s="211"/>
      <c r="O63" s="212">
        <f t="shared" si="1"/>
        <v>0</v>
      </c>
      <c r="P63" s="269">
        <v>29</v>
      </c>
      <c r="Q63" s="214">
        <v>29</v>
      </c>
      <c r="R63" s="215">
        <v>29</v>
      </c>
      <c r="S63" s="261">
        <f>9392.68+482.3+2027.39</f>
        <v>11902.369999999999</v>
      </c>
      <c r="T63" s="97">
        <f>9392.68+482.3+2027.39</f>
        <v>11902.369999999999</v>
      </c>
      <c r="U63" s="97">
        <f t="shared" si="2"/>
        <v>0</v>
      </c>
      <c r="V63" s="161"/>
      <c r="AO63"/>
      <c r="AP63"/>
    </row>
    <row r="64" spans="1:42" ht="31.5" x14ac:dyDescent="0.25">
      <c r="A64" s="257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43</v>
      </c>
      <c r="I64" s="266">
        <v>23</v>
      </c>
      <c r="J64" s="266">
        <v>25</v>
      </c>
      <c r="K64" s="209">
        <v>24</v>
      </c>
      <c r="L64" s="210">
        <v>24</v>
      </c>
      <c r="M64" s="211">
        <f>20270.52+2756</f>
        <v>23026.52</v>
      </c>
      <c r="N64" s="211">
        <f>6496.16+4335.01+2477.65+2687.1+609</f>
        <v>16604.919999999998</v>
      </c>
      <c r="O64" s="212">
        <f t="shared" si="1"/>
        <v>6421.6000000000022</v>
      </c>
      <c r="P64" s="269">
        <v>12</v>
      </c>
      <c r="Q64" s="214">
        <v>12</v>
      </c>
      <c r="R64" s="215">
        <v>12</v>
      </c>
      <c r="S64" s="261">
        <f>6866.56+548.1</f>
        <v>7414.6600000000008</v>
      </c>
      <c r="T64" s="97">
        <f>6866.56+548.1</f>
        <v>7414.6600000000008</v>
      </c>
      <c r="U64" s="97">
        <f t="shared" si="2"/>
        <v>0</v>
      </c>
      <c r="V64" s="161"/>
      <c r="AO64"/>
      <c r="AP64"/>
    </row>
    <row r="65" spans="1:42" ht="31.5" x14ac:dyDescent="0.25">
      <c r="A65" s="257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63</v>
      </c>
      <c r="I65" s="266">
        <v>54</v>
      </c>
      <c r="J65" s="266">
        <v>67</v>
      </c>
      <c r="K65" s="209">
        <v>63</v>
      </c>
      <c r="L65" s="210">
        <v>61</v>
      </c>
      <c r="M65" s="211">
        <f>21561.61+5719.7+1305+4149.27+2397.37+5906.18+1251.03+829.55+4633.7+2607.11+652.5+3265.4+1216.55+3027.02</f>
        <v>58521.990000000005</v>
      </c>
      <c r="N65" s="211">
        <f>21561.61+5719.7+1305+4149.27+2397.37+5906.18+1251.03+829.55+4633.7+2607.11</f>
        <v>50360.520000000004</v>
      </c>
      <c r="O65" s="212">
        <f t="shared" si="1"/>
        <v>8161.4700000000012</v>
      </c>
      <c r="P65" s="269">
        <v>11</v>
      </c>
      <c r="Q65" s="214">
        <v>11</v>
      </c>
      <c r="R65" s="215">
        <v>11</v>
      </c>
      <c r="S65" s="261">
        <f>7456.7+19131.63</f>
        <v>26588.33</v>
      </c>
      <c r="T65" s="97">
        <f>7456.7+19131.63</f>
        <v>26588.33</v>
      </c>
      <c r="U65" s="97">
        <f t="shared" si="2"/>
        <v>0</v>
      </c>
      <c r="V65" s="161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</row>
    <row r="66" spans="1:42" ht="31.5" x14ac:dyDescent="0.25">
      <c r="A66" s="257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266">
        <v>2</v>
      </c>
      <c r="J66" s="266">
        <v>3</v>
      </c>
      <c r="K66" s="209">
        <v>3</v>
      </c>
      <c r="L66" s="210">
        <v>3</v>
      </c>
      <c r="M66" s="211">
        <f>463.83+1653.6</f>
        <v>2117.4299999999998</v>
      </c>
      <c r="N66" s="211">
        <f>463.83+1653.6</f>
        <v>2117.4299999999998</v>
      </c>
      <c r="O66" s="212">
        <f t="shared" si="1"/>
        <v>0</v>
      </c>
      <c r="P66" s="269">
        <v>4</v>
      </c>
      <c r="Q66" s="214">
        <v>4</v>
      </c>
      <c r="R66" s="215">
        <v>4</v>
      </c>
      <c r="S66" s="261">
        <v>3148.1</v>
      </c>
      <c r="T66" s="97">
        <v>3148.1</v>
      </c>
      <c r="U66" s="97">
        <f t="shared" si="2"/>
        <v>0</v>
      </c>
      <c r="V66" s="161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</row>
    <row r="67" spans="1:42" ht="31.5" x14ac:dyDescent="0.25">
      <c r="A67" s="257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70</v>
      </c>
      <c r="I67" s="266">
        <v>51</v>
      </c>
      <c r="J67" s="266">
        <v>65</v>
      </c>
      <c r="K67" s="209">
        <v>65</v>
      </c>
      <c r="L67" s="210">
        <v>64</v>
      </c>
      <c r="M67" s="211">
        <v>57336.7</v>
      </c>
      <c r="N67" s="211">
        <f>19710.93+7009.96+ 8900.54+165.98+1497.55+1081.95+652.5+834+3570.78</f>
        <v>43424.19</v>
      </c>
      <c r="O67" s="212">
        <f t="shared" si="1"/>
        <v>13912.509999999995</v>
      </c>
      <c r="P67" s="269">
        <v>11</v>
      </c>
      <c r="Q67" s="214">
        <v>11</v>
      </c>
      <c r="R67" s="215">
        <v>11</v>
      </c>
      <c r="S67" s="261">
        <f>8355.57+1548.48+8943.77</f>
        <v>18847.82</v>
      </c>
      <c r="T67" s="97">
        <f>8355.57+1548.48+8943.77</f>
        <v>18847.82</v>
      </c>
      <c r="U67" s="97">
        <f t="shared" si="2"/>
        <v>0</v>
      </c>
      <c r="V67" s="161"/>
      <c r="W67"/>
      <c r="X67"/>
      <c r="Y67"/>
      <c r="Z67"/>
      <c r="AA67"/>
      <c r="AB67"/>
      <c r="AC67"/>
      <c r="AD67"/>
      <c r="AE67"/>
      <c r="AF67" s="59"/>
      <c r="AG67"/>
      <c r="AH67"/>
      <c r="AI67"/>
      <c r="AJ67"/>
      <c r="AK67"/>
      <c r="AL67"/>
      <c r="AM67"/>
      <c r="AN67"/>
      <c r="AO67"/>
      <c r="AP67"/>
    </row>
    <row r="68" spans="1:42" ht="31.5" x14ac:dyDescent="0.25">
      <c r="A68" s="257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44</v>
      </c>
      <c r="I68" s="266">
        <v>41</v>
      </c>
      <c r="J68" s="266">
        <v>63</v>
      </c>
      <c r="K68" s="209">
        <v>63</v>
      </c>
      <c r="L68" s="210">
        <v>56</v>
      </c>
      <c r="M68" s="211">
        <f>37213.91+696</f>
        <v>37909.910000000003</v>
      </c>
      <c r="N68" s="211">
        <f>18750.75+2683.13+8424.37</f>
        <v>29858.25</v>
      </c>
      <c r="O68" s="212">
        <f t="shared" si="1"/>
        <v>8051.6600000000035</v>
      </c>
      <c r="P68" s="269">
        <v>11</v>
      </c>
      <c r="Q68" s="214">
        <v>11</v>
      </c>
      <c r="R68" s="215">
        <v>11</v>
      </c>
      <c r="S68" s="261">
        <v>6249.15</v>
      </c>
      <c r="T68" s="97">
        <v>6249.15</v>
      </c>
      <c r="U68" s="97">
        <f t="shared" si="2"/>
        <v>0</v>
      </c>
      <c r="V68" s="161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</row>
    <row r="69" spans="1:42" ht="31.5" x14ac:dyDescent="0.25">
      <c r="A69" s="257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21</v>
      </c>
      <c r="I69" s="266">
        <v>11</v>
      </c>
      <c r="J69" s="266">
        <v>11</v>
      </c>
      <c r="K69" s="209">
        <v>10</v>
      </c>
      <c r="L69" s="210">
        <v>9</v>
      </c>
      <c r="M69" s="211">
        <f>2756+1240.2+1305+1087.5+1232.5+2915.4</f>
        <v>10536.6</v>
      </c>
      <c r="N69" s="211">
        <f>2756+1240.2+1305</f>
        <v>5301.2</v>
      </c>
      <c r="O69" s="212">
        <f t="shared" si="1"/>
        <v>5235.4000000000005</v>
      </c>
      <c r="P69" s="269"/>
      <c r="Q69" s="214"/>
      <c r="R69" s="215"/>
      <c r="S69" s="261"/>
      <c r="T69" s="97"/>
      <c r="U69" s="97">
        <f t="shared" si="2"/>
        <v>0</v>
      </c>
      <c r="V69" s="161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</row>
    <row r="70" spans="1:42" ht="31.5" x14ac:dyDescent="0.25">
      <c r="A70" s="257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19</v>
      </c>
      <c r="I70" s="266">
        <v>14</v>
      </c>
      <c r="J70" s="266">
        <v>16</v>
      </c>
      <c r="K70" s="209">
        <v>15</v>
      </c>
      <c r="L70" s="210">
        <v>15</v>
      </c>
      <c r="M70" s="211">
        <f>15374.68+947.21</f>
        <v>16321.89</v>
      </c>
      <c r="N70" s="211">
        <f>2039.44+3242.32+2027.39+3567+822.15</f>
        <v>11698.300000000001</v>
      </c>
      <c r="O70" s="212">
        <f t="shared" si="1"/>
        <v>4623.5899999999983</v>
      </c>
      <c r="P70" s="269">
        <v>7</v>
      </c>
      <c r="Q70" s="214">
        <v>7</v>
      </c>
      <c r="R70" s="215">
        <v>7</v>
      </c>
      <c r="S70" s="261">
        <f>3513.9+460.56+401.94</f>
        <v>4376.3999999999996</v>
      </c>
      <c r="T70" s="97">
        <v>3513.9</v>
      </c>
      <c r="U70" s="97">
        <f t="shared" si="2"/>
        <v>862.49999999999955</v>
      </c>
      <c r="V70" s="161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</row>
    <row r="71" spans="1:42" s="249" customFormat="1" ht="31.5" x14ac:dyDescent="0.25">
      <c r="A71" s="257">
        <v>57</v>
      </c>
      <c r="B71" s="248">
        <f t="shared" si="3"/>
        <v>62</v>
      </c>
      <c r="C71" s="250" t="s">
        <v>74</v>
      </c>
      <c r="D71" s="251" t="s">
        <v>124</v>
      </c>
      <c r="E71" s="252"/>
      <c r="F71" s="253" t="s">
        <v>111</v>
      </c>
      <c r="G71" s="254" t="s">
        <v>190</v>
      </c>
      <c r="H71" s="255">
        <v>30</v>
      </c>
      <c r="I71" s="266">
        <v>20</v>
      </c>
      <c r="J71" s="266">
        <v>26</v>
      </c>
      <c r="K71" s="209">
        <v>20</v>
      </c>
      <c r="L71" s="210">
        <v>20</v>
      </c>
      <c r="M71" s="211">
        <f>2383.53+3781.9+7505.17+507+5161.87+1335.02+1152.8-3276.5+5715.74</f>
        <v>24266.53</v>
      </c>
      <c r="N71" s="211">
        <f>2383.53+3781.9+7505.17+507+5161.87+1335.02+1152.8-3276.5</f>
        <v>18550.79</v>
      </c>
      <c r="O71" s="212">
        <f t="shared" si="1"/>
        <v>5715.739999999998</v>
      </c>
      <c r="P71" s="269">
        <v>25</v>
      </c>
      <c r="Q71" s="214">
        <v>25</v>
      </c>
      <c r="R71" s="215">
        <v>25</v>
      </c>
      <c r="S71" s="261">
        <f>52337.46+18000.02+1926.09+5518.42</f>
        <v>77781.989999999991</v>
      </c>
      <c r="T71" s="97">
        <f>52337.46+18000.02+1926.09</f>
        <v>72263.569999999992</v>
      </c>
      <c r="U71" s="211">
        <f t="shared" si="2"/>
        <v>5518.4199999999983</v>
      </c>
      <c r="V71" s="161"/>
      <c r="W71" s="243"/>
      <c r="X71" s="243"/>
      <c r="Y71" s="243"/>
      <c r="Z71" s="243"/>
      <c r="AA71" s="243"/>
      <c r="AB71" s="243"/>
      <c r="AC71" s="243"/>
      <c r="AD71" s="243"/>
      <c r="AE71" s="243"/>
      <c r="AF71" s="256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</row>
    <row r="72" spans="1:42" ht="31.5" x14ac:dyDescent="0.25">
      <c r="A72" s="257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23</v>
      </c>
      <c r="I72" s="266">
        <v>15</v>
      </c>
      <c r="J72" s="266">
        <v>19</v>
      </c>
      <c r="K72" s="209">
        <v>15</v>
      </c>
      <c r="L72" s="210">
        <v>15</v>
      </c>
      <c r="M72" s="211">
        <f>4703.53+544.32+1960.26+2120.63+1914.44+822.15</f>
        <v>12065.33</v>
      </c>
      <c r="N72" s="211">
        <f>4703.53+544.32+1960.26+2120.63</f>
        <v>9328.74</v>
      </c>
      <c r="O72" s="212">
        <f t="shared" si="1"/>
        <v>2736.59</v>
      </c>
      <c r="P72" s="269">
        <v>7</v>
      </c>
      <c r="Q72" s="214">
        <v>7</v>
      </c>
      <c r="R72" s="215">
        <v>7</v>
      </c>
      <c r="S72" s="261">
        <f>3959.69+961.38</f>
        <v>4921.07</v>
      </c>
      <c r="T72" s="97">
        <f>3959.69+961.38</f>
        <v>4921.07</v>
      </c>
      <c r="U72" s="97">
        <f t="shared" si="2"/>
        <v>0</v>
      </c>
      <c r="V72" s="161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1:42" ht="31.5" x14ac:dyDescent="0.25">
      <c r="A73" s="257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45</v>
      </c>
      <c r="I73" s="266">
        <v>32</v>
      </c>
      <c r="J73" s="266">
        <v>33</v>
      </c>
      <c r="K73" s="209">
        <v>33</v>
      </c>
      <c r="L73" s="210">
        <v>32</v>
      </c>
      <c r="M73" s="211">
        <f>2095.52+746.9+4941.1+3310.3+2104.91+2516.25+6797.48</f>
        <v>22512.46</v>
      </c>
      <c r="N73" s="211">
        <f>2095.52+746.9+4941.1+3310.3+2104.91</f>
        <v>13198.73</v>
      </c>
      <c r="O73" s="212">
        <f t="shared" si="1"/>
        <v>9313.73</v>
      </c>
      <c r="P73" s="269">
        <v>8</v>
      </c>
      <c r="Q73" s="214">
        <v>8</v>
      </c>
      <c r="R73" s="215">
        <v>8</v>
      </c>
      <c r="S73" s="261">
        <f>1821.06+4580.19+1240.2+1963.25</f>
        <v>9604.7000000000007</v>
      </c>
      <c r="T73" s="97">
        <f>1821.06+4580.19+1240.2</f>
        <v>7641.45</v>
      </c>
      <c r="U73" s="97">
        <f t="shared" si="2"/>
        <v>1963.2500000000009</v>
      </c>
      <c r="V73" s="161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ht="31.5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266"/>
      <c r="J74" s="266"/>
      <c r="K74" s="209"/>
      <c r="L74" s="210"/>
      <c r="M74" s="211"/>
      <c r="N74" s="211"/>
      <c r="O74" s="212">
        <f t="shared" si="1"/>
        <v>0</v>
      </c>
      <c r="P74" s="269">
        <v>1</v>
      </c>
      <c r="Q74" s="214">
        <v>1</v>
      </c>
      <c r="R74" s="215">
        <v>1</v>
      </c>
      <c r="S74" s="261">
        <v>3278.32</v>
      </c>
      <c r="T74" s="97">
        <v>3278.32</v>
      </c>
      <c r="U74" s="97">
        <f t="shared" si="2"/>
        <v>0</v>
      </c>
      <c r="V74" s="161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ht="31.5" x14ac:dyDescent="0.25">
      <c r="A75" s="257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28</v>
      </c>
      <c r="I75" s="266">
        <v>11</v>
      </c>
      <c r="J75" s="266">
        <v>14</v>
      </c>
      <c r="K75" s="209">
        <v>14</v>
      </c>
      <c r="L75" s="210">
        <v>14</v>
      </c>
      <c r="M75" s="211">
        <f>275.6+741.36+14287.26+2399.03+7204.43</f>
        <v>24907.68</v>
      </c>
      <c r="N75" s="211">
        <f>275.6+741.36+14287.26</f>
        <v>15304.220000000001</v>
      </c>
      <c r="O75" s="212">
        <f t="shared" ref="O75:O104" si="4" xml:space="preserve"> (M75-N75)</f>
        <v>9603.4599999999991</v>
      </c>
      <c r="P75" s="269">
        <v>3</v>
      </c>
      <c r="Q75" s="214">
        <v>3</v>
      </c>
      <c r="R75" s="215">
        <v>3</v>
      </c>
      <c r="S75" s="261">
        <f>617.03+725.77</f>
        <v>1342.8</v>
      </c>
      <c r="T75" s="97">
        <f>617.03+725.77</f>
        <v>1342.8</v>
      </c>
      <c r="U75" s="97">
        <f t="shared" ref="U75:U104" si="5" xml:space="preserve"> (S75-T75)</f>
        <v>0</v>
      </c>
      <c r="V75" s="161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ht="31.5" x14ac:dyDescent="0.25">
      <c r="A76" s="257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40</v>
      </c>
      <c r="I76" s="266">
        <v>33</v>
      </c>
      <c r="J76" s="266">
        <v>46</v>
      </c>
      <c r="K76" s="209">
        <v>46</v>
      </c>
      <c r="L76" s="210">
        <v>46</v>
      </c>
      <c r="M76" s="211">
        <f>11803.63+1320.23+3132.15+12104.63+822.42+4875.99+435.02+2678.15+3594.84+4069.8</f>
        <v>44836.86</v>
      </c>
      <c r="N76" s="211">
        <f>11803.63+1320.23+3132.15+12104.63+822.42+4875.99+435.02</f>
        <v>34494.069999999992</v>
      </c>
      <c r="O76" s="212">
        <f t="shared" si="4"/>
        <v>10342.790000000008</v>
      </c>
      <c r="P76" s="269">
        <v>5</v>
      </c>
      <c r="Q76" s="214">
        <v>5</v>
      </c>
      <c r="R76" s="215">
        <v>5</v>
      </c>
      <c r="S76" s="261">
        <f>5751.78+461.63</f>
        <v>6213.41</v>
      </c>
      <c r="T76" s="97">
        <v>5751.78</v>
      </c>
      <c r="U76" s="97">
        <f t="shared" si="5"/>
        <v>461.63000000000011</v>
      </c>
      <c r="V76" s="161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ht="31.5" x14ac:dyDescent="0.25">
      <c r="A77" s="257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27</v>
      </c>
      <c r="I77" s="266">
        <v>15</v>
      </c>
      <c r="J77" s="266">
        <v>19</v>
      </c>
      <c r="K77" s="209">
        <v>19</v>
      </c>
      <c r="L77" s="210">
        <v>19</v>
      </c>
      <c r="M77" s="211">
        <f>19014.61+1885</f>
        <v>20899.61</v>
      </c>
      <c r="N77" s="211">
        <f>4234.67+4498.63+1766.87+2083.87+1368.44+4016.5</f>
        <v>17968.979999999996</v>
      </c>
      <c r="O77" s="212">
        <f t="shared" si="4"/>
        <v>2930.6300000000047</v>
      </c>
      <c r="P77" s="269"/>
      <c r="Q77" s="214"/>
      <c r="R77" s="215"/>
      <c r="S77" s="261"/>
      <c r="T77" s="97"/>
      <c r="U77" s="97">
        <f t="shared" si="5"/>
        <v>0</v>
      </c>
      <c r="V77" s="161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</row>
    <row r="78" spans="1:42" ht="31.5" x14ac:dyDescent="0.25">
      <c r="A78" s="257" t="s">
        <v>315</v>
      </c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266"/>
      <c r="J78" s="266"/>
      <c r="K78" s="209"/>
      <c r="L78" s="210"/>
      <c r="M78" s="211"/>
      <c r="N78" s="211"/>
      <c r="O78" s="212">
        <f t="shared" si="4"/>
        <v>0</v>
      </c>
      <c r="P78" s="269">
        <v>9</v>
      </c>
      <c r="Q78" s="214">
        <v>9</v>
      </c>
      <c r="R78" s="215">
        <v>9</v>
      </c>
      <c r="S78" s="261">
        <f>3889.76+778.48</f>
        <v>4668.24</v>
      </c>
      <c r="T78" s="97">
        <f>3889.76+778.48</f>
        <v>4668.24</v>
      </c>
      <c r="U78" s="97">
        <f t="shared" si="5"/>
        <v>0</v>
      </c>
      <c r="V78" s="161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1:42" ht="31.5" x14ac:dyDescent="0.25">
      <c r="A79" s="257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25</v>
      </c>
      <c r="I79" s="266">
        <v>15</v>
      </c>
      <c r="J79" s="266">
        <v>25</v>
      </c>
      <c r="K79" s="209">
        <v>25</v>
      </c>
      <c r="L79" s="210">
        <v>21</v>
      </c>
      <c r="M79" s="211">
        <f>8913.81+7027.61+1244.33+15395.91+4278.3</f>
        <v>36859.96</v>
      </c>
      <c r="N79" s="211">
        <f>8913.81+7027.61+1244.33+15395.91+4278.3</f>
        <v>36859.96</v>
      </c>
      <c r="O79" s="212">
        <f t="shared" si="4"/>
        <v>0</v>
      </c>
      <c r="P79" s="269">
        <v>4</v>
      </c>
      <c r="Q79" s="214">
        <v>4</v>
      </c>
      <c r="R79" s="215">
        <v>4</v>
      </c>
      <c r="S79" s="261">
        <f>275.6+4163.58</f>
        <v>4439.18</v>
      </c>
      <c r="T79" s="97">
        <f>275.6+4163.58</f>
        <v>4439.18</v>
      </c>
      <c r="U79" s="97">
        <f t="shared" si="5"/>
        <v>0</v>
      </c>
      <c r="V79" s="161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1:42" ht="31.5" x14ac:dyDescent="0.25">
      <c r="A80" s="257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20</v>
      </c>
      <c r="I80" s="266">
        <v>14</v>
      </c>
      <c r="J80" s="266">
        <v>22</v>
      </c>
      <c r="K80" s="209">
        <v>22</v>
      </c>
      <c r="L80" s="210">
        <v>22</v>
      </c>
      <c r="M80" s="211">
        <f>14959.64+7384.39+14758.51+362.5+822.42+1311.95</f>
        <v>39599.409999999996</v>
      </c>
      <c r="N80" s="211">
        <f>14959.64+7384.39+14758.51+362.5+822.42</f>
        <v>38287.46</v>
      </c>
      <c r="O80" s="212">
        <f t="shared" si="4"/>
        <v>1311.9499999999971</v>
      </c>
      <c r="P80" s="269">
        <v>10</v>
      </c>
      <c r="Q80" s="214">
        <v>10</v>
      </c>
      <c r="R80" s="215">
        <v>10</v>
      </c>
      <c r="S80" s="261">
        <f>13554.7+2057.24+454.74</f>
        <v>16066.68</v>
      </c>
      <c r="T80" s="97">
        <f>13554.7+2057.24+454.74</f>
        <v>16066.68</v>
      </c>
      <c r="U80" s="97">
        <f t="shared" si="5"/>
        <v>0</v>
      </c>
      <c r="V80" s="161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1:42" ht="20.100000000000001" customHeight="1" x14ac:dyDescent="0.25">
      <c r="A81" s="257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266">
        <v>2</v>
      </c>
      <c r="J81" s="266">
        <v>4</v>
      </c>
      <c r="K81" s="209">
        <v>4</v>
      </c>
      <c r="L81" s="210">
        <v>3</v>
      </c>
      <c r="M81" s="211">
        <f>287.1+4640.98+1283.25</f>
        <v>6211.33</v>
      </c>
      <c r="N81" s="211">
        <v>287.10000000000002</v>
      </c>
      <c r="O81" s="212">
        <f t="shared" si="4"/>
        <v>5924.23</v>
      </c>
      <c r="P81" s="269">
        <v>1</v>
      </c>
      <c r="Q81" s="214">
        <v>1</v>
      </c>
      <c r="R81" s="215">
        <v>1</v>
      </c>
      <c r="S81" s="261">
        <v>2673.24</v>
      </c>
      <c r="T81" s="97">
        <v>2673.24</v>
      </c>
      <c r="U81" s="97">
        <f t="shared" si="5"/>
        <v>0</v>
      </c>
      <c r="V81" s="161"/>
    </row>
    <row r="82" spans="1:42" ht="20.100000000000001" customHeight="1" x14ac:dyDescent="0.25">
      <c r="A82" s="257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25</v>
      </c>
      <c r="I82" s="266">
        <v>17</v>
      </c>
      <c r="J82" s="266">
        <v>19</v>
      </c>
      <c r="K82" s="209">
        <v>19</v>
      </c>
      <c r="L82" s="210">
        <v>19</v>
      </c>
      <c r="M82" s="211">
        <f>2626.75+8084.46+600.05+7445.83+942.5+668.95+1283.25+574.2</f>
        <v>22225.989999999998</v>
      </c>
      <c r="N82" s="211">
        <f>2626.75+8084.46+600.05+7445.83+942.5+668.95</f>
        <v>20368.539999999997</v>
      </c>
      <c r="O82" s="212">
        <f t="shared" si="4"/>
        <v>1857.4500000000007</v>
      </c>
      <c r="P82" s="269">
        <v>10</v>
      </c>
      <c r="Q82" s="214">
        <v>10</v>
      </c>
      <c r="R82" s="215">
        <v>10</v>
      </c>
      <c r="S82" s="261">
        <f>15935.59+881.06+1714.6+1015.59</f>
        <v>19546.84</v>
      </c>
      <c r="T82" s="97">
        <f>15935.59+881.06+1714.6+1015.59</f>
        <v>19546.84</v>
      </c>
      <c r="U82" s="97">
        <f t="shared" si="5"/>
        <v>0</v>
      </c>
      <c r="V82" s="161"/>
    </row>
    <row r="83" spans="1:42" ht="20.100000000000001" customHeight="1" x14ac:dyDescent="0.25">
      <c r="A83" s="257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28</v>
      </c>
      <c r="I83" s="266">
        <v>18</v>
      </c>
      <c r="J83" s="266">
        <v>30</v>
      </c>
      <c r="K83" s="209">
        <v>30</v>
      </c>
      <c r="L83" s="210">
        <v>30</v>
      </c>
      <c r="M83" s="211">
        <f>11232.31+3440.1+14435.12-1360.99+3088.95+2556.06+1891.38+763.69</f>
        <v>36046.619999999995</v>
      </c>
      <c r="N83" s="211">
        <f>11232.31+3440.1+14435.12-1360.99+3088.95+2556.06</f>
        <v>33391.549999999996</v>
      </c>
      <c r="O83" s="212">
        <f t="shared" si="4"/>
        <v>2655.0699999999997</v>
      </c>
      <c r="P83" s="269">
        <v>7</v>
      </c>
      <c r="Q83" s="214">
        <v>7</v>
      </c>
      <c r="R83" s="215">
        <v>7</v>
      </c>
      <c r="S83" s="261">
        <f>6465.89+3406.65+1360.99</f>
        <v>11233.53</v>
      </c>
      <c r="T83" s="97">
        <f>6465.89+3406.65+1360.99</f>
        <v>11233.53</v>
      </c>
      <c r="U83" s="97">
        <f t="shared" si="5"/>
        <v>0</v>
      </c>
      <c r="V83" s="161"/>
    </row>
    <row r="84" spans="1:42" ht="20.100000000000001" customHeight="1" x14ac:dyDescent="0.25">
      <c r="A84" s="257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21</v>
      </c>
      <c r="I84" s="266">
        <v>15</v>
      </c>
      <c r="J84" s="266">
        <v>24</v>
      </c>
      <c r="K84" s="209">
        <v>24</v>
      </c>
      <c r="L84" s="210">
        <v>23</v>
      </c>
      <c r="M84" s="211">
        <f>5429.56+2272.28+2029.9+2976.46+1243.6+3190.51</f>
        <v>17142.310000000001</v>
      </c>
      <c r="N84" s="211">
        <f>5429.56+2272.28+2029.9+2976.46+1243.6+3190.51</f>
        <v>17142.310000000001</v>
      </c>
      <c r="O84" s="212">
        <f t="shared" si="4"/>
        <v>0</v>
      </c>
      <c r="P84" s="269">
        <v>1</v>
      </c>
      <c r="Q84" s="214">
        <v>1</v>
      </c>
      <c r="R84" s="215">
        <v>1</v>
      </c>
      <c r="S84" s="261">
        <v>1515.31</v>
      </c>
      <c r="T84" s="97">
        <v>1515.31</v>
      </c>
      <c r="U84" s="97">
        <f t="shared" si="5"/>
        <v>0</v>
      </c>
      <c r="V84" s="161"/>
    </row>
    <row r="85" spans="1:42" ht="20.100000000000001" customHeight="1" x14ac:dyDescent="0.25">
      <c r="A85" s="257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53</v>
      </c>
      <c r="I85" s="266">
        <v>43</v>
      </c>
      <c r="J85" s="266">
        <v>70</v>
      </c>
      <c r="K85" s="209">
        <v>64</v>
      </c>
      <c r="L85" s="210">
        <v>64</v>
      </c>
      <c r="M85" s="211">
        <f>15506.09+4089.12+1924.78+1267.55+6546.86+1962.04+654.22+1080.22+392.95+1059.68+8180.45+435+1409.81</f>
        <v>44508.76999999999</v>
      </c>
      <c r="N85" s="211">
        <f>15506.09+4089.12+1924.78+1267.55+6546.86+1962.04+654.22+1080.22+392.95+1059.68</f>
        <v>34483.509999999995</v>
      </c>
      <c r="O85" s="212">
        <f t="shared" si="4"/>
        <v>10025.259999999995</v>
      </c>
      <c r="P85" s="269">
        <v>5</v>
      </c>
      <c r="Q85" s="214">
        <v>5</v>
      </c>
      <c r="R85" s="215">
        <v>5</v>
      </c>
      <c r="S85" s="261">
        <f>2068.47+2492.49</f>
        <v>4560.9599999999991</v>
      </c>
      <c r="T85" s="97">
        <f>2068.47+2492.49</f>
        <v>4560.9599999999991</v>
      </c>
      <c r="U85" s="97">
        <f t="shared" si="5"/>
        <v>0</v>
      </c>
      <c r="V85" s="161"/>
    </row>
    <row r="86" spans="1:42" ht="20.100000000000001" customHeight="1" x14ac:dyDescent="0.25">
      <c r="A86" s="257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22</v>
      </c>
      <c r="I86" s="266">
        <v>18</v>
      </c>
      <c r="J86" s="266">
        <v>21</v>
      </c>
      <c r="K86" s="209">
        <v>21</v>
      </c>
      <c r="L86" s="210">
        <v>21</v>
      </c>
      <c r="M86" s="211">
        <f>1956.76+1128.38+1752.82+1595+1761.46+1724.05</f>
        <v>9918.4699999999993</v>
      </c>
      <c r="N86" s="211">
        <f>1956.76+1128.38+1752.82</f>
        <v>4837.96</v>
      </c>
      <c r="O86" s="212">
        <f t="shared" si="4"/>
        <v>5080.5099999999993</v>
      </c>
      <c r="P86" s="269">
        <v>2</v>
      </c>
      <c r="Q86" s="214">
        <v>2</v>
      </c>
      <c r="R86" s="215">
        <v>2</v>
      </c>
      <c r="S86" s="261">
        <v>839.18</v>
      </c>
      <c r="T86" s="97">
        <v>839.18</v>
      </c>
      <c r="U86" s="97">
        <f t="shared" si="5"/>
        <v>0</v>
      </c>
      <c r="V86" s="161"/>
    </row>
    <row r="87" spans="1:42" ht="20.25" customHeight="1" x14ac:dyDescent="0.25">
      <c r="A87" s="257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10</v>
      </c>
      <c r="I87" s="266">
        <v>8</v>
      </c>
      <c r="J87" s="266">
        <v>13</v>
      </c>
      <c r="K87" s="209">
        <v>13</v>
      </c>
      <c r="L87" s="210">
        <v>13</v>
      </c>
      <c r="M87" s="211">
        <f>795.8+4099.92+1305+358.88+1643.65+1026.38+1265.93+430.65</f>
        <v>10926.210000000001</v>
      </c>
      <c r="N87" s="211">
        <f>795.8+4099.92+1305+358.88+1643.65</f>
        <v>8203.25</v>
      </c>
      <c r="O87" s="212">
        <f t="shared" si="4"/>
        <v>2722.9600000000009</v>
      </c>
      <c r="P87" s="269">
        <v>6</v>
      </c>
      <c r="Q87" s="214">
        <v>6</v>
      </c>
      <c r="R87" s="215">
        <v>6</v>
      </c>
      <c r="S87" s="261">
        <f>2723.78+3718.48+4265.16+4595.62</f>
        <v>15303.04</v>
      </c>
      <c r="T87" s="97">
        <f>2723.78+3718.48+4265.16+4595.62</f>
        <v>15303.04</v>
      </c>
      <c r="U87" s="97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266"/>
      <c r="J88" s="266"/>
      <c r="K88" s="209"/>
      <c r="L88" s="210"/>
      <c r="M88" s="211"/>
      <c r="N88" s="211"/>
      <c r="O88" s="212">
        <f t="shared" si="4"/>
        <v>0</v>
      </c>
      <c r="P88" s="269">
        <v>6</v>
      </c>
      <c r="Q88" s="214">
        <v>6</v>
      </c>
      <c r="R88" s="215">
        <v>6</v>
      </c>
      <c r="S88" s="261">
        <v>7502.29</v>
      </c>
      <c r="T88" s="97">
        <v>7502.29</v>
      </c>
      <c r="U88" s="97">
        <f t="shared" si="5"/>
        <v>0</v>
      </c>
      <c r="V88" s="161"/>
    </row>
    <row r="89" spans="1:42" ht="20.100000000000001" customHeight="1" x14ac:dyDescent="0.25">
      <c r="A89" s="257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16</v>
      </c>
      <c r="I89" s="266">
        <v>9</v>
      </c>
      <c r="J89" s="266">
        <v>11</v>
      </c>
      <c r="K89" s="209">
        <v>11</v>
      </c>
      <c r="L89" s="210">
        <v>11</v>
      </c>
      <c r="M89" s="211">
        <f>2874.33+1509.2+1943+315.81+145+874.35+533.98</f>
        <v>8195.67</v>
      </c>
      <c r="N89" s="211">
        <f>2874.33+1509.2+1943+315.81</f>
        <v>6642.34</v>
      </c>
      <c r="O89" s="212">
        <f t="shared" si="4"/>
        <v>1553.33</v>
      </c>
      <c r="P89" s="269">
        <v>8</v>
      </c>
      <c r="Q89" s="214">
        <v>8</v>
      </c>
      <c r="R89" s="215">
        <v>8</v>
      </c>
      <c r="S89" s="261">
        <f>8161.92+1118.75+3779.58+1127.2+2077.34</f>
        <v>16264.79</v>
      </c>
      <c r="T89" s="97">
        <f>8161.92+1118.75+3779.58+1127.2</f>
        <v>14187.45</v>
      </c>
      <c r="U89" s="97">
        <f t="shared" si="5"/>
        <v>2077.34</v>
      </c>
      <c r="V89" s="161"/>
    </row>
    <row r="90" spans="1:42" ht="20.100000000000001" customHeight="1" x14ac:dyDescent="0.25">
      <c r="A90" s="257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60</v>
      </c>
      <c r="I90" s="266">
        <v>52</v>
      </c>
      <c r="J90" s="266">
        <v>92</v>
      </c>
      <c r="K90" s="209">
        <v>82</v>
      </c>
      <c r="L90" s="210">
        <v>82</v>
      </c>
      <c r="M90" s="211">
        <f>14303.46+6714.67+1828.05+13505.93+582.9+8733.75+358.88+2031-1990+16472.8</f>
        <v>62541.440000000002</v>
      </c>
      <c r="N90" s="211">
        <f>14303.46+6714.67+1828.05+13505.93+582.9+8733.75+358.88+2031-1990</f>
        <v>46068.639999999999</v>
      </c>
      <c r="O90" s="212">
        <f t="shared" si="4"/>
        <v>16472.800000000003</v>
      </c>
      <c r="P90" s="269">
        <v>8</v>
      </c>
      <c r="Q90" s="214">
        <v>8</v>
      </c>
      <c r="R90" s="215">
        <v>8</v>
      </c>
      <c r="S90" s="261">
        <v>3130.8</v>
      </c>
      <c r="T90" s="97">
        <v>3130.8</v>
      </c>
      <c r="U90" s="97">
        <f t="shared" si="5"/>
        <v>0</v>
      </c>
      <c r="V90" s="161"/>
    </row>
    <row r="91" spans="1:42" ht="20.100000000000001" customHeight="1" x14ac:dyDescent="0.25">
      <c r="A91" s="257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34</v>
      </c>
      <c r="I91" s="266">
        <v>17</v>
      </c>
      <c r="J91" s="266">
        <v>24</v>
      </c>
      <c r="K91" s="209">
        <v>23</v>
      </c>
      <c r="L91" s="210">
        <v>23</v>
      </c>
      <c r="M91" s="211">
        <f>5384.83+3572.76+8100.09+725+145+1865.54</f>
        <v>19793.22</v>
      </c>
      <c r="N91" s="211">
        <f>5384.83+3572.76+8100.09+870</f>
        <v>17927.68</v>
      </c>
      <c r="O91" s="212">
        <f t="shared" si="4"/>
        <v>1865.5400000000009</v>
      </c>
      <c r="P91" s="269">
        <v>7</v>
      </c>
      <c r="Q91" s="214">
        <v>7</v>
      </c>
      <c r="R91" s="215">
        <v>7</v>
      </c>
      <c r="S91" s="261">
        <f>6219.66+748.35+1502.94</f>
        <v>8470.9500000000007</v>
      </c>
      <c r="T91" s="97">
        <f>6219.66+748.35+1502.94</f>
        <v>8470.9500000000007</v>
      </c>
      <c r="U91" s="97">
        <f t="shared" si="5"/>
        <v>0</v>
      </c>
      <c r="V91" s="161"/>
    </row>
    <row r="92" spans="1:42" ht="20.100000000000001" customHeight="1" x14ac:dyDescent="0.25">
      <c r="A92" s="257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26</v>
      </c>
      <c r="I92" s="266">
        <v>20</v>
      </c>
      <c r="J92" s="266">
        <v>28</v>
      </c>
      <c r="K92" s="209">
        <v>28</v>
      </c>
      <c r="L92" s="210">
        <v>28</v>
      </c>
      <c r="M92" s="211">
        <f>2301.54+4352.56+3555.69+1798.94+1481.14+763.69+2342.6+947.21+1435.6+2658.12+788.44+3552.5</f>
        <v>25978.029999999995</v>
      </c>
      <c r="N92" s="211">
        <f>2301.54+4352.56+3555.69+1798.94+1481.14+763.69+2342.6+947.21</f>
        <v>17543.37</v>
      </c>
      <c r="O92" s="212">
        <f t="shared" si="4"/>
        <v>8434.6599999999962</v>
      </c>
      <c r="P92" s="269">
        <v>1</v>
      </c>
      <c r="Q92" s="214">
        <v>1</v>
      </c>
      <c r="R92" s="215">
        <v>1</v>
      </c>
      <c r="S92" s="261">
        <v>206.7</v>
      </c>
      <c r="T92" s="97">
        <v>206.7</v>
      </c>
      <c r="U92" s="97">
        <f t="shared" si="5"/>
        <v>0</v>
      </c>
      <c r="V92" s="161"/>
    </row>
    <row r="93" spans="1:42" ht="20.100000000000001" customHeight="1" x14ac:dyDescent="0.25">
      <c r="A93" s="257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120</v>
      </c>
      <c r="I93" s="266">
        <v>100</v>
      </c>
      <c r="J93" s="266">
        <v>123</v>
      </c>
      <c r="K93" s="209">
        <v>114</v>
      </c>
      <c r="L93" s="210">
        <v>90</v>
      </c>
      <c r="M93" s="211">
        <f>14656.12+3543.47+2420.25+2112.66+1299.21+2099.6+145+12320.24+7256.93+7391.73+3180.78+6298.93+4674.22</f>
        <v>67399.139999999985</v>
      </c>
      <c r="N93" s="211">
        <f>14656.12+3543.47+2420.25+2112.66+1299.21+2099.6+145-10054.69+12320.24+13235.47</f>
        <v>41777.329999999994</v>
      </c>
      <c r="O93" s="212">
        <f t="shared" si="4"/>
        <v>25621.80999999999</v>
      </c>
      <c r="P93" s="269">
        <v>10</v>
      </c>
      <c r="Q93" s="214">
        <v>10</v>
      </c>
      <c r="R93" s="215">
        <v>10</v>
      </c>
      <c r="S93" s="261">
        <f>11083.64+344.5</f>
        <v>11428.14</v>
      </c>
      <c r="T93" s="97">
        <f>11083.64+344.5</f>
        <v>11428.14</v>
      </c>
      <c r="U93" s="97">
        <f t="shared" si="5"/>
        <v>0</v>
      </c>
      <c r="V93" s="161"/>
      <c r="AF93" s="145"/>
    </row>
    <row r="94" spans="1:42" s="58" customFormat="1" ht="20.100000000000001" customHeight="1" x14ac:dyDescent="0.25">
      <c r="A94" s="257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48</v>
      </c>
      <c r="I94" s="266">
        <v>29</v>
      </c>
      <c r="J94" s="266">
        <v>38</v>
      </c>
      <c r="K94" s="210">
        <v>34</v>
      </c>
      <c r="L94" s="210">
        <v>33</v>
      </c>
      <c r="M94" s="211">
        <f>6576.32+217.5+2898.52+939.6+1008.45+1200.17+3722.95+4136.2+2392.5+736.89+7024.11</f>
        <v>30853.210000000003</v>
      </c>
      <c r="N94" s="211">
        <f>6576.32+217.5+2898.52+939.6+1008.45+1200.17+3722.95</f>
        <v>16563.510000000002</v>
      </c>
      <c r="O94" s="212">
        <f t="shared" si="4"/>
        <v>14289.7</v>
      </c>
      <c r="P94" s="269">
        <v>25</v>
      </c>
      <c r="Q94" s="215">
        <v>25</v>
      </c>
      <c r="R94" s="215">
        <v>24</v>
      </c>
      <c r="S94" s="261">
        <f>18253.04+4245.2+858.65+1546.26+14802.65</f>
        <v>39705.800000000003</v>
      </c>
      <c r="T94" s="97">
        <f>18253.04+4245.2+858.65+1546.26+14802.65</f>
        <v>39705.800000000003</v>
      </c>
      <c r="U94" s="97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257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35</v>
      </c>
      <c r="I95" s="266">
        <v>17</v>
      </c>
      <c r="J95" s="266">
        <v>24</v>
      </c>
      <c r="K95" s="209">
        <v>24</v>
      </c>
      <c r="L95" s="210">
        <v>21</v>
      </c>
      <c r="M95" s="211">
        <f>2362.32+22110.36+455.21+2039.58+953.22+699.73+275.6+9654.91+1049.72+185.88+466.54</f>
        <v>40253.07</v>
      </c>
      <c r="N95" s="211">
        <f>2362.32+22110.36+455.21+2039.58+953.22+699.73+275.6+9654.91+1049.22</f>
        <v>39600.15</v>
      </c>
      <c r="O95" s="212">
        <f t="shared" si="4"/>
        <v>652.91999999999825</v>
      </c>
      <c r="P95" s="269">
        <v>16</v>
      </c>
      <c r="Q95" s="214">
        <v>16</v>
      </c>
      <c r="R95" s="215">
        <v>16</v>
      </c>
      <c r="S95" s="261">
        <f>24552.24+1001.28+122.46+1729.98-1</f>
        <v>27404.959999999999</v>
      </c>
      <c r="T95" s="97">
        <f>24552.24+1001.28+122.46+1729.98-1</f>
        <v>27404.959999999999</v>
      </c>
      <c r="U95" s="97">
        <f t="shared" si="5"/>
        <v>0</v>
      </c>
      <c r="V95" s="161"/>
    </row>
    <row r="96" spans="1:42" ht="20.100000000000001" customHeight="1" x14ac:dyDescent="0.25">
      <c r="A96" s="257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11</v>
      </c>
      <c r="I96" s="266">
        <v>9</v>
      </c>
      <c r="J96" s="266">
        <v>13</v>
      </c>
      <c r="K96" s="209">
        <v>12</v>
      </c>
      <c r="L96" s="210">
        <v>12</v>
      </c>
      <c r="M96" s="211">
        <f>826.8+2786.41+2401.3+725</f>
        <v>6739.51</v>
      </c>
      <c r="N96" s="211">
        <f>826.8+2786.41+2401.3</f>
        <v>6014.51</v>
      </c>
      <c r="O96" s="212">
        <f t="shared" si="4"/>
        <v>725</v>
      </c>
      <c r="P96" s="269"/>
      <c r="Q96" s="214"/>
      <c r="R96" s="215"/>
      <c r="S96" s="261"/>
      <c r="T96" s="97"/>
      <c r="U96" s="97">
        <f t="shared" si="5"/>
        <v>0</v>
      </c>
      <c r="V96" s="161"/>
    </row>
    <row r="97" spans="1:42" ht="31.5" x14ac:dyDescent="0.25">
      <c r="A97" s="257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13</v>
      </c>
      <c r="I97" s="266">
        <v>7</v>
      </c>
      <c r="J97" s="266">
        <v>8</v>
      </c>
      <c r="K97" s="209">
        <v>8</v>
      </c>
      <c r="L97" s="210">
        <v>8</v>
      </c>
      <c r="M97" s="211">
        <f>3171.93+1457.25+380.63</f>
        <v>5009.8100000000004</v>
      </c>
      <c r="N97" s="211">
        <f>3171.93+1457.25+380.63</f>
        <v>5009.8100000000004</v>
      </c>
      <c r="O97" s="212">
        <f t="shared" si="4"/>
        <v>0</v>
      </c>
      <c r="P97" s="269">
        <v>4</v>
      </c>
      <c r="Q97" s="214">
        <v>4</v>
      </c>
      <c r="R97" s="215">
        <v>4</v>
      </c>
      <c r="S97" s="261">
        <v>1744.35</v>
      </c>
      <c r="T97" s="97">
        <v>1744.35</v>
      </c>
      <c r="U97" s="97">
        <f t="shared" si="5"/>
        <v>0</v>
      </c>
      <c r="V97" s="161"/>
      <c r="AJ97"/>
      <c r="AK97"/>
      <c r="AL97"/>
      <c r="AM97"/>
      <c r="AN97"/>
      <c r="AO97"/>
      <c r="AP97"/>
    </row>
    <row r="98" spans="1:42" ht="31.5" x14ac:dyDescent="0.25">
      <c r="A98" s="257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20</v>
      </c>
      <c r="I98" s="266">
        <v>13</v>
      </c>
      <c r="J98" s="266">
        <v>14</v>
      </c>
      <c r="K98" s="209">
        <v>14</v>
      </c>
      <c r="L98" s="210">
        <v>14</v>
      </c>
      <c r="M98" s="211">
        <f>757.9+551.2+895.7+290+725+841.2+290+725</f>
        <v>5076</v>
      </c>
      <c r="N98" s="211">
        <f>757.9+551.2+895.7+290+725+841.2</f>
        <v>4061</v>
      </c>
      <c r="O98" s="212">
        <f t="shared" si="4"/>
        <v>1015</v>
      </c>
      <c r="P98" s="269">
        <v>13</v>
      </c>
      <c r="Q98" s="214">
        <v>13</v>
      </c>
      <c r="R98" s="215">
        <v>13</v>
      </c>
      <c r="S98" s="261">
        <f>8034.56+3466.13+4060.73+413.4</f>
        <v>15974.82</v>
      </c>
      <c r="T98" s="97">
        <f>8034.56+3466.13+4060.73+413.4</f>
        <v>15974.82</v>
      </c>
      <c r="U98" s="97">
        <f t="shared" si="5"/>
        <v>0</v>
      </c>
      <c r="V98" s="161"/>
      <c r="AJ98"/>
      <c r="AK98"/>
      <c r="AL98"/>
      <c r="AM98"/>
      <c r="AN98"/>
      <c r="AO98"/>
      <c r="AP98"/>
    </row>
    <row r="99" spans="1:42" ht="31.5" x14ac:dyDescent="0.25">
      <c r="A99" s="257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29</v>
      </c>
      <c r="I99" s="266">
        <v>21</v>
      </c>
      <c r="J99" s="266">
        <v>27</v>
      </c>
      <c r="K99" s="209">
        <v>27</v>
      </c>
      <c r="L99" s="210">
        <v>26</v>
      </c>
      <c r="M99" s="211">
        <f>4782.23+1353.89+2195.41+1197.7+1340.79+681.5+699.48+1909.51+3782.6</f>
        <v>17943.11</v>
      </c>
      <c r="N99" s="211">
        <f>4782.23+1353.89+2195.41+1197.7+1340.79+681.57+699.48</f>
        <v>12251.07</v>
      </c>
      <c r="O99" s="212">
        <f t="shared" si="4"/>
        <v>5692.0400000000009</v>
      </c>
      <c r="P99" s="269">
        <v>12</v>
      </c>
      <c r="Q99" s="214">
        <v>12</v>
      </c>
      <c r="R99" s="215">
        <v>12</v>
      </c>
      <c r="S99" s="261">
        <f>12321.66+1021.27+487.2+781.96</f>
        <v>14612.09</v>
      </c>
      <c r="T99" s="97">
        <f>12321.66+1021.27+487.2</f>
        <v>13830.130000000001</v>
      </c>
      <c r="U99" s="97">
        <f t="shared" si="5"/>
        <v>781.95999999999913</v>
      </c>
      <c r="V99" s="161"/>
      <c r="AJ99"/>
      <c r="AK99"/>
      <c r="AL99"/>
      <c r="AM99"/>
      <c r="AN99"/>
      <c r="AO99"/>
      <c r="AP99"/>
    </row>
    <row r="100" spans="1:42" ht="31.5" x14ac:dyDescent="0.25">
      <c r="A100" s="257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34</v>
      </c>
      <c r="I100" s="266">
        <v>16</v>
      </c>
      <c r="J100" s="266">
        <v>25</v>
      </c>
      <c r="K100" s="209">
        <v>25</v>
      </c>
      <c r="L100" s="210">
        <v>25</v>
      </c>
      <c r="M100" s="211">
        <f>10862.96+2375.03+5632.11+356.47+2077.94+875.35+630.95+4495</f>
        <v>27305.809999999998</v>
      </c>
      <c r="N100" s="211">
        <f>10862.96+2375.03+5632.11+357.47+2077.94</f>
        <v>21305.51</v>
      </c>
      <c r="O100" s="212">
        <f t="shared" si="4"/>
        <v>6000.2999999999993</v>
      </c>
      <c r="P100" s="269">
        <v>10</v>
      </c>
      <c r="Q100" s="214">
        <v>10</v>
      </c>
      <c r="R100" s="215">
        <v>10</v>
      </c>
      <c r="S100" s="261">
        <f>4780.1+2135.9</f>
        <v>6916</v>
      </c>
      <c r="T100" s="97">
        <f>4780.1+2135.9</f>
        <v>6916</v>
      </c>
      <c r="U100" s="97">
        <f t="shared" si="5"/>
        <v>0</v>
      </c>
      <c r="V100" s="161"/>
      <c r="AF100" s="145"/>
      <c r="AJ100"/>
      <c r="AK100"/>
      <c r="AL100"/>
      <c r="AM100"/>
      <c r="AN100"/>
      <c r="AO100"/>
      <c r="AP100"/>
    </row>
    <row r="101" spans="1:42" ht="31.5" x14ac:dyDescent="0.25">
      <c r="A101" s="257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103</v>
      </c>
      <c r="I101" s="266">
        <v>73</v>
      </c>
      <c r="J101" s="266">
        <v>89</v>
      </c>
      <c r="K101" s="209">
        <v>80</v>
      </c>
      <c r="L101" s="210">
        <v>66</v>
      </c>
      <c r="M101" s="211">
        <f>16276.16+4466.66+1078.5+4011.53+435+1493.5+2243.15+1864.7+4804.86+840+5133.33+10737-380.89+4398.6</f>
        <v>57402.1</v>
      </c>
      <c r="N101" s="211">
        <f>16276.16+4466.66+1078.5+4011.53+435+1493.5+2243.15-144.3-2415.9+5133.33+2766.9</f>
        <v>35344.53</v>
      </c>
      <c r="O101" s="212">
        <f t="shared" si="4"/>
        <v>22057.57</v>
      </c>
      <c r="P101" s="269">
        <v>37</v>
      </c>
      <c r="Q101" s="214">
        <v>37</v>
      </c>
      <c r="R101" s="215">
        <v>36</v>
      </c>
      <c r="S101" s="261">
        <f>21329.45-2252.12+532.3+345.99+26455.28+1.67+3039.85-3960.98+551.2+1658+1218</f>
        <v>48918.639999999992</v>
      </c>
      <c r="T101" s="97">
        <f>21329.45-2252.12+532.3+345.99+26455.28+1.67+3039.85-3960.98+2209.2</f>
        <v>47700.639999999992</v>
      </c>
      <c r="U101" s="97">
        <f t="shared" si="5"/>
        <v>1218</v>
      </c>
      <c r="V101" s="161"/>
      <c r="AH101" s="145"/>
      <c r="AJ101"/>
      <c r="AK101"/>
      <c r="AL101"/>
      <c r="AM101"/>
      <c r="AN101"/>
      <c r="AO101"/>
      <c r="AP101"/>
    </row>
    <row r="102" spans="1:42" ht="31.5" x14ac:dyDescent="0.25">
      <c r="A102" s="257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14</v>
      </c>
      <c r="I102" s="267">
        <v>11</v>
      </c>
      <c r="J102" s="267">
        <v>14</v>
      </c>
      <c r="K102" s="216">
        <v>14</v>
      </c>
      <c r="L102" s="217">
        <v>14</v>
      </c>
      <c r="M102" s="218">
        <f>3259.83+1328.19+2964.21+8477.2+2525.13+577.1</f>
        <v>19131.66</v>
      </c>
      <c r="N102" s="218">
        <f>3259.83+1328.19+2964.21+8477.2</f>
        <v>16029.43</v>
      </c>
      <c r="O102" s="212">
        <f t="shared" si="4"/>
        <v>3102.2299999999996</v>
      </c>
      <c r="P102" s="270">
        <v>4</v>
      </c>
      <c r="Q102" s="220">
        <v>4</v>
      </c>
      <c r="R102" s="221">
        <v>4</v>
      </c>
      <c r="S102" s="262">
        <f>1193.3+5843.89</f>
        <v>7037.1900000000005</v>
      </c>
      <c r="T102" s="147">
        <f>1193.3+5843.89</f>
        <v>7037.1900000000005</v>
      </c>
      <c r="U102" s="147">
        <f t="shared" si="5"/>
        <v>0</v>
      </c>
      <c r="V102" s="161"/>
      <c r="AJ102"/>
      <c r="AK102"/>
      <c r="AL102"/>
      <c r="AM102"/>
      <c r="AN102"/>
      <c r="AO102"/>
      <c r="AP102"/>
    </row>
    <row r="103" spans="1:42" ht="31.5" x14ac:dyDescent="0.25">
      <c r="A103" s="257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29</v>
      </c>
      <c r="I103" s="266">
        <v>8</v>
      </c>
      <c r="J103" s="266">
        <v>10</v>
      </c>
      <c r="K103" s="209">
        <v>10</v>
      </c>
      <c r="L103" s="210">
        <v>10</v>
      </c>
      <c r="M103" s="211">
        <f>699.33+580+1941.55+1384.15</f>
        <v>4605.0300000000007</v>
      </c>
      <c r="N103" s="211">
        <f>699.33+580+1941.55</f>
        <v>3220.88</v>
      </c>
      <c r="O103" s="212">
        <f t="shared" si="4"/>
        <v>1384.1500000000005</v>
      </c>
      <c r="P103" s="271"/>
      <c r="Q103" s="214"/>
      <c r="R103" s="215"/>
      <c r="S103" s="261"/>
      <c r="T103" s="97"/>
      <c r="U103" s="147">
        <f t="shared" si="5"/>
        <v>0</v>
      </c>
      <c r="V103" s="161"/>
      <c r="AJ103"/>
      <c r="AK103"/>
      <c r="AL103"/>
      <c r="AM103"/>
      <c r="AN103"/>
      <c r="AO103"/>
      <c r="AP103"/>
    </row>
    <row r="104" spans="1:42" ht="31.5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266">
        <v>2</v>
      </c>
      <c r="J104" s="266">
        <v>2</v>
      </c>
      <c r="K104" s="209">
        <v>2</v>
      </c>
      <c r="L104" s="210">
        <v>2</v>
      </c>
      <c r="M104" s="211">
        <v>2252.12</v>
      </c>
      <c r="N104" s="211">
        <v>2252.12</v>
      </c>
      <c r="O104" s="212">
        <f t="shared" si="4"/>
        <v>0</v>
      </c>
      <c r="P104" s="271"/>
      <c r="Q104" s="214"/>
      <c r="R104" s="215"/>
      <c r="S104" s="261"/>
      <c r="T104" s="97"/>
      <c r="U104" s="97">
        <f t="shared" si="5"/>
        <v>0</v>
      </c>
      <c r="V104" s="161"/>
      <c r="AF104" s="145"/>
      <c r="AH104" s="145"/>
      <c r="AJ104"/>
      <c r="AK104"/>
      <c r="AL104"/>
      <c r="AM104"/>
      <c r="AN104"/>
      <c r="AO104"/>
      <c r="AP104"/>
    </row>
    <row r="105" spans="1:42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2861</v>
      </c>
      <c r="I105" s="268">
        <f t="shared" si="7"/>
        <v>1905</v>
      </c>
      <c r="J105" s="268">
        <f t="shared" si="7"/>
        <v>2576</v>
      </c>
      <c r="K105" s="222">
        <f t="shared" si="7"/>
        <v>2477</v>
      </c>
      <c r="L105" s="223">
        <f t="shared" si="7"/>
        <v>2353</v>
      </c>
      <c r="M105" s="224">
        <f t="shared" si="7"/>
        <v>1998181.9800000002</v>
      </c>
      <c r="N105" s="224">
        <f t="shared" si="7"/>
        <v>1499787.8900000004</v>
      </c>
      <c r="O105" s="224">
        <f t="shared" si="7"/>
        <v>498394.08999999997</v>
      </c>
      <c r="P105" s="272">
        <f t="shared" si="7"/>
        <v>767</v>
      </c>
      <c r="Q105" s="226">
        <f>SUM(Q10:Q104)</f>
        <v>767</v>
      </c>
      <c r="R105" s="225">
        <f>SUM(R11:R104)</f>
        <v>748</v>
      </c>
      <c r="S105" s="263">
        <f>SUM(S10:S104)</f>
        <v>1062993.71</v>
      </c>
      <c r="T105" s="151">
        <f>SUM(T10:T104)</f>
        <v>1028444.2099999998</v>
      </c>
      <c r="U105" s="151">
        <f>SUM(U10:U104)</f>
        <v>34549.500000000007</v>
      </c>
      <c r="V105" s="244"/>
      <c r="W105" s="245"/>
      <c r="X105" s="246"/>
      <c r="Y105" s="245"/>
      <c r="Z105" s="246"/>
      <c r="AA105" s="245"/>
      <c r="AB105" s="246"/>
      <c r="AC105" s="246"/>
      <c r="AD105" s="246"/>
      <c r="AE105" s="246"/>
      <c r="AF105" s="245"/>
      <c r="AG105" s="245"/>
      <c r="AH105" s="236"/>
      <c r="AJ105"/>
      <c r="AK105"/>
      <c r="AL105"/>
      <c r="AM105"/>
      <c r="AN105"/>
      <c r="AO105"/>
      <c r="AP105"/>
    </row>
    <row r="106" spans="1:42" x14ac:dyDescent="0.25">
      <c r="V106" s="245"/>
      <c r="W106" s="245"/>
      <c r="X106" s="246"/>
      <c r="Y106" s="246"/>
      <c r="Z106" s="246"/>
      <c r="AA106" s="246"/>
      <c r="AB106" s="246"/>
      <c r="AC106" s="246"/>
      <c r="AD106" s="246"/>
      <c r="AE106" s="246"/>
      <c r="AF106" s="245"/>
      <c r="AG106" s="246"/>
      <c r="AH106" s="235"/>
      <c r="AJ106"/>
      <c r="AK106"/>
      <c r="AL106"/>
      <c r="AM106"/>
      <c r="AN106"/>
      <c r="AO106"/>
      <c r="AP106"/>
    </row>
    <row r="107" spans="1:42" x14ac:dyDescent="0.25">
      <c r="V107" s="245"/>
      <c r="W107" s="245"/>
      <c r="X107" s="246"/>
      <c r="Y107" s="246"/>
      <c r="Z107" s="246"/>
      <c r="AA107" s="246"/>
      <c r="AB107" s="246"/>
      <c r="AC107" s="246"/>
      <c r="AD107" s="246"/>
      <c r="AE107" s="246"/>
      <c r="AF107" s="245"/>
      <c r="AG107" s="245"/>
      <c r="AH107" s="234"/>
      <c r="AI107" s="145"/>
      <c r="AJ107" s="59"/>
      <c r="AK107"/>
      <c r="AL107"/>
      <c r="AM107"/>
      <c r="AN107"/>
      <c r="AO107"/>
      <c r="AP107"/>
    </row>
    <row r="108" spans="1:42" x14ac:dyDescent="0.25">
      <c r="V108" s="145"/>
      <c r="W108" s="145"/>
      <c r="AF108" s="234"/>
      <c r="AG108" s="234"/>
      <c r="AH108" s="235"/>
      <c r="AJ108"/>
      <c r="AK108"/>
      <c r="AL108"/>
      <c r="AM108"/>
      <c r="AN108"/>
      <c r="AO108"/>
      <c r="AP108"/>
    </row>
    <row r="109" spans="1:42" x14ac:dyDescent="0.25">
      <c r="V109" s="145"/>
      <c r="AF109" s="235"/>
      <c r="AG109" s="235"/>
      <c r="AH109" s="234"/>
      <c r="AJ109"/>
      <c r="AK109"/>
      <c r="AL109"/>
      <c r="AM109"/>
      <c r="AN109"/>
      <c r="AO109"/>
      <c r="AP109"/>
    </row>
    <row r="110" spans="1:42" x14ac:dyDescent="0.25">
      <c r="AF110" s="235"/>
      <c r="AG110" s="235"/>
      <c r="AH110" s="234"/>
      <c r="AJ110"/>
      <c r="AK110"/>
      <c r="AL110"/>
      <c r="AM110"/>
      <c r="AN110"/>
      <c r="AO110"/>
      <c r="AP110"/>
    </row>
    <row r="111" spans="1:42" x14ac:dyDescent="0.25">
      <c r="AF111" s="235"/>
      <c r="AG111" s="235"/>
      <c r="AH111" s="235"/>
      <c r="AJ111"/>
      <c r="AK111"/>
      <c r="AL111"/>
      <c r="AM111"/>
      <c r="AN111"/>
      <c r="AO111"/>
      <c r="AP111"/>
    </row>
    <row r="112" spans="1:42" x14ac:dyDescent="0.25">
      <c r="AF112" s="235"/>
      <c r="AG112" s="235"/>
      <c r="AH112" s="235"/>
      <c r="AJ112"/>
      <c r="AK112"/>
      <c r="AL112"/>
      <c r="AM112"/>
      <c r="AN112"/>
      <c r="AO112"/>
      <c r="AP112"/>
    </row>
    <row r="113" spans="1:42" ht="15" x14ac:dyDescent="0.25">
      <c r="A113" s="258"/>
      <c r="B113"/>
      <c r="C113"/>
      <c r="D113"/>
      <c r="E113"/>
      <c r="F113"/>
      <c r="G113"/>
      <c r="H113"/>
      <c r="I113"/>
      <c r="J113" s="243"/>
      <c r="K113" s="243"/>
      <c r="L113" s="243"/>
      <c r="M113" s="243"/>
      <c r="N113" s="243"/>
      <c r="O113" s="243"/>
      <c r="P113" s="243"/>
      <c r="Q113" s="243"/>
      <c r="R113" s="243"/>
      <c r="S113" s="265"/>
      <c r="T113" s="55"/>
      <c r="U113" s="59"/>
      <c r="V113"/>
      <c r="W113"/>
      <c r="X113"/>
      <c r="Y113"/>
      <c r="Z113"/>
      <c r="AA113"/>
      <c r="AB113"/>
      <c r="AC113"/>
      <c r="AD113"/>
      <c r="AE113"/>
      <c r="AF113" s="235"/>
      <c r="AG113" s="235"/>
      <c r="AH113" s="235"/>
      <c r="AI113"/>
      <c r="AJ113"/>
      <c r="AK113"/>
      <c r="AL113"/>
      <c r="AM113"/>
      <c r="AN113"/>
      <c r="AO113"/>
      <c r="AP113"/>
    </row>
    <row r="114" spans="1:42" ht="15" x14ac:dyDescent="0.25">
      <c r="A114" s="258"/>
      <c r="B114"/>
      <c r="C114"/>
      <c r="D114"/>
      <c r="E114"/>
      <c r="F114"/>
      <c r="G114"/>
      <c r="H114"/>
      <c r="I114"/>
      <c r="J114" s="243"/>
      <c r="K114" s="243"/>
      <c r="L114" s="243"/>
      <c r="M114" s="243"/>
      <c r="N114" s="243"/>
      <c r="O114" s="243"/>
      <c r="P114" s="243"/>
      <c r="Q114" s="243"/>
      <c r="R114" s="243"/>
      <c r="S114" s="265"/>
      <c r="T114" s="55"/>
      <c r="U114"/>
      <c r="V114"/>
      <c r="W114"/>
      <c r="X114"/>
      <c r="Y114"/>
      <c r="Z114"/>
      <c r="AA114"/>
      <c r="AB114"/>
      <c r="AC114"/>
      <c r="AD114"/>
      <c r="AE114"/>
      <c r="AF114" s="235"/>
      <c r="AG114" s="235"/>
      <c r="AH114" s="235"/>
      <c r="AI114"/>
      <c r="AJ114"/>
      <c r="AK114"/>
      <c r="AL114"/>
      <c r="AM114"/>
      <c r="AN114"/>
      <c r="AO114"/>
      <c r="AP114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conditionalFormatting sqref="S45">
    <cfRule type="cellIs" dxfId="191" priority="11" stopIfTrue="1" operator="equal">
      <formula>0</formula>
    </cfRule>
  </conditionalFormatting>
  <conditionalFormatting sqref="AL45">
    <cfRule type="cellIs" dxfId="190" priority="10" stopIfTrue="1" operator="equal">
      <formula>0</formula>
    </cfRule>
  </conditionalFormatting>
  <conditionalFormatting sqref="T45">
    <cfRule type="cellIs" dxfId="189" priority="9" stopIfTrue="1" operator="equal">
      <formula>0</formula>
    </cfRule>
  </conditionalFormatting>
  <conditionalFormatting sqref="T45">
    <cfRule type="cellIs" dxfId="188" priority="8" stopIfTrue="1" operator="equal">
      <formula>0</formula>
    </cfRule>
  </conditionalFormatting>
  <conditionalFormatting sqref="T45">
    <cfRule type="cellIs" dxfId="187" priority="7" stopIfTrue="1" operator="equal">
      <formula>0</formula>
    </cfRule>
  </conditionalFormatting>
  <conditionalFormatting sqref="T45">
    <cfRule type="cellIs" dxfId="186" priority="6" stopIfTrue="1" operator="equal">
      <formula>0</formula>
    </cfRule>
  </conditionalFormatting>
  <conditionalFormatting sqref="T45">
    <cfRule type="cellIs" dxfId="185" priority="5" stopIfTrue="1" operator="equal">
      <formula>0</formula>
    </cfRule>
  </conditionalFormatting>
  <conditionalFormatting sqref="T45">
    <cfRule type="cellIs" dxfId="184" priority="4" stopIfTrue="1" operator="equal">
      <formula>0</formula>
    </cfRule>
  </conditionalFormatting>
  <conditionalFormatting sqref="T45">
    <cfRule type="cellIs" dxfId="183" priority="3" stopIfTrue="1" operator="equal">
      <formula>0</formula>
    </cfRule>
  </conditionalFormatting>
  <conditionalFormatting sqref="T45">
    <cfRule type="cellIs" dxfId="182" priority="2" stopIfTrue="1" operator="equal">
      <formula>0</formula>
    </cfRule>
  </conditionalFormatting>
  <conditionalFormatting sqref="T45">
    <cfRule type="cellIs" dxfId="181" priority="1" stopIfTrue="1" operator="equal">
      <formula>0</formula>
    </cfRule>
  </conditionalFormatting>
  <pageMargins left="0.7" right="0.7" top="0.75" bottom="0.75" header="0.3" footer="0.3"/>
  <pageSetup paperSize="9" scale="2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B77" zoomScale="70" zoomScaleNormal="70" workbookViewId="0">
      <selection activeCell="B77" sqref="A77:IV77"/>
    </sheetView>
  </sheetViews>
  <sheetFormatPr defaultRowHeight="15.75" x14ac:dyDescent="0.25"/>
  <cols>
    <col min="1" max="1" width="6.28515625" style="257" hidden="1" customWidth="1"/>
    <col min="2" max="2" width="7.425781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0" style="184" customWidth="1"/>
    <col min="7" max="7" width="18.5703125" style="184" customWidth="1"/>
    <col min="8" max="8" width="10.7109375" style="184" customWidth="1"/>
    <col min="9" max="9" width="9.140625" style="184" customWidth="1"/>
    <col min="10" max="12" width="9.140625" style="227" customWidth="1"/>
    <col min="13" max="13" width="16.5703125" style="228" customWidth="1"/>
    <col min="14" max="14" width="15.140625" style="264" customWidth="1"/>
    <col min="15" max="15" width="19.5703125" style="264" customWidth="1"/>
    <col min="16" max="17" width="11.85546875" style="264" customWidth="1"/>
    <col min="18" max="18" width="11.7109375" style="264" customWidth="1"/>
    <col min="19" max="19" width="16.7109375" style="264" customWidth="1"/>
    <col min="20" max="20" width="17.140625" style="264" customWidth="1"/>
    <col min="21" max="21" width="17.85546875" style="286" customWidth="1"/>
    <col min="22" max="22" width="15" style="134" customWidth="1"/>
    <col min="23" max="23" width="14" style="134" customWidth="1"/>
    <col min="24" max="24" width="9.140625" style="134" customWidth="1"/>
    <col min="25" max="25" width="18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3" style="134" customWidth="1"/>
    <col min="35" max="35" width="9.140625" style="134" customWidth="1"/>
    <col min="36" max="36" width="11.7109375" style="134" customWidth="1"/>
    <col min="37" max="42" width="9.140625" style="134" customWidth="1"/>
  </cols>
  <sheetData>
    <row r="1" spans="1:42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63" t="s">
        <v>17</v>
      </c>
      <c r="T1" s="363"/>
      <c r="U1" s="363"/>
      <c r="AO1"/>
      <c r="AP1"/>
    </row>
    <row r="2" spans="1:42" x14ac:dyDescent="0.25">
      <c r="B2" s="348" t="s">
        <v>327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  <c r="AO2"/>
      <c r="AP2"/>
    </row>
    <row r="3" spans="1:42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  <c r="AO3"/>
      <c r="AP3"/>
    </row>
    <row r="4" spans="1:42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  <c r="AO4"/>
      <c r="AP4"/>
    </row>
    <row r="5" spans="1:42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  <c r="AO5"/>
      <c r="AP5"/>
    </row>
    <row r="6" spans="1:42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  <c r="AO6"/>
      <c r="AP6"/>
    </row>
    <row r="7" spans="1:42" ht="16.5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64" t="s">
        <v>328</v>
      </c>
      <c r="Q7" s="365"/>
      <c r="R7" s="365"/>
      <c r="S7" s="365"/>
      <c r="T7" s="365"/>
      <c r="U7" s="366"/>
      <c r="AO7"/>
      <c r="AP7"/>
    </row>
    <row r="8" spans="1:42" ht="299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259" t="s">
        <v>15</v>
      </c>
      <c r="O8" s="274" t="s">
        <v>16</v>
      </c>
      <c r="P8" s="275" t="s">
        <v>11</v>
      </c>
      <c r="Q8" s="276" t="s">
        <v>12</v>
      </c>
      <c r="R8" s="259" t="s">
        <v>13</v>
      </c>
      <c r="S8" s="259" t="s">
        <v>14</v>
      </c>
      <c r="T8" s="259" t="s">
        <v>15</v>
      </c>
      <c r="U8" s="259" t="s">
        <v>16</v>
      </c>
      <c r="AO8"/>
      <c r="AP8"/>
    </row>
    <row r="9" spans="1:42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60">
        <f t="shared" si="0"/>
        <v>13</v>
      </c>
      <c r="O9" s="277">
        <f t="shared" si="0"/>
        <v>14</v>
      </c>
      <c r="P9" s="278">
        <f t="shared" si="0"/>
        <v>15</v>
      </c>
      <c r="Q9" s="279">
        <f t="shared" si="0"/>
        <v>16</v>
      </c>
      <c r="R9" s="260">
        <f t="shared" si="0"/>
        <v>17</v>
      </c>
      <c r="S9" s="260">
        <f t="shared" si="0"/>
        <v>18</v>
      </c>
      <c r="T9" s="280">
        <f t="shared" si="0"/>
        <v>19</v>
      </c>
      <c r="U9" s="260">
        <f t="shared" si="0"/>
        <v>20</v>
      </c>
      <c r="AO9"/>
      <c r="AP9"/>
    </row>
    <row r="10" spans="1:42" ht="31.5" x14ac:dyDescent="0.25">
      <c r="A10" s="257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46</v>
      </c>
      <c r="I10" s="266">
        <v>27</v>
      </c>
      <c r="J10" s="266">
        <v>30</v>
      </c>
      <c r="K10" s="209">
        <v>30</v>
      </c>
      <c r="L10" s="210">
        <v>29</v>
      </c>
      <c r="M10" s="211">
        <f>8818.63+2629.32+1661.28+2228.94+580+2232.29+5247.45</f>
        <v>23397.91</v>
      </c>
      <c r="N10" s="261">
        <f>8818.63+2629.32+1661.28+2228.94+580+2232.29</f>
        <v>18150.46</v>
      </c>
      <c r="O10" s="281">
        <f xml:space="preserve"> (M10-N10)</f>
        <v>5247.4500000000007</v>
      </c>
      <c r="P10" s="269">
        <v>8</v>
      </c>
      <c r="Q10" s="282">
        <v>8</v>
      </c>
      <c r="R10" s="271">
        <v>8</v>
      </c>
      <c r="S10" s="261">
        <f>4246.75+895.7+2557.8</f>
        <v>7700.25</v>
      </c>
      <c r="T10" s="261">
        <f>4246.75+895.7+2557.8</f>
        <v>7700.25</v>
      </c>
      <c r="U10" s="261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  <c r="AO10"/>
      <c r="AP10"/>
    </row>
    <row r="11" spans="1:42" ht="31.5" x14ac:dyDescent="0.25">
      <c r="A11" s="257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18</v>
      </c>
      <c r="I11" s="266">
        <v>13</v>
      </c>
      <c r="J11" s="266">
        <v>13</v>
      </c>
      <c r="K11" s="209">
        <v>13</v>
      </c>
      <c r="L11" s="210">
        <v>13</v>
      </c>
      <c r="M11" s="211">
        <f>1778.86+580+1740+464+580</f>
        <v>5142.8599999999997</v>
      </c>
      <c r="N11" s="261">
        <f>1778.86+580+1740+464+580</f>
        <v>5142.8599999999997</v>
      </c>
      <c r="O11" s="281">
        <f t="shared" ref="O11:O74" si="1" xml:space="preserve"> (M11-N11)</f>
        <v>0</v>
      </c>
      <c r="P11" s="269">
        <v>2</v>
      </c>
      <c r="Q11" s="282">
        <v>2</v>
      </c>
      <c r="R11" s="271">
        <v>2</v>
      </c>
      <c r="S11" s="261">
        <f>234.26+1035.3</f>
        <v>1269.56</v>
      </c>
      <c r="T11" s="261">
        <f>234.26+1035.3</f>
        <v>1269.56</v>
      </c>
      <c r="U11" s="261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  <c r="AO11"/>
      <c r="AP11"/>
    </row>
    <row r="12" spans="1:42" x14ac:dyDescent="0.25">
      <c r="A12" s="257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266"/>
      <c r="J12" s="266"/>
      <c r="K12" s="209"/>
      <c r="L12" s="210"/>
      <c r="M12" s="211"/>
      <c r="N12" s="261"/>
      <c r="O12" s="281">
        <f t="shared" si="1"/>
        <v>0</v>
      </c>
      <c r="P12" s="269">
        <v>3</v>
      </c>
      <c r="Q12" s="282">
        <v>3</v>
      </c>
      <c r="R12" s="271">
        <v>3</v>
      </c>
      <c r="S12" s="261">
        <v>8035.44</v>
      </c>
      <c r="T12" s="261">
        <v>8035.44</v>
      </c>
      <c r="U12" s="261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  <c r="AO12"/>
      <c r="AP12"/>
    </row>
    <row r="13" spans="1:42" ht="31.5" x14ac:dyDescent="0.25">
      <c r="A13" s="257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41</v>
      </c>
      <c r="I13" s="266">
        <v>27</v>
      </c>
      <c r="J13" s="266">
        <v>38</v>
      </c>
      <c r="K13" s="209">
        <v>37</v>
      </c>
      <c r="L13" s="210">
        <v>37</v>
      </c>
      <c r="M13" s="211">
        <f>272.84+2699.54+4096.17+3682.51+1608.75+939.54+8243.23</f>
        <v>21542.58</v>
      </c>
      <c r="N13" s="261">
        <f>272.84+2699.54+4096.17+939.54+5290.74</f>
        <v>13298.83</v>
      </c>
      <c r="O13" s="281">
        <f t="shared" si="1"/>
        <v>8243.7500000000018</v>
      </c>
      <c r="P13" s="269">
        <v>8</v>
      </c>
      <c r="Q13" s="282">
        <v>8</v>
      </c>
      <c r="R13" s="271">
        <v>8</v>
      </c>
      <c r="S13" s="261">
        <f>7385.53+1228.66+7042.2+301.46+2403.86</f>
        <v>18361.71</v>
      </c>
      <c r="T13" s="261">
        <f>7385.53+1228.66+7042.2+301.46</f>
        <v>15957.849999999999</v>
      </c>
      <c r="U13" s="261">
        <f t="shared" si="2"/>
        <v>2403.8600000000006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  <c r="AO13"/>
      <c r="AP13"/>
    </row>
    <row r="14" spans="1:42" ht="31.5" x14ac:dyDescent="0.25">
      <c r="A14" s="257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38</v>
      </c>
      <c r="I14" s="266">
        <v>24</v>
      </c>
      <c r="J14" s="266">
        <v>30</v>
      </c>
      <c r="K14" s="209">
        <v>30</v>
      </c>
      <c r="L14" s="210">
        <v>28</v>
      </c>
      <c r="M14" s="211">
        <f>4932.74+3257.04+137+2487.39+344.5+725+7097.92+895.7+6261.98</f>
        <v>26139.269999999997</v>
      </c>
      <c r="N14" s="261">
        <f>4932.74+3257.04+137+2487.39+344.5+725+14255.6</f>
        <v>26139.269999999997</v>
      </c>
      <c r="O14" s="281">
        <f t="shared" si="1"/>
        <v>0</v>
      </c>
      <c r="P14" s="269">
        <v>7</v>
      </c>
      <c r="Q14" s="282">
        <v>7</v>
      </c>
      <c r="R14" s="271">
        <v>6</v>
      </c>
      <c r="S14" s="261">
        <f>2847.1+1515.8</f>
        <v>4362.8999999999996</v>
      </c>
      <c r="T14" s="261">
        <f>2847.1+1515.8</f>
        <v>4362.8999999999996</v>
      </c>
      <c r="U14" s="261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  <c r="AO14"/>
      <c r="AP14"/>
    </row>
    <row r="15" spans="1:42" ht="31.5" x14ac:dyDescent="0.25">
      <c r="A15" s="257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38</v>
      </c>
      <c r="I15" s="266">
        <v>27</v>
      </c>
      <c r="J15" s="266">
        <v>32</v>
      </c>
      <c r="K15" s="209">
        <v>32</v>
      </c>
      <c r="L15" s="210">
        <v>32</v>
      </c>
      <c r="M15" s="211">
        <f>16942.87+1278.76+580+108.75+616.25+797.5+3011.31</f>
        <v>23335.439999999999</v>
      </c>
      <c r="N15" s="261">
        <f>16942.87+1278.76+580+108.75+1413.75</f>
        <v>20324.129999999997</v>
      </c>
      <c r="O15" s="281">
        <f t="shared" si="1"/>
        <v>3011.3100000000013</v>
      </c>
      <c r="P15" s="269">
        <v>16</v>
      </c>
      <c r="Q15" s="282">
        <v>16</v>
      </c>
      <c r="R15" s="271">
        <v>16</v>
      </c>
      <c r="S15" s="261">
        <f>13813.9+1491.1+372.78+454.21</f>
        <v>16131.99</v>
      </c>
      <c r="T15" s="261">
        <f>13813.9+1491.1+372.78</f>
        <v>15677.78</v>
      </c>
      <c r="U15" s="261">
        <f t="shared" si="2"/>
        <v>454.20999999999913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  <c r="AO15"/>
      <c r="AP15"/>
    </row>
    <row r="16" spans="1:42" ht="31.5" x14ac:dyDescent="0.25">
      <c r="A16" s="257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266"/>
      <c r="J16" s="266"/>
      <c r="K16" s="209"/>
      <c r="L16" s="210"/>
      <c r="M16" s="211"/>
      <c r="N16" s="261"/>
      <c r="O16" s="281">
        <f t="shared" si="1"/>
        <v>0</v>
      </c>
      <c r="P16" s="269"/>
      <c r="Q16" s="282"/>
      <c r="R16" s="271"/>
      <c r="S16" s="261"/>
      <c r="T16" s="261"/>
      <c r="U16" s="261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  <c r="AO16"/>
      <c r="AP16"/>
    </row>
    <row r="17" spans="1:42" ht="20.100000000000001" customHeight="1" x14ac:dyDescent="0.25">
      <c r="A17" s="257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51</v>
      </c>
      <c r="I17" s="266">
        <v>29</v>
      </c>
      <c r="J17" s="266">
        <v>36</v>
      </c>
      <c r="K17" s="209">
        <v>36</v>
      </c>
      <c r="L17" s="210">
        <v>34</v>
      </c>
      <c r="M17" s="211">
        <f>7235.14+4416.12+1559.66+658.56+1087.5+652.5+1377.5+1615.75+2829.41+7208.27</f>
        <v>28640.41</v>
      </c>
      <c r="N17" s="261">
        <f>7235.14+4416.12+1559.66+658.56+1087.5+6475.16</f>
        <v>21432.14</v>
      </c>
      <c r="O17" s="281">
        <f t="shared" si="1"/>
        <v>7208.27</v>
      </c>
      <c r="P17" s="269">
        <v>1</v>
      </c>
      <c r="Q17" s="282">
        <v>1</v>
      </c>
      <c r="R17" s="271">
        <v>1</v>
      </c>
      <c r="S17" s="261">
        <v>1033.5</v>
      </c>
      <c r="T17" s="261">
        <v>1033.5</v>
      </c>
      <c r="U17" s="261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257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38</v>
      </c>
      <c r="I18" s="266">
        <v>28</v>
      </c>
      <c r="J18" s="266">
        <v>37</v>
      </c>
      <c r="K18" s="210">
        <v>37</v>
      </c>
      <c r="L18" s="210">
        <v>34</v>
      </c>
      <c r="M18" s="211">
        <f>2118.92+12936.58+4403.89+2411.49+2972.12+403.47+2654.68+806.94+1188.45+2381.18</f>
        <v>32277.719999999998</v>
      </c>
      <c r="N18" s="261">
        <f>2118.92+12936.58+4403.89+2411.49+2972.12+403.4+4650.07</f>
        <v>29896.469999999998</v>
      </c>
      <c r="O18" s="281">
        <f t="shared" si="1"/>
        <v>2381.25</v>
      </c>
      <c r="P18" s="269">
        <v>7</v>
      </c>
      <c r="Q18" s="271">
        <v>7</v>
      </c>
      <c r="R18" s="271">
        <v>6</v>
      </c>
      <c r="S18" s="261">
        <f>14748.55+934.31</f>
        <v>15682.859999999999</v>
      </c>
      <c r="T18" s="261">
        <f>14748.55+934.31</f>
        <v>15682.859999999999</v>
      </c>
      <c r="U18" s="261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257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39</v>
      </c>
      <c r="I19" s="266">
        <v>21</v>
      </c>
      <c r="J19" s="266">
        <v>38</v>
      </c>
      <c r="K19" s="209">
        <v>38</v>
      </c>
      <c r="L19" s="210">
        <v>37</v>
      </c>
      <c r="M19" s="211">
        <f>28952.05+4575.16</f>
        <v>33527.21</v>
      </c>
      <c r="N19" s="261">
        <f>5345.36+3385.2+4242.79+7468.83+387.77+8122.1</f>
        <v>28952.050000000003</v>
      </c>
      <c r="O19" s="281">
        <f t="shared" si="1"/>
        <v>4575.1599999999962</v>
      </c>
      <c r="P19" s="269">
        <v>16</v>
      </c>
      <c r="Q19" s="282">
        <v>16</v>
      </c>
      <c r="R19" s="271">
        <v>16</v>
      </c>
      <c r="S19" s="261">
        <f>33206.03+1234.29</f>
        <v>34440.32</v>
      </c>
      <c r="T19" s="261">
        <f>12589.36+4299.58+3922.41+8458.25+3936.43</f>
        <v>33206.03</v>
      </c>
      <c r="U19" s="261">
        <f t="shared" si="2"/>
        <v>1234.2900000000009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257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53</v>
      </c>
      <c r="I20" s="266">
        <v>28</v>
      </c>
      <c r="J20" s="266">
        <v>43</v>
      </c>
      <c r="K20" s="210">
        <v>43</v>
      </c>
      <c r="L20" s="210">
        <v>40</v>
      </c>
      <c r="M20" s="211">
        <f>5728.14+3727.02+315.94+2507.59+652.5+2191.47+1855.28+358.88+2503.15+5297.67+1579.05+5739.83+1713.14</f>
        <v>34169.659999999996</v>
      </c>
      <c r="N20" s="261">
        <f>5728.14+3727.02+315.94+2507.59+652.5+2191.47+1855.28+2371.7+15119.7</f>
        <v>34469.339999999997</v>
      </c>
      <c r="O20" s="281">
        <f t="shared" si="1"/>
        <v>-299.68000000000029</v>
      </c>
      <c r="P20" s="269">
        <v>28</v>
      </c>
      <c r="Q20" s="271">
        <v>28</v>
      </c>
      <c r="R20" s="271">
        <v>28</v>
      </c>
      <c r="S20" s="261">
        <f>36404.57+1488.24+1902.09+2012.82</f>
        <v>41807.719999999994</v>
      </c>
      <c r="T20" s="261">
        <f>36404.57+1488.24+1902.09</f>
        <v>39794.899999999994</v>
      </c>
      <c r="U20" s="261">
        <f t="shared" si="2"/>
        <v>2012.8199999999997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257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27</v>
      </c>
      <c r="I21" s="266">
        <v>15</v>
      </c>
      <c r="J21" s="266">
        <v>20</v>
      </c>
      <c r="K21" s="209">
        <v>20</v>
      </c>
      <c r="L21" s="210">
        <v>20</v>
      </c>
      <c r="M21" s="211">
        <f>17955.67+413.4</f>
        <v>18369.07</v>
      </c>
      <c r="N21" s="261">
        <f>3586.84+1791.4+1337.88+413.4+1061.35+942.5+2425.9+6396.4</f>
        <v>17955.669999999998</v>
      </c>
      <c r="O21" s="281">
        <f t="shared" si="1"/>
        <v>413.40000000000146</v>
      </c>
      <c r="P21" s="269">
        <v>8</v>
      </c>
      <c r="Q21" s="282">
        <v>8</v>
      </c>
      <c r="R21" s="271">
        <v>8</v>
      </c>
      <c r="S21" s="261">
        <v>10636.43</v>
      </c>
      <c r="T21" s="261">
        <f>7288.02+447.62+2487.39+413.4</f>
        <v>10636.43</v>
      </c>
      <c r="U21" s="261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257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130</v>
      </c>
      <c r="I22" s="266">
        <v>97</v>
      </c>
      <c r="J22" s="266">
        <v>117</v>
      </c>
      <c r="K22" s="210">
        <v>117</v>
      </c>
      <c r="L22" s="210">
        <v>117</v>
      </c>
      <c r="M22" s="211">
        <f>19787.02+2513.73+2255.05+12081.39+6786.96+4545.76+7112.29+9234.79+3303.99+8290.91</f>
        <v>75911.890000000014</v>
      </c>
      <c r="N22" s="261">
        <f>19787.02+2513.73+2255.05+12081.39+6786.96+4545.76+19651.57</f>
        <v>67621.48000000001</v>
      </c>
      <c r="O22" s="281">
        <f t="shared" si="1"/>
        <v>8290.4100000000035</v>
      </c>
      <c r="P22" s="269">
        <v>26</v>
      </c>
      <c r="Q22" s="271">
        <v>26</v>
      </c>
      <c r="R22" s="271">
        <v>25</v>
      </c>
      <c r="S22" s="261">
        <f>24103.23+3334.5+1378+3155.14+1090.31</f>
        <v>33061.18</v>
      </c>
      <c r="T22" s="261">
        <f>24103.23+3334.5+1378+3155.14</f>
        <v>31970.87</v>
      </c>
      <c r="U22" s="261">
        <f t="shared" si="2"/>
        <v>1090.3100000000013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257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21</v>
      </c>
      <c r="I23" s="266">
        <v>15</v>
      </c>
      <c r="J23" s="266">
        <v>25</v>
      </c>
      <c r="K23" s="209">
        <v>25</v>
      </c>
      <c r="L23" s="210">
        <v>23</v>
      </c>
      <c r="M23" s="211">
        <f>5739.04+1828.05+1440.72+631.62+564.05+641.19+793.15+2475.51+1311.53+5430.51+1513.04</f>
        <v>22368.410000000003</v>
      </c>
      <c r="N23" s="261">
        <f>5739.04+1828.05+1440.72+631.62+564.05+641.19+793.15+3787.04</f>
        <v>15424.86</v>
      </c>
      <c r="O23" s="281">
        <f t="shared" si="1"/>
        <v>6943.5500000000029</v>
      </c>
      <c r="P23" s="269">
        <v>12</v>
      </c>
      <c r="Q23" s="282">
        <v>12</v>
      </c>
      <c r="R23" s="271">
        <v>12</v>
      </c>
      <c r="S23" s="261">
        <f>26607.02+6387.23</f>
        <v>32994.25</v>
      </c>
      <c r="T23" s="261">
        <f>26607.02+6387.23</f>
        <v>32994.25</v>
      </c>
      <c r="U23" s="261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257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24</v>
      </c>
      <c r="I24" s="266">
        <v>19</v>
      </c>
      <c r="J24" s="266">
        <v>22</v>
      </c>
      <c r="K24" s="209">
        <v>22</v>
      </c>
      <c r="L24" s="210">
        <v>22</v>
      </c>
      <c r="M24" s="211">
        <f>1515.11+3525.12+1811.05</f>
        <v>6851.28</v>
      </c>
      <c r="N24" s="261">
        <f>1515.11+3525.12+1811.05</f>
        <v>6851.28</v>
      </c>
      <c r="O24" s="281">
        <f t="shared" si="1"/>
        <v>0</v>
      </c>
      <c r="P24" s="269">
        <v>7</v>
      </c>
      <c r="Q24" s="282">
        <v>7</v>
      </c>
      <c r="R24" s="271">
        <v>7</v>
      </c>
      <c r="S24" s="261">
        <v>6720.87</v>
      </c>
      <c r="T24" s="261">
        <v>6720.87</v>
      </c>
      <c r="U24" s="261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257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45</v>
      </c>
      <c r="I25" s="266">
        <v>16</v>
      </c>
      <c r="J25" s="266">
        <v>37</v>
      </c>
      <c r="K25" s="210">
        <v>37</v>
      </c>
      <c r="L25" s="210">
        <v>37</v>
      </c>
      <c r="M25" s="211">
        <f>9005.69+15068.32+3714.72+1200.78+3057.6+836.9</f>
        <v>32884.01</v>
      </c>
      <c r="N25" s="261">
        <f>9005.69+15068.32+3714.72+1200.78</f>
        <v>28989.510000000002</v>
      </c>
      <c r="O25" s="281">
        <f t="shared" si="1"/>
        <v>3894.5</v>
      </c>
      <c r="P25" s="269">
        <v>22</v>
      </c>
      <c r="Q25" s="271">
        <v>22</v>
      </c>
      <c r="R25" s="271">
        <v>22</v>
      </c>
      <c r="S25" s="261">
        <f>24213.05+6197.08+341.06</f>
        <v>30751.19</v>
      </c>
      <c r="T25" s="261">
        <f>24213.05+6197.08+341.06</f>
        <v>30751.19</v>
      </c>
      <c r="U25" s="261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257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23</v>
      </c>
      <c r="I26" s="266">
        <v>11</v>
      </c>
      <c r="J26" s="266">
        <v>18</v>
      </c>
      <c r="K26" s="209">
        <v>18</v>
      </c>
      <c r="L26" s="210">
        <v>18</v>
      </c>
      <c r="M26" s="211">
        <f>3777.1+6399.51+6251.64+358.88</f>
        <v>16787.13</v>
      </c>
      <c r="N26" s="261">
        <f>3777.1+6399.51+6251.64+358.88</f>
        <v>16787.13</v>
      </c>
      <c r="O26" s="281">
        <f t="shared" si="1"/>
        <v>0</v>
      </c>
      <c r="P26" s="269">
        <v>12</v>
      </c>
      <c r="Q26" s="282">
        <v>12</v>
      </c>
      <c r="R26" s="271">
        <v>12</v>
      </c>
      <c r="S26" s="261">
        <f>3386.7+2140.45</f>
        <v>5527.15</v>
      </c>
      <c r="T26" s="261">
        <f>3386.7+2140.45</f>
        <v>5527.15</v>
      </c>
      <c r="U26" s="261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257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37</v>
      </c>
      <c r="I27" s="266">
        <v>23</v>
      </c>
      <c r="J27" s="266">
        <v>40</v>
      </c>
      <c r="K27" s="209">
        <v>40</v>
      </c>
      <c r="L27" s="210">
        <v>40</v>
      </c>
      <c r="M27" s="273">
        <f>24273.31+574.2</f>
        <v>24847.510000000002</v>
      </c>
      <c r="N27" s="261">
        <f>6801.73+4254.18+3948.81+757.9+1004.85+1005.5+5240.86+1259.48</f>
        <v>24273.309999999998</v>
      </c>
      <c r="O27" s="281">
        <f t="shared" si="1"/>
        <v>574.20000000000437</v>
      </c>
      <c r="P27" s="269">
        <v>14</v>
      </c>
      <c r="Q27" s="282">
        <v>14</v>
      </c>
      <c r="R27" s="271">
        <v>14</v>
      </c>
      <c r="S27" s="261">
        <v>13025.83</v>
      </c>
      <c r="T27" s="261">
        <f>12827.9+197.93</f>
        <v>13025.83</v>
      </c>
      <c r="U27" s="261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266"/>
      <c r="J28" s="266"/>
      <c r="K28" s="209"/>
      <c r="L28" s="210"/>
      <c r="M28" s="211"/>
      <c r="N28" s="261"/>
      <c r="O28" s="281">
        <f t="shared" si="1"/>
        <v>0</v>
      </c>
      <c r="P28" s="269"/>
      <c r="Q28" s="282"/>
      <c r="R28" s="271"/>
      <c r="S28" s="261"/>
      <c r="T28" s="261"/>
      <c r="U28" s="261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257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29</v>
      </c>
      <c r="I29" s="266">
        <v>26</v>
      </c>
      <c r="J29" s="266">
        <v>37</v>
      </c>
      <c r="K29" s="209">
        <v>36</v>
      </c>
      <c r="L29" s="210">
        <v>35</v>
      </c>
      <c r="M29" s="211">
        <f>7765.28+1107.91+3282.4+1320.23+1580.98+622.05+447.4+992.16+691.25+3323.84+3765.77</f>
        <v>24899.27</v>
      </c>
      <c r="N29" s="261">
        <f>7765.28+1107.91+3282.4+1320.23+1580.98+622.05+447.4+992.16+6148.74+1632.12</f>
        <v>24899.27</v>
      </c>
      <c r="O29" s="281">
        <f t="shared" si="1"/>
        <v>0</v>
      </c>
      <c r="P29" s="269">
        <v>14</v>
      </c>
      <c r="Q29" s="282">
        <v>14</v>
      </c>
      <c r="R29" s="271">
        <v>14</v>
      </c>
      <c r="S29" s="261">
        <f>15185.09+570.43</f>
        <v>15755.52</v>
      </c>
      <c r="T29" s="261">
        <f>15185.09+570.43</f>
        <v>15755.52</v>
      </c>
      <c r="U29" s="261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257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49</v>
      </c>
      <c r="I30" s="266">
        <v>39</v>
      </c>
      <c r="J30" s="266">
        <v>56</v>
      </c>
      <c r="K30" s="210">
        <v>56</v>
      </c>
      <c r="L30" s="210">
        <v>51</v>
      </c>
      <c r="M30" s="211">
        <v>38400.01</v>
      </c>
      <c r="N30" s="261">
        <f>5246.17+4965.96+1939.12+3762.43+2342.38+4011.61+2238.08+13894.26</f>
        <v>38400.01</v>
      </c>
      <c r="O30" s="281">
        <f t="shared" si="1"/>
        <v>0</v>
      </c>
      <c r="P30" s="269">
        <v>23</v>
      </c>
      <c r="Q30" s="271">
        <v>23</v>
      </c>
      <c r="R30" s="271">
        <v>23</v>
      </c>
      <c r="S30" s="261">
        <v>49912.160000000003</v>
      </c>
      <c r="T30" s="261">
        <f>39414.6+4786.67+1562.33+638.43+2216.93+1293.2</f>
        <v>49912.159999999996</v>
      </c>
      <c r="U30" s="261">
        <f t="shared" si="2"/>
        <v>7.2759576141834259E-12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257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266">
        <v>1</v>
      </c>
      <c r="J31" s="266">
        <v>2</v>
      </c>
      <c r="K31" s="209">
        <v>2</v>
      </c>
      <c r="L31" s="210">
        <v>2</v>
      </c>
      <c r="M31" s="211">
        <v>859.25</v>
      </c>
      <c r="N31" s="261">
        <v>859.25</v>
      </c>
      <c r="O31" s="281">
        <f t="shared" si="1"/>
        <v>0</v>
      </c>
      <c r="P31" s="269">
        <v>2</v>
      </c>
      <c r="Q31" s="282">
        <v>2</v>
      </c>
      <c r="R31" s="271">
        <v>2</v>
      </c>
      <c r="S31" s="261">
        <f>442.37+1014.7</f>
        <v>1457.0700000000002</v>
      </c>
      <c r="T31" s="261">
        <f>442.37+1014.7</f>
        <v>1457.0700000000002</v>
      </c>
      <c r="U31" s="261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/>
      <c r="I32" s="266"/>
      <c r="J32" s="266"/>
      <c r="K32" s="209"/>
      <c r="L32" s="210"/>
      <c r="M32" s="211"/>
      <c r="N32" s="261"/>
      <c r="O32" s="281">
        <f t="shared" si="1"/>
        <v>0</v>
      </c>
      <c r="P32" s="269"/>
      <c r="Q32" s="282"/>
      <c r="R32" s="271"/>
      <c r="S32" s="261"/>
      <c r="T32" s="261"/>
      <c r="U32" s="261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2" ht="31.5" x14ac:dyDescent="0.25">
      <c r="A33" s="257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15</v>
      </c>
      <c r="I33" s="266">
        <v>9</v>
      </c>
      <c r="J33" s="266">
        <v>12</v>
      </c>
      <c r="K33" s="209">
        <v>12</v>
      </c>
      <c r="L33" s="210">
        <v>12</v>
      </c>
      <c r="M33" s="211">
        <f>4065+2226.4+2915.4+290+826.8</f>
        <v>10323.599999999999</v>
      </c>
      <c r="N33" s="261">
        <f>4065+2226.4+2915.4+290+826.8</f>
        <v>10323.599999999999</v>
      </c>
      <c r="O33" s="281">
        <f t="shared" si="1"/>
        <v>0</v>
      </c>
      <c r="P33" s="269"/>
      <c r="Q33" s="282"/>
      <c r="R33" s="271"/>
      <c r="S33" s="261"/>
      <c r="T33" s="261"/>
      <c r="U33" s="261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  <c r="AO33"/>
      <c r="AP33"/>
    </row>
    <row r="34" spans="1:42" ht="31.5" x14ac:dyDescent="0.25">
      <c r="A34" s="257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266">
        <v>14</v>
      </c>
      <c r="J34" s="266">
        <v>22</v>
      </c>
      <c r="K34" s="209">
        <v>22</v>
      </c>
      <c r="L34" s="210">
        <v>22</v>
      </c>
      <c r="M34" s="211">
        <f>8742.16+2424.59+5870.23</f>
        <v>17036.98</v>
      </c>
      <c r="N34" s="261">
        <f>8742.16+2424.59+5870.23</f>
        <v>17036.98</v>
      </c>
      <c r="O34" s="281">
        <f t="shared" si="1"/>
        <v>0</v>
      </c>
      <c r="P34" s="269">
        <v>2</v>
      </c>
      <c r="Q34" s="282">
        <v>2</v>
      </c>
      <c r="R34" s="271">
        <v>2</v>
      </c>
      <c r="S34" s="261">
        <v>872.59</v>
      </c>
      <c r="T34" s="261">
        <v>872.59</v>
      </c>
      <c r="U34" s="261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  <c r="AO34"/>
      <c r="AP34"/>
    </row>
    <row r="35" spans="1:42" ht="31.5" x14ac:dyDescent="0.25">
      <c r="A35" s="257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16</v>
      </c>
      <c r="I35" s="266">
        <v>6</v>
      </c>
      <c r="J35" s="266">
        <v>12</v>
      </c>
      <c r="K35" s="209">
        <v>12</v>
      </c>
      <c r="L35" s="210">
        <v>12</v>
      </c>
      <c r="M35" s="211">
        <f>8755.24+1744.06</f>
        <v>10499.3</v>
      </c>
      <c r="N35" s="261">
        <f>8755.24+1744.06</f>
        <v>10499.3</v>
      </c>
      <c r="O35" s="281">
        <f t="shared" si="1"/>
        <v>0</v>
      </c>
      <c r="P35" s="269">
        <v>10</v>
      </c>
      <c r="Q35" s="282">
        <v>10</v>
      </c>
      <c r="R35" s="271">
        <v>10</v>
      </c>
      <c r="S35" s="261">
        <f>9249.99+1156.49</f>
        <v>10406.48</v>
      </c>
      <c r="T35" s="261">
        <f>9249.99+1156.49</f>
        <v>10406.48</v>
      </c>
      <c r="U35" s="261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  <c r="AO35"/>
      <c r="AP35"/>
    </row>
    <row r="36" spans="1:42" ht="31.5" x14ac:dyDescent="0.25">
      <c r="A36" s="257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26</v>
      </c>
      <c r="I36" s="266">
        <v>13</v>
      </c>
      <c r="J36" s="266">
        <v>16</v>
      </c>
      <c r="K36" s="209">
        <v>16</v>
      </c>
      <c r="L36" s="210">
        <v>16</v>
      </c>
      <c r="M36" s="211">
        <f>2360+2665.25+2800.06+3488.89+1050.79</f>
        <v>12364.989999999998</v>
      </c>
      <c r="N36" s="261">
        <f>2360+2665.25+2800.06+3488.89+1050.79</f>
        <v>12364.989999999998</v>
      </c>
      <c r="O36" s="281">
        <f t="shared" si="1"/>
        <v>0</v>
      </c>
      <c r="P36" s="269">
        <v>6</v>
      </c>
      <c r="Q36" s="282">
        <v>6</v>
      </c>
      <c r="R36" s="271">
        <v>6</v>
      </c>
      <c r="S36" s="261">
        <f>1436.08+3433.93+5939.33+1723.52</f>
        <v>12532.86</v>
      </c>
      <c r="T36" s="261">
        <f>1436.08+3433.93+5939.33+1723.52</f>
        <v>12532.86</v>
      </c>
      <c r="U36" s="261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  <c r="AO36"/>
      <c r="AP36"/>
    </row>
    <row r="37" spans="1:42" ht="31.5" x14ac:dyDescent="0.25">
      <c r="A37" s="257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23</v>
      </c>
      <c r="I37" s="266">
        <v>13</v>
      </c>
      <c r="J37" s="266">
        <v>18</v>
      </c>
      <c r="K37" s="209">
        <v>18</v>
      </c>
      <c r="L37" s="210">
        <v>18</v>
      </c>
      <c r="M37" s="211">
        <f>4126.56+990.2+862.75+145+358.88+1424.06+2121.03+507.5</f>
        <v>10535.980000000001</v>
      </c>
      <c r="N37" s="261">
        <f>4126.56+990.2+862.75+145+358.88+1424.06+2121.03+507.5</f>
        <v>10535.980000000001</v>
      </c>
      <c r="O37" s="281">
        <f t="shared" si="1"/>
        <v>0</v>
      </c>
      <c r="P37" s="269">
        <v>2</v>
      </c>
      <c r="Q37" s="282">
        <v>2</v>
      </c>
      <c r="R37" s="271">
        <v>2</v>
      </c>
      <c r="S37" s="261">
        <f>552.96+1556.69</f>
        <v>2109.65</v>
      </c>
      <c r="T37" s="261">
        <f>552.96+1556.69</f>
        <v>2109.65</v>
      </c>
      <c r="U37" s="261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  <c r="AO37"/>
      <c r="AP37"/>
    </row>
    <row r="38" spans="1:42" ht="31.5" x14ac:dyDescent="0.25">
      <c r="A38" s="257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97</v>
      </c>
      <c r="I38" s="266">
        <v>52</v>
      </c>
      <c r="J38" s="266">
        <v>74</v>
      </c>
      <c r="K38" s="209">
        <v>74</v>
      </c>
      <c r="L38" s="210">
        <v>74</v>
      </c>
      <c r="M38" s="211">
        <f>78646.37+5508.02</f>
        <v>84154.39</v>
      </c>
      <c r="N38" s="261">
        <f>18043.85+1739.74+12219.36+4084.73+2867.69+2388.56+1377.5+2533.95+33390.93</f>
        <v>78646.31</v>
      </c>
      <c r="O38" s="281">
        <f t="shared" si="1"/>
        <v>5508.0800000000017</v>
      </c>
      <c r="P38" s="269">
        <v>21</v>
      </c>
      <c r="Q38" s="282">
        <v>21</v>
      </c>
      <c r="R38" s="271">
        <v>21</v>
      </c>
      <c r="S38" s="261">
        <v>23775.77</v>
      </c>
      <c r="T38" s="261">
        <f>22326.77+417.74+1031.26</f>
        <v>23775.77</v>
      </c>
      <c r="U38" s="261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  <c r="AO38"/>
      <c r="AP38"/>
    </row>
    <row r="39" spans="1:42" ht="31.5" x14ac:dyDescent="0.25">
      <c r="A39" s="257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29</v>
      </c>
      <c r="I39" s="266">
        <v>16</v>
      </c>
      <c r="J39" s="266">
        <v>22</v>
      </c>
      <c r="K39" s="209">
        <v>22</v>
      </c>
      <c r="L39" s="210">
        <v>21</v>
      </c>
      <c r="M39" s="211">
        <f>4309.67+3353.38+84.05+2832.72+349.74+868+1575.33+360.5+3046.11</f>
        <v>16779.5</v>
      </c>
      <c r="N39" s="261">
        <f>4309.67+3353.38+84.05+2832.72+349.74+868+4981.94</f>
        <v>16779.5</v>
      </c>
      <c r="O39" s="281">
        <f t="shared" si="1"/>
        <v>0</v>
      </c>
      <c r="P39" s="269">
        <v>3</v>
      </c>
      <c r="Q39" s="282">
        <v>3</v>
      </c>
      <c r="R39" s="271">
        <v>3</v>
      </c>
      <c r="S39" s="261"/>
      <c r="T39" s="261"/>
      <c r="U39" s="261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  <c r="AO39"/>
      <c r="AP39"/>
    </row>
    <row r="40" spans="1:42" ht="31.5" x14ac:dyDescent="0.25">
      <c r="A40" s="257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12</v>
      </c>
      <c r="I40" s="266">
        <v>6</v>
      </c>
      <c r="J40" s="266">
        <v>7</v>
      </c>
      <c r="K40" s="209">
        <v>6</v>
      </c>
      <c r="L40" s="210">
        <v>6</v>
      </c>
      <c r="M40" s="211">
        <f>5430.01+287.1</f>
        <v>5717.1100000000006</v>
      </c>
      <c r="N40" s="261">
        <f>5430.01+287.1</f>
        <v>5717.1100000000006</v>
      </c>
      <c r="O40" s="281">
        <f t="shared" si="1"/>
        <v>0</v>
      </c>
      <c r="P40" s="269">
        <v>4</v>
      </c>
      <c r="Q40" s="282">
        <v>4</v>
      </c>
      <c r="R40" s="271">
        <v>4</v>
      </c>
      <c r="S40" s="261">
        <f>3996.7+1341.47+7404.94</f>
        <v>12743.11</v>
      </c>
      <c r="T40" s="261">
        <f>3996.7+1341.47+7404.94</f>
        <v>12743.11</v>
      </c>
      <c r="U40" s="261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  <c r="AO40"/>
      <c r="AP40"/>
    </row>
    <row r="41" spans="1:42" ht="31.5" x14ac:dyDescent="0.25">
      <c r="A41" s="257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32</v>
      </c>
      <c r="I41" s="266">
        <v>20</v>
      </c>
      <c r="J41" s="266">
        <v>22</v>
      </c>
      <c r="K41" s="209">
        <v>22</v>
      </c>
      <c r="L41" s="210">
        <v>22</v>
      </c>
      <c r="M41" s="211">
        <f>4892.78+1033.5+545.69+1551.08+3520.24+1598.15</f>
        <v>13141.439999999999</v>
      </c>
      <c r="N41" s="261">
        <f>4892.78+1033.5+545.69+1551.08+3520.24</f>
        <v>11543.289999999999</v>
      </c>
      <c r="O41" s="281">
        <f t="shared" si="1"/>
        <v>1598.1499999999996</v>
      </c>
      <c r="P41" s="269">
        <v>4</v>
      </c>
      <c r="Q41" s="282">
        <v>4</v>
      </c>
      <c r="R41" s="271">
        <v>4</v>
      </c>
      <c r="S41" s="261">
        <f>1842.88+373.68</f>
        <v>2216.56</v>
      </c>
      <c r="T41" s="261">
        <f>1842.88+373.68</f>
        <v>2216.56</v>
      </c>
      <c r="U41" s="261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  <c r="AO41"/>
      <c r="AP41"/>
    </row>
    <row r="42" spans="1:42" ht="31.5" x14ac:dyDescent="0.25">
      <c r="A42" s="257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16</v>
      </c>
      <c r="I42" s="266">
        <v>7</v>
      </c>
      <c r="J42" s="266">
        <v>12</v>
      </c>
      <c r="K42" s="209">
        <v>12</v>
      </c>
      <c r="L42" s="210">
        <v>12</v>
      </c>
      <c r="M42" s="211">
        <f>5095.29+1605.75+430.65+529.04+145+1216.34</f>
        <v>9022.07</v>
      </c>
      <c r="N42" s="261">
        <f>5095.29+1605.75+430.65+529.04+1361.34</f>
        <v>9022.07</v>
      </c>
      <c r="O42" s="281">
        <f t="shared" si="1"/>
        <v>0</v>
      </c>
      <c r="P42" s="269">
        <v>5</v>
      </c>
      <c r="Q42" s="282">
        <v>5</v>
      </c>
      <c r="R42" s="271">
        <v>5</v>
      </c>
      <c r="S42" s="261">
        <v>5832.14</v>
      </c>
      <c r="T42" s="261">
        <v>5832.14</v>
      </c>
      <c r="U42" s="261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  <c r="AO42"/>
      <c r="AP42"/>
    </row>
    <row r="43" spans="1:42" ht="31.5" x14ac:dyDescent="0.25">
      <c r="A43" s="257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25</v>
      </c>
      <c r="I43" s="266">
        <v>14</v>
      </c>
      <c r="J43" s="266">
        <v>24</v>
      </c>
      <c r="K43" s="209">
        <v>24</v>
      </c>
      <c r="L43" s="210">
        <v>24</v>
      </c>
      <c r="M43" s="211">
        <f>28407.24+4596.5+580</f>
        <v>33583.740000000005</v>
      </c>
      <c r="N43" s="261">
        <f>1949.94+11241.95+1670.56+979+622.78+145+551.2+2279.66+8967.15</f>
        <v>28407.239999999998</v>
      </c>
      <c r="O43" s="281">
        <f t="shared" si="1"/>
        <v>5176.5000000000073</v>
      </c>
      <c r="P43" s="269">
        <v>7</v>
      </c>
      <c r="Q43" s="282">
        <v>7</v>
      </c>
      <c r="R43" s="271">
        <v>7</v>
      </c>
      <c r="S43" s="261">
        <v>7539.4</v>
      </c>
      <c r="T43" s="261">
        <v>7539.4</v>
      </c>
      <c r="U43" s="261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  <c r="AO43"/>
      <c r="AP43"/>
    </row>
    <row r="44" spans="1:42" ht="31.5" x14ac:dyDescent="0.25">
      <c r="A44" s="257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14</v>
      </c>
      <c r="I44" s="266">
        <v>10</v>
      </c>
      <c r="J44" s="266">
        <v>16</v>
      </c>
      <c r="K44" s="209">
        <v>16</v>
      </c>
      <c r="L44" s="210">
        <v>16</v>
      </c>
      <c r="M44" s="211">
        <v>22500.73</v>
      </c>
      <c r="N44" s="261">
        <f>9600.95+145+2182.75+7980.88+580+287.1+1724.05</f>
        <v>22500.73</v>
      </c>
      <c r="O44" s="281">
        <f t="shared" si="1"/>
        <v>0</v>
      </c>
      <c r="P44" s="269">
        <v>10</v>
      </c>
      <c r="Q44" s="282">
        <v>10</v>
      </c>
      <c r="R44" s="271">
        <v>10</v>
      </c>
      <c r="S44" s="261">
        <f>3997.92+850.65+4367.7+2262.73+189.48+1019.96</f>
        <v>12688.439999999999</v>
      </c>
      <c r="T44" s="261">
        <f>3997.92+850.65+4367.7+2262.73+189.48+1019.96</f>
        <v>12688.439999999999</v>
      </c>
      <c r="U44" s="261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  <c r="AO44"/>
      <c r="AP44"/>
    </row>
    <row r="45" spans="1:42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266"/>
      <c r="J45" s="266"/>
      <c r="K45" s="209"/>
      <c r="L45" s="210"/>
      <c r="M45" s="211"/>
      <c r="N45" s="261"/>
      <c r="O45" s="281">
        <f t="shared" si="1"/>
        <v>0</v>
      </c>
      <c r="P45" s="269"/>
      <c r="Q45" s="282"/>
      <c r="R45" s="271"/>
      <c r="S45" s="261"/>
      <c r="T45" s="261"/>
      <c r="U45" s="261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  <c r="AO45"/>
      <c r="AP45"/>
    </row>
    <row r="46" spans="1:42" ht="31.5" x14ac:dyDescent="0.25">
      <c r="A46" s="257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21</v>
      </c>
      <c r="I46" s="266">
        <v>14</v>
      </c>
      <c r="J46" s="266">
        <v>19</v>
      </c>
      <c r="K46" s="209">
        <v>19</v>
      </c>
      <c r="L46" s="210">
        <v>19</v>
      </c>
      <c r="M46" s="211">
        <f>7372.32+580</f>
        <v>7952.32</v>
      </c>
      <c r="N46" s="261">
        <f>1290.6+2343.84+935.25+2802.63</f>
        <v>7372.3200000000006</v>
      </c>
      <c r="O46" s="281">
        <f t="shared" si="1"/>
        <v>579.99999999999909</v>
      </c>
      <c r="P46" s="269">
        <v>2</v>
      </c>
      <c r="Q46" s="282">
        <v>2</v>
      </c>
      <c r="R46" s="271">
        <v>2</v>
      </c>
      <c r="S46" s="261">
        <v>12091.23</v>
      </c>
      <c r="T46" s="261">
        <v>12091.23</v>
      </c>
      <c r="U46" s="261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  <c r="AO46"/>
      <c r="AP46"/>
    </row>
    <row r="47" spans="1:42" ht="31.5" x14ac:dyDescent="0.25">
      <c r="A47" s="257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69</v>
      </c>
      <c r="I47" s="266">
        <v>35</v>
      </c>
      <c r="J47" s="266">
        <v>48</v>
      </c>
      <c r="K47" s="209">
        <v>46</v>
      </c>
      <c r="L47" s="210">
        <v>44</v>
      </c>
      <c r="M47" s="211">
        <f>28405.79+645.98</f>
        <v>29051.77</v>
      </c>
      <c r="N47" s="261">
        <f>9335.56+3507.6+826.8+2284.16+1015+1378+10058.67</f>
        <v>28405.79</v>
      </c>
      <c r="O47" s="281">
        <f t="shared" si="1"/>
        <v>645.97999999999956</v>
      </c>
      <c r="P47" s="269">
        <v>3</v>
      </c>
      <c r="Q47" s="282">
        <v>3</v>
      </c>
      <c r="R47" s="271">
        <v>3</v>
      </c>
      <c r="S47" s="261">
        <f>1209.11+1311.53</f>
        <v>2520.64</v>
      </c>
      <c r="T47" s="261">
        <v>1209.1099999999999</v>
      </c>
      <c r="U47" s="261">
        <f t="shared" si="2"/>
        <v>1311.53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  <c r="AO47"/>
      <c r="AP47"/>
    </row>
    <row r="48" spans="1:42" ht="31.5" x14ac:dyDescent="0.25">
      <c r="A48" s="257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21</v>
      </c>
      <c r="I48" s="266">
        <v>9</v>
      </c>
      <c r="J48" s="266">
        <v>12</v>
      </c>
      <c r="K48" s="209">
        <v>12</v>
      </c>
      <c r="L48" s="210">
        <v>12</v>
      </c>
      <c r="M48" s="211">
        <f>8890.84+1828.05+435+2479.5</f>
        <v>13633.39</v>
      </c>
      <c r="N48" s="261">
        <f>8890.84+1828.05+435+2479.5</f>
        <v>13633.39</v>
      </c>
      <c r="O48" s="281">
        <f t="shared" si="1"/>
        <v>0</v>
      </c>
      <c r="P48" s="269">
        <v>3</v>
      </c>
      <c r="Q48" s="282">
        <v>3</v>
      </c>
      <c r="R48" s="271">
        <v>3</v>
      </c>
      <c r="S48" s="261">
        <f>2800.4+5022.92</f>
        <v>7823.32</v>
      </c>
      <c r="T48" s="261">
        <f>2800.4+5022.92</f>
        <v>7823.32</v>
      </c>
      <c r="U48" s="261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  <c r="AO48"/>
      <c r="AP48"/>
    </row>
    <row r="49" spans="1:42" ht="31.5" x14ac:dyDescent="0.25">
      <c r="A49" s="257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22</v>
      </c>
      <c r="I49" s="266">
        <v>12</v>
      </c>
      <c r="J49" s="266">
        <v>17</v>
      </c>
      <c r="K49" s="209">
        <v>17</v>
      </c>
      <c r="L49" s="210">
        <v>17</v>
      </c>
      <c r="M49" s="211">
        <v>9124.73</v>
      </c>
      <c r="N49" s="261">
        <f>1831.71+137.8+1816.78+290+420.6+3530.17</f>
        <v>8027.06</v>
      </c>
      <c r="O49" s="281">
        <f t="shared" si="1"/>
        <v>1097.6699999999992</v>
      </c>
      <c r="P49" s="269">
        <v>10</v>
      </c>
      <c r="Q49" s="282">
        <v>10</v>
      </c>
      <c r="R49" s="271">
        <v>10</v>
      </c>
      <c r="S49" s="261">
        <f>8296.23+1378+5368+1032.31</f>
        <v>16074.539999999999</v>
      </c>
      <c r="T49" s="261">
        <f>8296.23+1378+5368+1032.31</f>
        <v>16074.539999999999</v>
      </c>
      <c r="U49" s="261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  <c r="AO49"/>
      <c r="AP49"/>
    </row>
    <row r="50" spans="1:42" ht="31.5" x14ac:dyDescent="0.25">
      <c r="A50" s="257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31</v>
      </c>
      <c r="I50" s="266">
        <v>19</v>
      </c>
      <c r="J50" s="266">
        <v>22</v>
      </c>
      <c r="K50" s="209">
        <v>22</v>
      </c>
      <c r="L50" s="210">
        <v>22</v>
      </c>
      <c r="M50" s="211">
        <f>8308.92+786.44+453+302+1256.5+1232.5+2227.2</f>
        <v>14566.560000000001</v>
      </c>
      <c r="N50" s="261">
        <f>8308.92+786.44+453+302+1256.5+1232.5</f>
        <v>12339.36</v>
      </c>
      <c r="O50" s="281">
        <f t="shared" si="1"/>
        <v>2227.2000000000007</v>
      </c>
      <c r="P50" s="269">
        <v>6</v>
      </c>
      <c r="Q50" s="282">
        <v>6</v>
      </c>
      <c r="R50" s="271">
        <v>6</v>
      </c>
      <c r="S50" s="261">
        <f>2457.28+1725.6+5017.9+1584.7</f>
        <v>10785.48</v>
      </c>
      <c r="T50" s="261">
        <f>2457.28+1725.6+5017.9+1584.7</f>
        <v>10785.48</v>
      </c>
      <c r="U50" s="261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  <c r="AO50"/>
      <c r="AP50"/>
    </row>
    <row r="51" spans="1:42" ht="31.5" x14ac:dyDescent="0.25">
      <c r="A51" s="257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33</v>
      </c>
      <c r="I51" s="266">
        <v>17</v>
      </c>
      <c r="J51" s="266">
        <v>19</v>
      </c>
      <c r="K51" s="209">
        <v>19</v>
      </c>
      <c r="L51" s="210">
        <v>19</v>
      </c>
      <c r="M51" s="211">
        <f>11276.82+870</f>
        <v>12146.82</v>
      </c>
      <c r="N51" s="261">
        <f>5580.75+571.11+696.2+574.2+408.03+1234.53+1446.9+1635.1</f>
        <v>12146.82</v>
      </c>
      <c r="O51" s="281">
        <f t="shared" si="1"/>
        <v>0</v>
      </c>
      <c r="P51" s="269">
        <v>1</v>
      </c>
      <c r="Q51" s="282">
        <v>1</v>
      </c>
      <c r="R51" s="271">
        <v>1</v>
      </c>
      <c r="S51" s="261">
        <f>728.15</f>
        <v>728.15</v>
      </c>
      <c r="T51" s="261">
        <f>728.15</f>
        <v>728.15</v>
      </c>
      <c r="U51" s="261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  <c r="AO51"/>
      <c r="AP51"/>
    </row>
    <row r="52" spans="1:42" ht="31.5" x14ac:dyDescent="0.25">
      <c r="A52" s="257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25</v>
      </c>
      <c r="I52" s="266">
        <v>16</v>
      </c>
      <c r="J52" s="266">
        <v>19</v>
      </c>
      <c r="K52" s="209">
        <v>19</v>
      </c>
      <c r="L52" s="210">
        <v>18</v>
      </c>
      <c r="M52" s="211">
        <f>10557.44+145</f>
        <v>10702.44</v>
      </c>
      <c r="N52" s="261">
        <f>3782.6+430.65+1221.61+2194.55+3073.03</f>
        <v>10702.44</v>
      </c>
      <c r="O52" s="281">
        <f t="shared" si="1"/>
        <v>0</v>
      </c>
      <c r="P52" s="269">
        <v>11</v>
      </c>
      <c r="Q52" s="282">
        <v>11</v>
      </c>
      <c r="R52" s="271">
        <v>10</v>
      </c>
      <c r="S52" s="261">
        <f>1535.39+1035.3+828.82+12756.45+716.22</f>
        <v>16872.18</v>
      </c>
      <c r="T52" s="261">
        <f>1535.39+1035.3+828.82+12756.45+716.22</f>
        <v>16872.18</v>
      </c>
      <c r="U52" s="261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  <c r="AO52"/>
      <c r="AP52"/>
    </row>
    <row r="53" spans="1:42" ht="31.5" x14ac:dyDescent="0.25">
      <c r="A53" s="257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17</v>
      </c>
      <c r="I53" s="266">
        <v>4</v>
      </c>
      <c r="J53" s="266">
        <v>4</v>
      </c>
      <c r="K53" s="209">
        <v>4</v>
      </c>
      <c r="L53" s="210">
        <v>4</v>
      </c>
      <c r="M53" s="211">
        <f>1102.4+328.37+1595</f>
        <v>3025.77</v>
      </c>
      <c r="N53" s="261">
        <f>1102.4+328.37+1595</f>
        <v>3025.77</v>
      </c>
      <c r="O53" s="281">
        <f t="shared" si="1"/>
        <v>0</v>
      </c>
      <c r="P53" s="269">
        <v>2</v>
      </c>
      <c r="Q53" s="282">
        <v>2</v>
      </c>
      <c r="R53" s="271">
        <v>2</v>
      </c>
      <c r="S53" s="261">
        <v>688</v>
      </c>
      <c r="T53" s="261">
        <v>688</v>
      </c>
      <c r="U53" s="261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  <c r="AO53"/>
      <c r="AP53"/>
    </row>
    <row r="54" spans="1:42" ht="31.5" x14ac:dyDescent="0.25">
      <c r="A54" s="257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130</v>
      </c>
      <c r="I54" s="266">
        <v>106</v>
      </c>
      <c r="J54" s="266">
        <v>137</v>
      </c>
      <c r="K54" s="209">
        <v>137</v>
      </c>
      <c r="L54" s="210">
        <v>125</v>
      </c>
      <c r="M54" s="211">
        <f>12031.27+4728.85+7137.01+1218+507+4175.93+5308.12+6184.37+6281.56+3934.58+7806.06</f>
        <v>59312.750000000007</v>
      </c>
      <c r="N54" s="261">
        <f>12031.27+4728.85+7137.01+1218+507+4175.93+5308.12+16400.51</f>
        <v>51506.69</v>
      </c>
      <c r="O54" s="281">
        <f t="shared" si="1"/>
        <v>7806.0600000000049</v>
      </c>
      <c r="P54" s="269">
        <v>17</v>
      </c>
      <c r="Q54" s="282">
        <v>17</v>
      </c>
      <c r="R54" s="271">
        <v>17</v>
      </c>
      <c r="S54" s="261">
        <f>9629.72+1321.59</f>
        <v>10951.31</v>
      </c>
      <c r="T54" s="261">
        <f>9629.72+1321.59</f>
        <v>10951.31</v>
      </c>
      <c r="U54" s="261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  <c r="AO54"/>
      <c r="AP54"/>
    </row>
    <row r="55" spans="1:42" ht="31.5" x14ac:dyDescent="0.25">
      <c r="A55" s="257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8</v>
      </c>
      <c r="I55" s="266">
        <v>3</v>
      </c>
      <c r="J55" s="266">
        <v>4</v>
      </c>
      <c r="K55" s="209">
        <v>4</v>
      </c>
      <c r="L55" s="210">
        <v>4</v>
      </c>
      <c r="M55" s="211">
        <v>8188.55</v>
      </c>
      <c r="N55" s="261">
        <v>8188.55</v>
      </c>
      <c r="O55" s="281">
        <f t="shared" si="1"/>
        <v>0</v>
      </c>
      <c r="P55" s="269">
        <v>3</v>
      </c>
      <c r="Q55" s="282">
        <v>3</v>
      </c>
      <c r="R55" s="271">
        <v>3</v>
      </c>
      <c r="S55" s="261">
        <f>757.9+1321.55+620.1</f>
        <v>2699.5499999999997</v>
      </c>
      <c r="T55" s="261">
        <f>757.9+1321.55+620.1</f>
        <v>2699.5499999999997</v>
      </c>
      <c r="U55" s="261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  <c r="AO55"/>
      <c r="AP55"/>
    </row>
    <row r="56" spans="1:42" ht="31.5" x14ac:dyDescent="0.25">
      <c r="A56" s="257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72</v>
      </c>
      <c r="I56" s="266">
        <v>47</v>
      </c>
      <c r="J56" s="266">
        <v>70</v>
      </c>
      <c r="K56" s="209">
        <v>70</v>
      </c>
      <c r="L56" s="210">
        <v>68</v>
      </c>
      <c r="M56" s="211">
        <f>70230.75+4017.1</f>
        <v>74247.850000000006</v>
      </c>
      <c r="N56" s="261">
        <f>13145.7+14183.3+726.22+3195.47+5181.98+1425.26+6804.83+1811+6356.42-6356.42+1423.76+3508.9+18824.23</f>
        <v>70230.650000000009</v>
      </c>
      <c r="O56" s="281">
        <f t="shared" si="1"/>
        <v>4017.1999999999971</v>
      </c>
      <c r="P56" s="269">
        <v>35</v>
      </c>
      <c r="Q56" s="282">
        <v>35</v>
      </c>
      <c r="R56" s="271">
        <v>32</v>
      </c>
      <c r="S56" s="261">
        <f>53733.15+4264.52</f>
        <v>57997.67</v>
      </c>
      <c r="T56" s="261">
        <f>53733.15+4264.52</f>
        <v>57997.67</v>
      </c>
      <c r="U56" s="261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  <c r="AO56"/>
      <c r="AP56"/>
    </row>
    <row r="57" spans="1:42" ht="31.5" x14ac:dyDescent="0.25">
      <c r="A57" s="257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266">
        <v>11</v>
      </c>
      <c r="J57" s="266">
        <v>12</v>
      </c>
      <c r="K57" s="209">
        <v>11</v>
      </c>
      <c r="L57" s="210">
        <v>11</v>
      </c>
      <c r="M57" s="211">
        <f>1200.96+483.68</f>
        <v>1684.64</v>
      </c>
      <c r="N57" s="261">
        <f>1200.96+483.68</f>
        <v>1684.64</v>
      </c>
      <c r="O57" s="281">
        <f t="shared" si="1"/>
        <v>0</v>
      </c>
      <c r="P57" s="269"/>
      <c r="Q57" s="282"/>
      <c r="R57" s="271"/>
      <c r="S57" s="261"/>
      <c r="T57" s="261"/>
      <c r="U57" s="261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  <c r="AO57"/>
      <c r="AP57"/>
    </row>
    <row r="58" spans="1:42" ht="31.5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266"/>
      <c r="J58" s="266"/>
      <c r="K58" s="209"/>
      <c r="L58" s="210"/>
      <c r="M58" s="211"/>
      <c r="N58" s="261"/>
      <c r="O58" s="281">
        <f t="shared" si="1"/>
        <v>0</v>
      </c>
      <c r="P58" s="269">
        <v>1</v>
      </c>
      <c r="Q58" s="282">
        <v>1</v>
      </c>
      <c r="R58" s="271">
        <v>1</v>
      </c>
      <c r="S58" s="261">
        <v>548.1</v>
      </c>
      <c r="T58" s="261">
        <v>548.1</v>
      </c>
      <c r="U58" s="261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  <c r="AO58"/>
      <c r="AP58"/>
    </row>
    <row r="59" spans="1:42" ht="31.5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266"/>
      <c r="J59" s="266"/>
      <c r="K59" s="209"/>
      <c r="L59" s="210"/>
      <c r="M59" s="211"/>
      <c r="N59" s="261"/>
      <c r="O59" s="281">
        <f t="shared" si="1"/>
        <v>0</v>
      </c>
      <c r="P59" s="269"/>
      <c r="Q59" s="282"/>
      <c r="R59" s="271"/>
      <c r="S59" s="261"/>
      <c r="T59" s="261"/>
      <c r="U59" s="261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  <c r="AO59"/>
      <c r="AP59"/>
    </row>
    <row r="60" spans="1:42" ht="31.5" x14ac:dyDescent="0.25">
      <c r="A60" s="257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68</v>
      </c>
      <c r="I60" s="266">
        <v>40</v>
      </c>
      <c r="J60" s="266">
        <v>57</v>
      </c>
      <c r="K60" s="209">
        <v>56</v>
      </c>
      <c r="L60" s="210">
        <v>55</v>
      </c>
      <c r="M60" s="211">
        <f>55405.35+5285.07</f>
        <v>60690.42</v>
      </c>
      <c r="N60" s="261">
        <f>19657.67+3859.57+3638.88+11285.84+2356.7+1870.22+2374.32+10362.15</f>
        <v>55405.35</v>
      </c>
      <c r="O60" s="281">
        <f t="shared" si="1"/>
        <v>5285.07</v>
      </c>
      <c r="P60" s="269">
        <v>7</v>
      </c>
      <c r="Q60" s="282">
        <v>7</v>
      </c>
      <c r="R60" s="271">
        <v>7</v>
      </c>
      <c r="S60" s="261">
        <f>7737.36+1404.36</f>
        <v>9141.7199999999993</v>
      </c>
      <c r="T60" s="261">
        <f>7737.36+1404.36</f>
        <v>9141.7199999999993</v>
      </c>
      <c r="U60" s="261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  <c r="AO60"/>
      <c r="AP60"/>
    </row>
    <row r="61" spans="1:42" ht="31.5" x14ac:dyDescent="0.25">
      <c r="A61" s="257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33</v>
      </c>
      <c r="I61" s="266">
        <v>19</v>
      </c>
      <c r="J61" s="266">
        <v>28</v>
      </c>
      <c r="K61" s="209">
        <v>28</v>
      </c>
      <c r="L61" s="210">
        <v>28</v>
      </c>
      <c r="M61" s="211">
        <f>3986.21+989.8+3814.75+1492.92+2107.58+1990.86+3001.41+1940.89+2035.8+3262.5</f>
        <v>24622.719999999998</v>
      </c>
      <c r="N61" s="261">
        <f>3986.21+989.8+3814.75+1492.92+2107.58+1990.86+6978.1</f>
        <v>21360.22</v>
      </c>
      <c r="O61" s="281">
        <f t="shared" si="1"/>
        <v>3262.4999999999964</v>
      </c>
      <c r="P61" s="269"/>
      <c r="Q61" s="282"/>
      <c r="R61" s="271"/>
      <c r="S61" s="261"/>
      <c r="T61" s="261"/>
      <c r="U61" s="261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  <c r="AO61"/>
      <c r="AP61"/>
    </row>
    <row r="62" spans="1:42" ht="31.5" x14ac:dyDescent="0.25">
      <c r="A62" s="257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20</v>
      </c>
      <c r="I62" s="266">
        <v>11</v>
      </c>
      <c r="J62" s="266">
        <v>24</v>
      </c>
      <c r="K62" s="209">
        <v>22</v>
      </c>
      <c r="L62" s="210">
        <v>22</v>
      </c>
      <c r="M62" s="211">
        <v>17435.95</v>
      </c>
      <c r="N62" s="261">
        <f>1263.45+2111.32+5011.35+4260.64+1528.29+5889.19</f>
        <v>20064.240000000002</v>
      </c>
      <c r="O62" s="281">
        <f t="shared" si="1"/>
        <v>-2628.2900000000009</v>
      </c>
      <c r="P62" s="269">
        <v>9</v>
      </c>
      <c r="Q62" s="282">
        <v>9</v>
      </c>
      <c r="R62" s="271">
        <v>9</v>
      </c>
      <c r="S62" s="261">
        <v>7582.54</v>
      </c>
      <c r="T62" s="261">
        <f>740.14+4736.32+1528.26</f>
        <v>7004.72</v>
      </c>
      <c r="U62" s="261">
        <f t="shared" si="2"/>
        <v>577.81999999999971</v>
      </c>
      <c r="V62" s="161"/>
      <c r="AO62"/>
      <c r="AP62"/>
    </row>
    <row r="63" spans="1:42" ht="31.5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266"/>
      <c r="J63" s="266"/>
      <c r="K63" s="209"/>
      <c r="L63" s="210"/>
      <c r="M63" s="211"/>
      <c r="N63" s="261"/>
      <c r="O63" s="281">
        <f t="shared" si="1"/>
        <v>0</v>
      </c>
      <c r="P63" s="269">
        <v>29</v>
      </c>
      <c r="Q63" s="282">
        <v>29</v>
      </c>
      <c r="R63" s="271">
        <v>29</v>
      </c>
      <c r="S63" s="261">
        <f>9392.68+482.3+2027.39</f>
        <v>11902.369999999999</v>
      </c>
      <c r="T63" s="261">
        <f>9392.68+482.3+2027.39</f>
        <v>11902.369999999999</v>
      </c>
      <c r="U63" s="261">
        <f t="shared" si="2"/>
        <v>0</v>
      </c>
      <c r="V63" s="161"/>
      <c r="AO63"/>
      <c r="AP63"/>
    </row>
    <row r="64" spans="1:42" ht="31.5" x14ac:dyDescent="0.25">
      <c r="A64" s="257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53</v>
      </c>
      <c r="I64" s="266">
        <v>23</v>
      </c>
      <c r="J64" s="266">
        <v>25</v>
      </c>
      <c r="K64" s="209">
        <v>24</v>
      </c>
      <c r="L64" s="210">
        <v>24</v>
      </c>
      <c r="M64" s="211">
        <f>20270.52+2756</f>
        <v>23026.52</v>
      </c>
      <c r="N64" s="261">
        <f>6496.16+4335.01+2477.65+2687.1+609</f>
        <v>16604.919999999998</v>
      </c>
      <c r="O64" s="281">
        <f t="shared" si="1"/>
        <v>6421.6000000000022</v>
      </c>
      <c r="P64" s="269">
        <v>12</v>
      </c>
      <c r="Q64" s="282">
        <v>12</v>
      </c>
      <c r="R64" s="271">
        <v>12</v>
      </c>
      <c r="S64" s="261">
        <f>6866.56+548.1</f>
        <v>7414.6600000000008</v>
      </c>
      <c r="T64" s="261">
        <f>6866.56+548.1</f>
        <v>7414.6600000000008</v>
      </c>
      <c r="U64" s="261">
        <f t="shared" si="2"/>
        <v>0</v>
      </c>
      <c r="V64" s="161"/>
      <c r="AO64"/>
      <c r="AP64"/>
    </row>
    <row r="65" spans="1:42" ht="31.5" x14ac:dyDescent="0.25">
      <c r="A65" s="257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64</v>
      </c>
      <c r="I65" s="266">
        <v>54</v>
      </c>
      <c r="J65" s="266">
        <v>67</v>
      </c>
      <c r="K65" s="209">
        <v>67</v>
      </c>
      <c r="L65" s="210">
        <v>66</v>
      </c>
      <c r="M65" s="211">
        <f>21561.61+5719.7+1305+4149.27+2397.37+5906.18+1251.03+829.55+4633.7+2607.11+652.5+3265.4+1216.55+3027.02+4762.53</f>
        <v>63284.520000000004</v>
      </c>
      <c r="N65" s="261">
        <f>21561.61+5719.7+1305+4149.27+2397.37+5906.18+1251.03+829.55+4633.7+2607.11</f>
        <v>50360.520000000004</v>
      </c>
      <c r="O65" s="281">
        <f t="shared" si="1"/>
        <v>12924</v>
      </c>
      <c r="P65" s="269">
        <v>11</v>
      </c>
      <c r="Q65" s="282">
        <v>11</v>
      </c>
      <c r="R65" s="271">
        <v>11</v>
      </c>
      <c r="S65" s="261">
        <f>7456.7+19131.63</f>
        <v>26588.33</v>
      </c>
      <c r="T65" s="261">
        <f>7456.7+19131.63</f>
        <v>26588.33</v>
      </c>
      <c r="U65" s="261">
        <f t="shared" si="2"/>
        <v>0</v>
      </c>
      <c r="V65" s="161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</row>
    <row r="66" spans="1:42" ht="31.5" x14ac:dyDescent="0.25">
      <c r="A66" s="257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266">
        <v>2</v>
      </c>
      <c r="J66" s="266">
        <v>3</v>
      </c>
      <c r="K66" s="209">
        <v>3</v>
      </c>
      <c r="L66" s="210">
        <v>3</v>
      </c>
      <c r="M66" s="211">
        <f>463.83+1653.6</f>
        <v>2117.4299999999998</v>
      </c>
      <c r="N66" s="261">
        <f>463.83+1653.6</f>
        <v>2117.4299999999998</v>
      </c>
      <c r="O66" s="281">
        <f t="shared" si="1"/>
        <v>0</v>
      </c>
      <c r="P66" s="269">
        <v>4</v>
      </c>
      <c r="Q66" s="282">
        <v>4</v>
      </c>
      <c r="R66" s="271">
        <v>4</v>
      </c>
      <c r="S66" s="261">
        <v>3148.1</v>
      </c>
      <c r="T66" s="261">
        <v>3148.1</v>
      </c>
      <c r="U66" s="261">
        <f t="shared" si="2"/>
        <v>0</v>
      </c>
      <c r="V66" s="161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</row>
    <row r="67" spans="1:42" ht="31.5" x14ac:dyDescent="0.25">
      <c r="A67" s="257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72</v>
      </c>
      <c r="I67" s="266">
        <v>51</v>
      </c>
      <c r="J67" s="266">
        <v>68</v>
      </c>
      <c r="K67" s="209">
        <v>68</v>
      </c>
      <c r="L67" s="210">
        <v>67</v>
      </c>
      <c r="M67" s="211">
        <f>57336.7+3808.69</f>
        <v>61145.39</v>
      </c>
      <c r="N67" s="261">
        <f>19710.93+7009.96+ 8900.54+165.98+1497.55+1081.95+652.5+834+3570.78</f>
        <v>43424.19</v>
      </c>
      <c r="O67" s="281">
        <f t="shared" si="1"/>
        <v>17721.199999999997</v>
      </c>
      <c r="P67" s="269">
        <v>11</v>
      </c>
      <c r="Q67" s="282">
        <v>11</v>
      </c>
      <c r="R67" s="271">
        <v>11</v>
      </c>
      <c r="S67" s="261">
        <f>8355.57+1548.48+8943.77</f>
        <v>18847.82</v>
      </c>
      <c r="T67" s="261">
        <f>8355.57+1548.48+8943.77</f>
        <v>18847.82</v>
      </c>
      <c r="U67" s="261">
        <f t="shared" si="2"/>
        <v>0</v>
      </c>
      <c r="V67" s="161"/>
      <c r="W67"/>
      <c r="X67"/>
      <c r="Y67"/>
      <c r="Z67"/>
      <c r="AA67"/>
      <c r="AB67"/>
      <c r="AC67"/>
      <c r="AD67"/>
      <c r="AE67"/>
      <c r="AF67" s="59"/>
      <c r="AG67"/>
      <c r="AH67"/>
      <c r="AI67"/>
      <c r="AJ67"/>
      <c r="AK67"/>
      <c r="AL67"/>
      <c r="AM67"/>
      <c r="AN67"/>
      <c r="AO67"/>
      <c r="AP67"/>
    </row>
    <row r="68" spans="1:42" ht="31.5" x14ac:dyDescent="0.25">
      <c r="A68" s="257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45</v>
      </c>
      <c r="I68" s="266">
        <v>41</v>
      </c>
      <c r="J68" s="266">
        <v>63</v>
      </c>
      <c r="K68" s="209">
        <v>63</v>
      </c>
      <c r="L68" s="210">
        <v>63</v>
      </c>
      <c r="M68" s="211">
        <f>37213.91+696+3164.51</f>
        <v>41074.420000000006</v>
      </c>
      <c r="N68" s="261">
        <f>18750.75+2683.13+8424.37</f>
        <v>29858.25</v>
      </c>
      <c r="O68" s="281">
        <f t="shared" si="1"/>
        <v>11216.170000000006</v>
      </c>
      <c r="P68" s="269">
        <v>11</v>
      </c>
      <c r="Q68" s="282">
        <v>11</v>
      </c>
      <c r="R68" s="271">
        <v>11</v>
      </c>
      <c r="S68" s="261">
        <v>6249.15</v>
      </c>
      <c r="T68" s="261">
        <v>6249.15</v>
      </c>
      <c r="U68" s="261">
        <f t="shared" si="2"/>
        <v>0</v>
      </c>
      <c r="V68" s="161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</row>
    <row r="69" spans="1:42" ht="31.5" x14ac:dyDescent="0.25">
      <c r="A69" s="257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22</v>
      </c>
      <c r="I69" s="266">
        <v>11</v>
      </c>
      <c r="J69" s="266">
        <v>11</v>
      </c>
      <c r="K69" s="209">
        <v>10</v>
      </c>
      <c r="L69" s="210">
        <v>9</v>
      </c>
      <c r="M69" s="211">
        <f>2756+1240.2+1305+1087.5+1232.5+2915.4</f>
        <v>10536.6</v>
      </c>
      <c r="N69" s="261">
        <f>2756+1240.2+1305</f>
        <v>5301.2</v>
      </c>
      <c r="O69" s="281">
        <f t="shared" si="1"/>
        <v>5235.4000000000005</v>
      </c>
      <c r="P69" s="269"/>
      <c r="Q69" s="282"/>
      <c r="R69" s="271"/>
      <c r="S69" s="261"/>
      <c r="T69" s="261"/>
      <c r="U69" s="261">
        <f t="shared" si="2"/>
        <v>0</v>
      </c>
      <c r="V69" s="161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</row>
    <row r="70" spans="1:42" ht="31.5" x14ac:dyDescent="0.25">
      <c r="A70" s="257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19</v>
      </c>
      <c r="I70" s="266">
        <v>14</v>
      </c>
      <c r="J70" s="266">
        <v>16</v>
      </c>
      <c r="K70" s="209">
        <v>15</v>
      </c>
      <c r="L70" s="210">
        <v>15</v>
      </c>
      <c r="M70" s="211">
        <f>15374.68+947.21</f>
        <v>16321.89</v>
      </c>
      <c r="N70" s="261">
        <f>2039.44+3242.32+2027.39+3567+822.15</f>
        <v>11698.300000000001</v>
      </c>
      <c r="O70" s="281">
        <f t="shared" si="1"/>
        <v>4623.5899999999983</v>
      </c>
      <c r="P70" s="269">
        <v>7</v>
      </c>
      <c r="Q70" s="282">
        <v>7</v>
      </c>
      <c r="R70" s="271">
        <v>7</v>
      </c>
      <c r="S70" s="261">
        <f>3513.9+460.56+401.94</f>
        <v>4376.3999999999996</v>
      </c>
      <c r="T70" s="261">
        <v>3513.9</v>
      </c>
      <c r="U70" s="261">
        <f t="shared" si="2"/>
        <v>862.49999999999955</v>
      </c>
      <c r="V70" s="161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</row>
    <row r="71" spans="1:42" s="249" customFormat="1" ht="31.5" x14ac:dyDescent="0.25">
      <c r="A71" s="257">
        <v>57</v>
      </c>
      <c r="B71" s="248">
        <f t="shared" si="3"/>
        <v>62</v>
      </c>
      <c r="C71" s="250" t="s">
        <v>74</v>
      </c>
      <c r="D71" s="251" t="s">
        <v>124</v>
      </c>
      <c r="E71" s="252"/>
      <c r="F71" s="253" t="s">
        <v>111</v>
      </c>
      <c r="G71" s="254" t="s">
        <v>190</v>
      </c>
      <c r="H71" s="255">
        <v>33</v>
      </c>
      <c r="I71" s="266">
        <v>20</v>
      </c>
      <c r="J71" s="266">
        <v>26</v>
      </c>
      <c r="K71" s="209">
        <v>26</v>
      </c>
      <c r="L71" s="210">
        <v>26</v>
      </c>
      <c r="M71" s="211">
        <f>2383.53+3781.9+7505.17+507+5161.87+1335.02+1152.8-3276.5+5715.74+5512.93</f>
        <v>29779.46</v>
      </c>
      <c r="N71" s="261">
        <f>2383.53+3781.9+7505.17+507+5161.87+1335.02+1152.8-3276.5</f>
        <v>18550.79</v>
      </c>
      <c r="O71" s="281">
        <f t="shared" si="1"/>
        <v>11228.669999999998</v>
      </c>
      <c r="P71" s="269">
        <v>25</v>
      </c>
      <c r="Q71" s="282">
        <v>25</v>
      </c>
      <c r="R71" s="271">
        <v>25</v>
      </c>
      <c r="S71" s="261">
        <f>52337.46+18000.02+1926.09+5518.42</f>
        <v>77781.989999999991</v>
      </c>
      <c r="T71" s="261">
        <f>52337.46+18000.02+1926.09</f>
        <v>72263.569999999992</v>
      </c>
      <c r="U71" s="261">
        <f t="shared" si="2"/>
        <v>5518.4199999999983</v>
      </c>
      <c r="V71" s="161"/>
      <c r="W71" s="243"/>
      <c r="X71" s="243"/>
      <c r="Y71" s="243"/>
      <c r="Z71" s="243"/>
      <c r="AA71" s="243"/>
      <c r="AB71" s="243"/>
      <c r="AC71" s="243"/>
      <c r="AD71" s="243"/>
      <c r="AE71" s="243"/>
      <c r="AF71" s="256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</row>
    <row r="72" spans="1:42" ht="31.5" x14ac:dyDescent="0.25">
      <c r="A72" s="257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26</v>
      </c>
      <c r="I72" s="266">
        <v>15</v>
      </c>
      <c r="J72" s="266">
        <v>19</v>
      </c>
      <c r="K72" s="209">
        <v>19</v>
      </c>
      <c r="L72" s="210">
        <v>19</v>
      </c>
      <c r="M72" s="211">
        <f>4703.53+544.32+1960.26+2120.63+1914.44+822.15+4802.54</f>
        <v>16867.87</v>
      </c>
      <c r="N72" s="261">
        <f>4703.53+544.32+1960.26+2120.63</f>
        <v>9328.74</v>
      </c>
      <c r="O72" s="281">
        <f t="shared" si="1"/>
        <v>7539.1299999999992</v>
      </c>
      <c r="P72" s="269">
        <v>7</v>
      </c>
      <c r="Q72" s="282">
        <v>7</v>
      </c>
      <c r="R72" s="271">
        <v>7</v>
      </c>
      <c r="S72" s="261">
        <f>3959.69+961.38</f>
        <v>4921.07</v>
      </c>
      <c r="T72" s="261">
        <f>3959.69+961.38</f>
        <v>4921.07</v>
      </c>
      <c r="U72" s="261">
        <f t="shared" si="2"/>
        <v>0</v>
      </c>
      <c r="V72" s="161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1:42" ht="31.5" x14ac:dyDescent="0.25">
      <c r="A73" s="257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46</v>
      </c>
      <c r="I73" s="266">
        <v>32</v>
      </c>
      <c r="J73" s="266">
        <v>33</v>
      </c>
      <c r="K73" s="209">
        <v>33</v>
      </c>
      <c r="L73" s="210">
        <v>32</v>
      </c>
      <c r="M73" s="211">
        <f>2095.52+746.9+4941.1+3310.3+2104.91+2516.25+6797.48</f>
        <v>22512.46</v>
      </c>
      <c r="N73" s="261">
        <f>2095.52+746.9+4941.1+3310.3+2104.91</f>
        <v>13198.73</v>
      </c>
      <c r="O73" s="281">
        <f t="shared" si="1"/>
        <v>9313.73</v>
      </c>
      <c r="P73" s="269">
        <v>8</v>
      </c>
      <c r="Q73" s="282">
        <v>8</v>
      </c>
      <c r="R73" s="271">
        <v>8</v>
      </c>
      <c r="S73" s="261">
        <f>1821.06+4580.19+1240.2+1963.25</f>
        <v>9604.7000000000007</v>
      </c>
      <c r="T73" s="261">
        <f>1821.06+4580.19+1240.2</f>
        <v>7641.45</v>
      </c>
      <c r="U73" s="261">
        <f t="shared" si="2"/>
        <v>1963.2500000000009</v>
      </c>
      <c r="V73" s="161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ht="31.5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266"/>
      <c r="J74" s="266"/>
      <c r="K74" s="209"/>
      <c r="L74" s="210"/>
      <c r="M74" s="211"/>
      <c r="N74" s="261"/>
      <c r="O74" s="281">
        <f t="shared" si="1"/>
        <v>0</v>
      </c>
      <c r="P74" s="269">
        <v>1</v>
      </c>
      <c r="Q74" s="282">
        <v>1</v>
      </c>
      <c r="R74" s="271">
        <v>1</v>
      </c>
      <c r="S74" s="261">
        <v>3278.32</v>
      </c>
      <c r="T74" s="261">
        <v>3278.32</v>
      </c>
      <c r="U74" s="261">
        <f t="shared" si="2"/>
        <v>0</v>
      </c>
      <c r="V74" s="161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ht="31.5" x14ac:dyDescent="0.25">
      <c r="A75" s="257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40</v>
      </c>
      <c r="I75" s="266">
        <v>11</v>
      </c>
      <c r="J75" s="266">
        <v>14</v>
      </c>
      <c r="K75" s="209">
        <v>14</v>
      </c>
      <c r="L75" s="210">
        <v>14</v>
      </c>
      <c r="M75" s="211">
        <f>275.6+741.36+14287.26+2399.03+7204.43</f>
        <v>24907.68</v>
      </c>
      <c r="N75" s="261">
        <f>275.6+741.36+14287.26</f>
        <v>15304.220000000001</v>
      </c>
      <c r="O75" s="281">
        <f t="shared" ref="O75:O104" si="4" xml:space="preserve"> (M75-N75)</f>
        <v>9603.4599999999991</v>
      </c>
      <c r="P75" s="269">
        <v>3</v>
      </c>
      <c r="Q75" s="282">
        <v>3</v>
      </c>
      <c r="R75" s="271">
        <v>3</v>
      </c>
      <c r="S75" s="261">
        <f>617.03+725.77</f>
        <v>1342.8</v>
      </c>
      <c r="T75" s="261">
        <f>617.03+725.77</f>
        <v>1342.8</v>
      </c>
      <c r="U75" s="261">
        <f t="shared" ref="U75:U104" si="5" xml:space="preserve"> (S75-T75)</f>
        <v>0</v>
      </c>
      <c r="V75" s="161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ht="31.5" x14ac:dyDescent="0.25">
      <c r="A76" s="257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41</v>
      </c>
      <c r="I76" s="266">
        <v>33</v>
      </c>
      <c r="J76" s="266">
        <v>46</v>
      </c>
      <c r="K76" s="209">
        <v>46</v>
      </c>
      <c r="L76" s="210">
        <v>46</v>
      </c>
      <c r="M76" s="211">
        <f>11803.63+1320.23+3132.15+12104.63+822.42+4875.99+435.02+2678.15+3594.84+4069.8</f>
        <v>44836.86</v>
      </c>
      <c r="N76" s="261">
        <f>11803.63+1320.23+3132.15+12104.63+822.42+4875.99+435.02</f>
        <v>34494.069999999992</v>
      </c>
      <c r="O76" s="281">
        <f t="shared" si="4"/>
        <v>10342.790000000008</v>
      </c>
      <c r="P76" s="269">
        <v>5</v>
      </c>
      <c r="Q76" s="282">
        <v>5</v>
      </c>
      <c r="R76" s="271">
        <v>5</v>
      </c>
      <c r="S76" s="261">
        <f>5751.78+461.63</f>
        <v>6213.41</v>
      </c>
      <c r="T76" s="261">
        <v>5751.78</v>
      </c>
      <c r="U76" s="261">
        <f t="shared" si="5"/>
        <v>461.63000000000011</v>
      </c>
      <c r="V76" s="161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ht="31.5" x14ac:dyDescent="0.25">
      <c r="A77" s="257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27</v>
      </c>
      <c r="I77" s="266">
        <v>15</v>
      </c>
      <c r="J77" s="266">
        <v>19</v>
      </c>
      <c r="K77" s="209">
        <v>19</v>
      </c>
      <c r="L77" s="210">
        <v>19</v>
      </c>
      <c r="M77" s="211">
        <f>19014.61+1885</f>
        <v>20899.61</v>
      </c>
      <c r="N77" s="261">
        <f>4234.67+4498.63+1766.87+2083.87+1368.44+4016.5</f>
        <v>17968.979999999996</v>
      </c>
      <c r="O77" s="281">
        <f t="shared" si="4"/>
        <v>2930.6300000000047</v>
      </c>
      <c r="P77" s="269"/>
      <c r="Q77" s="282"/>
      <c r="R77" s="271"/>
      <c r="S77" s="261"/>
      <c r="T77" s="261"/>
      <c r="U77" s="261">
        <f t="shared" si="5"/>
        <v>0</v>
      </c>
      <c r="V77" s="161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</row>
    <row r="78" spans="1:42" ht="31.5" x14ac:dyDescent="0.25">
      <c r="A78" s="257" t="s">
        <v>315</v>
      </c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266"/>
      <c r="J78" s="266"/>
      <c r="K78" s="209"/>
      <c r="L78" s="210"/>
      <c r="M78" s="211"/>
      <c r="N78" s="261"/>
      <c r="O78" s="281">
        <f t="shared" si="4"/>
        <v>0</v>
      </c>
      <c r="P78" s="269">
        <v>9</v>
      </c>
      <c r="Q78" s="282">
        <v>9</v>
      </c>
      <c r="R78" s="271">
        <v>9</v>
      </c>
      <c r="S78" s="261">
        <f>3889.76+778.48</f>
        <v>4668.24</v>
      </c>
      <c r="T78" s="261">
        <f>3889.76+778.48</f>
        <v>4668.24</v>
      </c>
      <c r="U78" s="261">
        <f t="shared" si="5"/>
        <v>0</v>
      </c>
      <c r="V78" s="161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1:42" ht="31.5" x14ac:dyDescent="0.25">
      <c r="A79" s="257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26</v>
      </c>
      <c r="I79" s="266">
        <v>15</v>
      </c>
      <c r="J79" s="266">
        <v>25</v>
      </c>
      <c r="K79" s="209">
        <v>25</v>
      </c>
      <c r="L79" s="210">
        <v>24</v>
      </c>
      <c r="M79" s="211">
        <f>8913.81+7027.61+1244.33+15395.91+4278.3+2683.35</f>
        <v>39543.31</v>
      </c>
      <c r="N79" s="261">
        <f>8913.81+7027.61+1244.33+15395.91+4278.3</f>
        <v>36859.96</v>
      </c>
      <c r="O79" s="281">
        <f t="shared" si="4"/>
        <v>2683.3499999999985</v>
      </c>
      <c r="P79" s="269">
        <v>4</v>
      </c>
      <c r="Q79" s="282">
        <v>4</v>
      </c>
      <c r="R79" s="271">
        <v>4</v>
      </c>
      <c r="S79" s="261">
        <f>275.6+4163.58</f>
        <v>4439.18</v>
      </c>
      <c r="T79" s="261">
        <f>275.6+4163.58</f>
        <v>4439.18</v>
      </c>
      <c r="U79" s="261">
        <f t="shared" si="5"/>
        <v>0</v>
      </c>
      <c r="V79" s="161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1:42" ht="31.5" x14ac:dyDescent="0.25">
      <c r="A80" s="257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20</v>
      </c>
      <c r="I80" s="266">
        <v>14</v>
      </c>
      <c r="J80" s="266">
        <v>22</v>
      </c>
      <c r="K80" s="209">
        <v>22</v>
      </c>
      <c r="L80" s="210">
        <v>22</v>
      </c>
      <c r="M80" s="211">
        <f>14959.64+7384.39+14758.51+362.5+822.42+1311.95</f>
        <v>39599.409999999996</v>
      </c>
      <c r="N80" s="261">
        <f>14959.64+7384.39+14758.51+362.5+822.42</f>
        <v>38287.46</v>
      </c>
      <c r="O80" s="281">
        <f t="shared" si="4"/>
        <v>1311.9499999999971</v>
      </c>
      <c r="P80" s="269">
        <v>10</v>
      </c>
      <c r="Q80" s="282">
        <v>10</v>
      </c>
      <c r="R80" s="271">
        <v>10</v>
      </c>
      <c r="S80" s="261">
        <f>13554.7+2057.24+454.74</f>
        <v>16066.68</v>
      </c>
      <c r="T80" s="261">
        <f>13554.7+2057.24+454.74</f>
        <v>16066.68</v>
      </c>
      <c r="U80" s="261">
        <f t="shared" si="5"/>
        <v>0</v>
      </c>
      <c r="V80" s="161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1:42" ht="20.100000000000001" customHeight="1" x14ac:dyDescent="0.25">
      <c r="A81" s="257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266">
        <v>2</v>
      </c>
      <c r="J81" s="266">
        <v>4</v>
      </c>
      <c r="K81" s="209">
        <v>4</v>
      </c>
      <c r="L81" s="210">
        <v>3</v>
      </c>
      <c r="M81" s="211">
        <f>287.1+4640.98+1283.25</f>
        <v>6211.33</v>
      </c>
      <c r="N81" s="261">
        <v>287.10000000000002</v>
      </c>
      <c r="O81" s="281">
        <f t="shared" si="4"/>
        <v>5924.23</v>
      </c>
      <c r="P81" s="269">
        <v>1</v>
      </c>
      <c r="Q81" s="282">
        <v>1</v>
      </c>
      <c r="R81" s="271">
        <v>1</v>
      </c>
      <c r="S81" s="261">
        <v>2673.24</v>
      </c>
      <c r="T81" s="261">
        <v>2673.24</v>
      </c>
      <c r="U81" s="261">
        <f t="shared" si="5"/>
        <v>0</v>
      </c>
      <c r="V81" s="161"/>
    </row>
    <row r="82" spans="1:42" ht="20.100000000000001" customHeight="1" x14ac:dyDescent="0.25">
      <c r="A82" s="257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26</v>
      </c>
      <c r="I82" s="266">
        <v>17</v>
      </c>
      <c r="J82" s="266">
        <v>19</v>
      </c>
      <c r="K82" s="209">
        <v>19</v>
      </c>
      <c r="L82" s="210">
        <v>19</v>
      </c>
      <c r="M82" s="211">
        <f>2626.75+8084.46+600.05+7445.83+942.5+668.95+1283.25+574.2</f>
        <v>22225.989999999998</v>
      </c>
      <c r="N82" s="261">
        <f>2626.75+8084.46+600.05+7445.83+942.5+668.95</f>
        <v>20368.539999999997</v>
      </c>
      <c r="O82" s="281">
        <f t="shared" si="4"/>
        <v>1857.4500000000007</v>
      </c>
      <c r="P82" s="269">
        <v>10</v>
      </c>
      <c r="Q82" s="282">
        <v>10</v>
      </c>
      <c r="R82" s="271">
        <v>10</v>
      </c>
      <c r="S82" s="261">
        <f>15935.59+881.06+1714.6+1015.59</f>
        <v>19546.84</v>
      </c>
      <c r="T82" s="261">
        <f>15935.59+881.06+1714.6+1015.59</f>
        <v>19546.84</v>
      </c>
      <c r="U82" s="261">
        <f t="shared" si="5"/>
        <v>0</v>
      </c>
      <c r="V82" s="161"/>
    </row>
    <row r="83" spans="1:42" ht="20.100000000000001" customHeight="1" x14ac:dyDescent="0.25">
      <c r="A83" s="257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29</v>
      </c>
      <c r="I83" s="266">
        <v>18</v>
      </c>
      <c r="J83" s="266">
        <v>30</v>
      </c>
      <c r="K83" s="209">
        <v>30</v>
      </c>
      <c r="L83" s="210">
        <v>30</v>
      </c>
      <c r="M83" s="211">
        <f>11232.31+3440.1+14435.12-1360.99+3088.95+2556.06+1891.38+763.69</f>
        <v>36046.619999999995</v>
      </c>
      <c r="N83" s="261">
        <f>11232.31+3440.1+14435.12-1360.99+3088.95+2556.06</f>
        <v>33391.549999999996</v>
      </c>
      <c r="O83" s="281">
        <f t="shared" si="4"/>
        <v>2655.0699999999997</v>
      </c>
      <c r="P83" s="269">
        <v>7</v>
      </c>
      <c r="Q83" s="282">
        <v>7</v>
      </c>
      <c r="R83" s="271">
        <v>7</v>
      </c>
      <c r="S83" s="261">
        <f>6465.89+3406.65+1360.99</f>
        <v>11233.53</v>
      </c>
      <c r="T83" s="261">
        <f>6465.89+3406.65+1360.99</f>
        <v>11233.53</v>
      </c>
      <c r="U83" s="261">
        <f t="shared" si="5"/>
        <v>0</v>
      </c>
      <c r="V83" s="161"/>
    </row>
    <row r="84" spans="1:42" ht="20.100000000000001" customHeight="1" x14ac:dyDescent="0.25">
      <c r="A84" s="257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21</v>
      </c>
      <c r="I84" s="266">
        <v>15</v>
      </c>
      <c r="J84" s="266">
        <v>24</v>
      </c>
      <c r="K84" s="209">
        <v>24</v>
      </c>
      <c r="L84" s="210">
        <v>23</v>
      </c>
      <c r="M84" s="211">
        <f>5429.56+2272.28+2029.9+2976.46+1243.6+3190.51</f>
        <v>17142.310000000001</v>
      </c>
      <c r="N84" s="261">
        <f>5429.56+2272.28+2029.9+2976.46+1243.6+3190.51</f>
        <v>17142.310000000001</v>
      </c>
      <c r="O84" s="281">
        <f t="shared" si="4"/>
        <v>0</v>
      </c>
      <c r="P84" s="269">
        <v>1</v>
      </c>
      <c r="Q84" s="282">
        <v>1</v>
      </c>
      <c r="R84" s="271">
        <v>1</v>
      </c>
      <c r="S84" s="261">
        <v>1515.31</v>
      </c>
      <c r="T84" s="261">
        <v>1515.31</v>
      </c>
      <c r="U84" s="261">
        <f t="shared" si="5"/>
        <v>0</v>
      </c>
      <c r="V84" s="161"/>
    </row>
    <row r="85" spans="1:42" ht="20.100000000000001" customHeight="1" x14ac:dyDescent="0.25">
      <c r="A85" s="257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58</v>
      </c>
      <c r="I85" s="266">
        <v>43</v>
      </c>
      <c r="J85" s="266">
        <v>70</v>
      </c>
      <c r="K85" s="209">
        <v>66</v>
      </c>
      <c r="L85" s="210">
        <v>66</v>
      </c>
      <c r="M85" s="211">
        <f>15506.09+4089.12+1924.78+1267.55+6546.86+1962.04+654.22+1080.22+392.95+1059.68+8180.45+435+1409.81+1010.65</f>
        <v>45519.419999999991</v>
      </c>
      <c r="N85" s="261">
        <f>15506.09+4089.12+1924.78+1267.55+6546.86+1962.04+654.22+1080.22+392.95+1059.68+10025.26</f>
        <v>44508.77</v>
      </c>
      <c r="O85" s="281">
        <f t="shared" si="4"/>
        <v>1010.6499999999942</v>
      </c>
      <c r="P85" s="269">
        <v>5</v>
      </c>
      <c r="Q85" s="282">
        <v>5</v>
      </c>
      <c r="R85" s="271">
        <v>5</v>
      </c>
      <c r="S85" s="261">
        <f>2068.47+2492.49</f>
        <v>4560.9599999999991</v>
      </c>
      <c r="T85" s="261">
        <f>2068.47+2492.49</f>
        <v>4560.9599999999991</v>
      </c>
      <c r="U85" s="261">
        <f t="shared" si="5"/>
        <v>0</v>
      </c>
      <c r="V85" s="161"/>
    </row>
    <row r="86" spans="1:42" ht="20.100000000000001" customHeight="1" x14ac:dyDescent="0.25">
      <c r="A86" s="257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22</v>
      </c>
      <c r="I86" s="266">
        <v>18</v>
      </c>
      <c r="J86" s="266">
        <v>21</v>
      </c>
      <c r="K86" s="209">
        <v>21</v>
      </c>
      <c r="L86" s="210">
        <v>21</v>
      </c>
      <c r="M86" s="211">
        <f>1956.76+1128.38+1752.82+1595+1761.46+1724.05</f>
        <v>9918.4699999999993</v>
      </c>
      <c r="N86" s="261">
        <f>1956.76+1128.38+1752.82</f>
        <v>4837.96</v>
      </c>
      <c r="O86" s="281">
        <f t="shared" si="4"/>
        <v>5080.5099999999993</v>
      </c>
      <c r="P86" s="269">
        <v>2</v>
      </c>
      <c r="Q86" s="282">
        <v>2</v>
      </c>
      <c r="R86" s="271">
        <v>2</v>
      </c>
      <c r="S86" s="261">
        <v>839.18</v>
      </c>
      <c r="T86" s="261">
        <v>839.18</v>
      </c>
      <c r="U86" s="261">
        <f t="shared" si="5"/>
        <v>0</v>
      </c>
      <c r="V86" s="161"/>
    </row>
    <row r="87" spans="1:42" ht="20.25" customHeight="1" x14ac:dyDescent="0.25">
      <c r="A87" s="257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10</v>
      </c>
      <c r="I87" s="266">
        <v>8</v>
      </c>
      <c r="J87" s="266">
        <v>13</v>
      </c>
      <c r="K87" s="209">
        <v>13</v>
      </c>
      <c r="L87" s="210">
        <v>13</v>
      </c>
      <c r="M87" s="211">
        <f>795.8+4099.92+1305+358.88+1643.65+1026.38+1265.93+430.65</f>
        <v>10926.210000000001</v>
      </c>
      <c r="N87" s="261">
        <f>795.8+4099.92+1305+358.88+1643.65</f>
        <v>8203.25</v>
      </c>
      <c r="O87" s="281">
        <f t="shared" si="4"/>
        <v>2722.9600000000009</v>
      </c>
      <c r="P87" s="269">
        <v>6</v>
      </c>
      <c r="Q87" s="282">
        <v>6</v>
      </c>
      <c r="R87" s="271">
        <v>6</v>
      </c>
      <c r="S87" s="261">
        <f>2723.78+3718.48+4265.16+4595.62</f>
        <v>15303.04</v>
      </c>
      <c r="T87" s="261">
        <f>2723.78+3718.48+4265.16+4595.62</f>
        <v>15303.04</v>
      </c>
      <c r="U87" s="261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266"/>
      <c r="J88" s="266"/>
      <c r="K88" s="209"/>
      <c r="L88" s="210"/>
      <c r="M88" s="211"/>
      <c r="N88" s="261"/>
      <c r="O88" s="281">
        <f t="shared" si="4"/>
        <v>0</v>
      </c>
      <c r="P88" s="269">
        <v>6</v>
      </c>
      <c r="Q88" s="282">
        <v>6</v>
      </c>
      <c r="R88" s="271">
        <v>6</v>
      </c>
      <c r="S88" s="261">
        <v>7502.29</v>
      </c>
      <c r="T88" s="261">
        <v>7502.29</v>
      </c>
      <c r="U88" s="261">
        <f t="shared" si="5"/>
        <v>0</v>
      </c>
      <c r="V88" s="161"/>
    </row>
    <row r="89" spans="1:42" ht="20.100000000000001" customHeight="1" x14ac:dyDescent="0.25">
      <c r="A89" s="257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16</v>
      </c>
      <c r="I89" s="266">
        <v>9</v>
      </c>
      <c r="J89" s="266">
        <v>11</v>
      </c>
      <c r="K89" s="209">
        <v>11</v>
      </c>
      <c r="L89" s="210">
        <v>11</v>
      </c>
      <c r="M89" s="211">
        <f>2874.33+1509.2+1943+315.81+145+874.35+533.98</f>
        <v>8195.67</v>
      </c>
      <c r="N89" s="261">
        <f>2874.33+1509.2+1943+315.81</f>
        <v>6642.34</v>
      </c>
      <c r="O89" s="281">
        <f t="shared" si="4"/>
        <v>1553.33</v>
      </c>
      <c r="P89" s="269">
        <v>8</v>
      </c>
      <c r="Q89" s="282">
        <v>8</v>
      </c>
      <c r="R89" s="271">
        <v>8</v>
      </c>
      <c r="S89" s="261">
        <f>8161.92+1118.75+3779.58+1127.2+2077.34</f>
        <v>16264.79</v>
      </c>
      <c r="T89" s="261">
        <f>8161.92+1118.75+3779.58+1127.2</f>
        <v>14187.45</v>
      </c>
      <c r="U89" s="261">
        <f t="shared" si="5"/>
        <v>2077.34</v>
      </c>
      <c r="V89" s="161"/>
    </row>
    <row r="90" spans="1:42" ht="20.100000000000001" customHeight="1" x14ac:dyDescent="0.25">
      <c r="A90" s="257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62</v>
      </c>
      <c r="I90" s="266">
        <v>52</v>
      </c>
      <c r="J90" s="266">
        <v>92</v>
      </c>
      <c r="K90" s="209">
        <v>82</v>
      </c>
      <c r="L90" s="210">
        <v>82</v>
      </c>
      <c r="M90" s="211">
        <f>14303.46+6714.67+1828.05+13505.93+582.9+8733.75+358.88+2031-1990+16472.8</f>
        <v>62541.440000000002</v>
      </c>
      <c r="N90" s="261">
        <f>14303.46+6714.67+1828.05+13505.93+582.9+8733.75+358.88+2031-1990</f>
        <v>46068.639999999999</v>
      </c>
      <c r="O90" s="281">
        <f t="shared" si="4"/>
        <v>16472.800000000003</v>
      </c>
      <c r="P90" s="269">
        <v>8</v>
      </c>
      <c r="Q90" s="282">
        <v>8</v>
      </c>
      <c r="R90" s="271">
        <v>8</v>
      </c>
      <c r="S90" s="261">
        <v>3130.8</v>
      </c>
      <c r="T90" s="261">
        <v>3130.8</v>
      </c>
      <c r="U90" s="261">
        <f t="shared" si="5"/>
        <v>0</v>
      </c>
      <c r="V90" s="161"/>
    </row>
    <row r="91" spans="1:42" ht="20.100000000000001" customHeight="1" x14ac:dyDescent="0.25">
      <c r="A91" s="257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34</v>
      </c>
      <c r="I91" s="266">
        <v>17</v>
      </c>
      <c r="J91" s="266">
        <v>24</v>
      </c>
      <c r="K91" s="209">
        <v>23</v>
      </c>
      <c r="L91" s="210">
        <v>23</v>
      </c>
      <c r="M91" s="211">
        <f>5384.83+3572.76+8100.09+725+145+1865.54</f>
        <v>19793.22</v>
      </c>
      <c r="N91" s="261">
        <f>5384.83+3572.76+8100.09+870</f>
        <v>17927.68</v>
      </c>
      <c r="O91" s="281">
        <f t="shared" si="4"/>
        <v>1865.5400000000009</v>
      </c>
      <c r="P91" s="269">
        <v>7</v>
      </c>
      <c r="Q91" s="282">
        <v>7</v>
      </c>
      <c r="R91" s="271">
        <v>7</v>
      </c>
      <c r="S91" s="261">
        <f>6219.66+748.35+1502.94</f>
        <v>8470.9500000000007</v>
      </c>
      <c r="T91" s="261">
        <f>6219.66+748.35+1502.94</f>
        <v>8470.9500000000007</v>
      </c>
      <c r="U91" s="261">
        <f t="shared" si="5"/>
        <v>0</v>
      </c>
      <c r="V91" s="161"/>
    </row>
    <row r="92" spans="1:42" ht="20.100000000000001" customHeight="1" x14ac:dyDescent="0.25">
      <c r="A92" s="257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27</v>
      </c>
      <c r="I92" s="266">
        <v>20</v>
      </c>
      <c r="J92" s="266">
        <v>28</v>
      </c>
      <c r="K92" s="209">
        <v>28</v>
      </c>
      <c r="L92" s="210">
        <v>28</v>
      </c>
      <c r="M92" s="211">
        <f>2301.54+4352.56+3555.69+1798.94+1481.14+763.69+2342.6+947.21+1435.6+2658.12+788.44+3552.5</f>
        <v>25978.029999999995</v>
      </c>
      <c r="N92" s="261">
        <f>2301.54+4352.56+3555.69+1798.94+1481.14+763.69+2342.6+947.21</f>
        <v>17543.37</v>
      </c>
      <c r="O92" s="281">
        <f t="shared" si="4"/>
        <v>8434.6599999999962</v>
      </c>
      <c r="P92" s="269">
        <v>1</v>
      </c>
      <c r="Q92" s="282">
        <v>1</v>
      </c>
      <c r="R92" s="271">
        <v>1</v>
      </c>
      <c r="S92" s="261">
        <v>206.7</v>
      </c>
      <c r="T92" s="261">
        <v>206.7</v>
      </c>
      <c r="U92" s="261">
        <f t="shared" si="5"/>
        <v>0</v>
      </c>
      <c r="V92" s="161"/>
    </row>
    <row r="93" spans="1:42" ht="20.100000000000001" customHeight="1" x14ac:dyDescent="0.25">
      <c r="A93" s="257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122</v>
      </c>
      <c r="I93" s="266">
        <v>100</v>
      </c>
      <c r="J93" s="266">
        <v>123</v>
      </c>
      <c r="K93" s="209">
        <v>121</v>
      </c>
      <c r="L93" s="210">
        <v>105</v>
      </c>
      <c r="M93" s="211">
        <f>14656.12+3543.47+2420.25+2112.66+1299.21+2099.6+145+12320.24+7256.93+7391.73+3180.78+6298.93+4674.22+14249.72</f>
        <v>81648.859999999986</v>
      </c>
      <c r="N93" s="261">
        <f>14656.12+3543.47+2420.25+2112.66+1299.21+2099.6+145-10054.69+12320.24+13235.47</f>
        <v>41777.329999999994</v>
      </c>
      <c r="O93" s="281">
        <f t="shared" si="4"/>
        <v>39871.529999999992</v>
      </c>
      <c r="P93" s="269">
        <v>10</v>
      </c>
      <c r="Q93" s="282">
        <v>10</v>
      </c>
      <c r="R93" s="271">
        <v>10</v>
      </c>
      <c r="S93" s="261">
        <f>11083.64+344.5</f>
        <v>11428.14</v>
      </c>
      <c r="T93" s="261">
        <f>11083.64+344.5</f>
        <v>11428.14</v>
      </c>
      <c r="U93" s="261">
        <f t="shared" si="5"/>
        <v>0</v>
      </c>
      <c r="V93" s="161"/>
      <c r="AF93" s="145"/>
    </row>
    <row r="94" spans="1:42" s="58" customFormat="1" ht="20.100000000000001" customHeight="1" x14ac:dyDescent="0.25">
      <c r="A94" s="257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50</v>
      </c>
      <c r="I94" s="266">
        <v>29</v>
      </c>
      <c r="J94" s="266">
        <v>38</v>
      </c>
      <c r="K94" s="210">
        <v>37</v>
      </c>
      <c r="L94" s="210">
        <v>36</v>
      </c>
      <c r="M94" s="211">
        <f>6576.32+217.5+2898.52+939.6+1008.45+1200.17+3722.95+4136.2+2392.5+736.89+7024.11+3457.88</f>
        <v>34311.090000000004</v>
      </c>
      <c r="N94" s="261">
        <f>6576.32+217.5+2898.52+939.6+1008.45+1200.17+3722.95</f>
        <v>16563.510000000002</v>
      </c>
      <c r="O94" s="281">
        <f t="shared" si="4"/>
        <v>17747.580000000002</v>
      </c>
      <c r="P94" s="269">
        <v>25</v>
      </c>
      <c r="Q94" s="271">
        <v>25</v>
      </c>
      <c r="R94" s="271">
        <v>24</v>
      </c>
      <c r="S94" s="261">
        <f>18253.04+4245.2+858.65+1546.26+14802.65</f>
        <v>39705.800000000003</v>
      </c>
      <c r="T94" s="261">
        <f>18253.04+4245.2+858.65+1546.26+14802.65</f>
        <v>39705.800000000003</v>
      </c>
      <c r="U94" s="261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257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35</v>
      </c>
      <c r="I95" s="266">
        <v>17</v>
      </c>
      <c r="J95" s="266">
        <v>24</v>
      </c>
      <c r="K95" s="209">
        <v>24</v>
      </c>
      <c r="L95" s="210">
        <v>21</v>
      </c>
      <c r="M95" s="211">
        <f>2362.32+22110.36+455.21+2039.58+953.22+699.73+275.6+9654.91+1049.72+185.88+466.54</f>
        <v>40253.07</v>
      </c>
      <c r="N95" s="261">
        <f>2362.32+22110.36+455.21+2039.58+953.22+699.73+275.6+9654.91+1049.22</f>
        <v>39600.15</v>
      </c>
      <c r="O95" s="281">
        <f t="shared" si="4"/>
        <v>652.91999999999825</v>
      </c>
      <c r="P95" s="269">
        <v>16</v>
      </c>
      <c r="Q95" s="282">
        <v>16</v>
      </c>
      <c r="R95" s="271">
        <v>16</v>
      </c>
      <c r="S95" s="261">
        <f>24552.24+1001.28+122.46+1729.98-1</f>
        <v>27404.959999999999</v>
      </c>
      <c r="T95" s="261">
        <f>24552.24+1001.28+122.46+1729.98-1</f>
        <v>27404.959999999999</v>
      </c>
      <c r="U95" s="261">
        <f t="shared" si="5"/>
        <v>0</v>
      </c>
      <c r="V95" s="161"/>
    </row>
    <row r="96" spans="1:42" ht="20.100000000000001" customHeight="1" x14ac:dyDescent="0.25">
      <c r="A96" s="257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11</v>
      </c>
      <c r="I96" s="266">
        <v>9</v>
      </c>
      <c r="J96" s="266">
        <v>13</v>
      </c>
      <c r="K96" s="209">
        <v>12</v>
      </c>
      <c r="L96" s="210">
        <v>12</v>
      </c>
      <c r="M96" s="211">
        <f>826.8+2786.41+2401.3+725</f>
        <v>6739.51</v>
      </c>
      <c r="N96" s="261">
        <f>826.8+2786.41+2401.3</f>
        <v>6014.51</v>
      </c>
      <c r="O96" s="281">
        <f t="shared" si="4"/>
        <v>725</v>
      </c>
      <c r="P96" s="269"/>
      <c r="Q96" s="282"/>
      <c r="R96" s="271"/>
      <c r="S96" s="261"/>
      <c r="T96" s="261"/>
      <c r="U96" s="261">
        <f t="shared" si="5"/>
        <v>0</v>
      </c>
      <c r="V96" s="161"/>
    </row>
    <row r="97" spans="1:42" ht="31.5" x14ac:dyDescent="0.25">
      <c r="A97" s="257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13</v>
      </c>
      <c r="I97" s="266">
        <v>7</v>
      </c>
      <c r="J97" s="266">
        <v>8</v>
      </c>
      <c r="K97" s="209">
        <v>8</v>
      </c>
      <c r="L97" s="210">
        <v>8</v>
      </c>
      <c r="M97" s="211">
        <f>3171.93+1457.25+380.63</f>
        <v>5009.8100000000004</v>
      </c>
      <c r="N97" s="261">
        <f>3171.93+1457.25+380.63</f>
        <v>5009.8100000000004</v>
      </c>
      <c r="O97" s="281">
        <f t="shared" si="4"/>
        <v>0</v>
      </c>
      <c r="P97" s="269">
        <v>4</v>
      </c>
      <c r="Q97" s="282">
        <v>4</v>
      </c>
      <c r="R97" s="271">
        <v>4</v>
      </c>
      <c r="S97" s="261">
        <v>1744.35</v>
      </c>
      <c r="T97" s="261">
        <v>1744.35</v>
      </c>
      <c r="U97" s="261">
        <f t="shared" si="5"/>
        <v>0</v>
      </c>
      <c r="V97" s="161"/>
      <c r="AJ97"/>
      <c r="AK97"/>
      <c r="AL97"/>
      <c r="AM97"/>
      <c r="AN97"/>
      <c r="AO97"/>
      <c r="AP97"/>
    </row>
    <row r="98" spans="1:42" ht="31.5" x14ac:dyDescent="0.25">
      <c r="A98" s="257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20</v>
      </c>
      <c r="I98" s="266">
        <v>13</v>
      </c>
      <c r="J98" s="266">
        <v>14</v>
      </c>
      <c r="K98" s="209">
        <v>14</v>
      </c>
      <c r="L98" s="210">
        <v>14</v>
      </c>
      <c r="M98" s="211">
        <f>757.9+551.2+895.7+290+725+841.2+290+725</f>
        <v>5076</v>
      </c>
      <c r="N98" s="261">
        <f>757.9+551.2+895.7+290+725+841.2</f>
        <v>4061</v>
      </c>
      <c r="O98" s="281">
        <f t="shared" si="4"/>
        <v>1015</v>
      </c>
      <c r="P98" s="269">
        <v>13</v>
      </c>
      <c r="Q98" s="282">
        <v>13</v>
      </c>
      <c r="R98" s="271">
        <v>13</v>
      </c>
      <c r="S98" s="261">
        <f>8034.56+3466.13+4060.73+413.4</f>
        <v>15974.82</v>
      </c>
      <c r="T98" s="261">
        <f>8034.56+3466.13+4060.73+413.4</f>
        <v>15974.82</v>
      </c>
      <c r="U98" s="261">
        <f t="shared" si="5"/>
        <v>0</v>
      </c>
      <c r="V98" s="161"/>
      <c r="AJ98"/>
      <c r="AK98"/>
      <c r="AL98"/>
      <c r="AM98"/>
      <c r="AN98"/>
      <c r="AO98"/>
      <c r="AP98"/>
    </row>
    <row r="99" spans="1:42" ht="31.5" x14ac:dyDescent="0.25">
      <c r="A99" s="257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29</v>
      </c>
      <c r="I99" s="266">
        <v>21</v>
      </c>
      <c r="J99" s="266">
        <v>27</v>
      </c>
      <c r="K99" s="209">
        <v>27</v>
      </c>
      <c r="L99" s="210">
        <v>26</v>
      </c>
      <c r="M99" s="211">
        <f>4782.23+1353.89+2195.41+1197.7+1340.79+681.5+699.48+1909.51+3782.6</f>
        <v>17943.11</v>
      </c>
      <c r="N99" s="261">
        <f>4782.23+1353.89+2195.41+1197.7+1340.79+681.57+699.48</f>
        <v>12251.07</v>
      </c>
      <c r="O99" s="281">
        <f t="shared" si="4"/>
        <v>5692.0400000000009</v>
      </c>
      <c r="P99" s="269">
        <v>12</v>
      </c>
      <c r="Q99" s="282">
        <v>12</v>
      </c>
      <c r="R99" s="271">
        <v>12</v>
      </c>
      <c r="S99" s="261">
        <f>12321.66+1021.27+487.2+781.96</f>
        <v>14612.09</v>
      </c>
      <c r="T99" s="261">
        <f>12321.66+1021.27+487.2</f>
        <v>13830.130000000001</v>
      </c>
      <c r="U99" s="261">
        <f t="shared" si="5"/>
        <v>781.95999999999913</v>
      </c>
      <c r="V99" s="161"/>
      <c r="AJ99"/>
      <c r="AK99"/>
      <c r="AL99"/>
      <c r="AM99"/>
      <c r="AN99"/>
      <c r="AO99"/>
      <c r="AP99"/>
    </row>
    <row r="100" spans="1:42" ht="31.5" x14ac:dyDescent="0.25">
      <c r="A100" s="257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44</v>
      </c>
      <c r="I100" s="266">
        <v>16</v>
      </c>
      <c r="J100" s="266">
        <v>25</v>
      </c>
      <c r="K100" s="209">
        <v>25</v>
      </c>
      <c r="L100" s="210">
        <v>25</v>
      </c>
      <c r="M100" s="211">
        <f>10862.96+2375.03+5632.11+356.47+2077.94+875.35+630.95+4495</f>
        <v>27305.809999999998</v>
      </c>
      <c r="N100" s="261">
        <f>10862.96+2375.03+5632.11+357.47+2077.94</f>
        <v>21305.51</v>
      </c>
      <c r="O100" s="281">
        <f t="shared" si="4"/>
        <v>6000.2999999999993</v>
      </c>
      <c r="P100" s="269">
        <v>10</v>
      </c>
      <c r="Q100" s="282">
        <v>10</v>
      </c>
      <c r="R100" s="271">
        <v>10</v>
      </c>
      <c r="S100" s="261">
        <f>4780.1+2135.9</f>
        <v>6916</v>
      </c>
      <c r="T100" s="261">
        <f>4780.1+2135.9</f>
        <v>6916</v>
      </c>
      <c r="U100" s="261">
        <f t="shared" si="5"/>
        <v>0</v>
      </c>
      <c r="V100" s="161"/>
      <c r="AF100" s="145"/>
      <c r="AJ100"/>
      <c r="AK100"/>
      <c r="AL100"/>
      <c r="AM100"/>
      <c r="AN100"/>
      <c r="AO100"/>
      <c r="AP100"/>
    </row>
    <row r="101" spans="1:42" ht="31.5" x14ac:dyDescent="0.25">
      <c r="A101" s="257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107</v>
      </c>
      <c r="I101" s="266">
        <v>73</v>
      </c>
      <c r="J101" s="266">
        <v>89</v>
      </c>
      <c r="K101" s="209">
        <v>86</v>
      </c>
      <c r="L101" s="210">
        <v>72</v>
      </c>
      <c r="M101" s="211">
        <f>16276.16+4466.66+1078.5+4011.53+435+1493.5+2243.15+1864.7+4804.86+840+5133.33+10737-380.89+4398.6+7811.98</f>
        <v>65214.080000000002</v>
      </c>
      <c r="N101" s="261">
        <f>16276.16+4466.66+1078.5+4011.53+435+1493.5+2243.15-144.3-2415.9+5133.33+2766.9</f>
        <v>35344.53</v>
      </c>
      <c r="O101" s="281">
        <f t="shared" si="4"/>
        <v>29869.550000000003</v>
      </c>
      <c r="P101" s="269">
        <v>38</v>
      </c>
      <c r="Q101" s="282">
        <v>38</v>
      </c>
      <c r="R101" s="271">
        <v>37</v>
      </c>
      <c r="S101" s="261">
        <f>21329.45-2252.12+532.3+345.99+26455.28+1.67+3039.85-3960.98+551.2+1658+1218+2016.16</f>
        <v>50934.799999999996</v>
      </c>
      <c r="T101" s="261">
        <f>21329.45-2252.12+532.3+345.99+26455.28+1.67+3039.85-3960.98+2209.2</f>
        <v>47700.639999999992</v>
      </c>
      <c r="U101" s="261">
        <f t="shared" si="5"/>
        <v>3234.1600000000035</v>
      </c>
      <c r="V101" s="161"/>
      <c r="AH101" s="145"/>
      <c r="AJ101"/>
      <c r="AK101"/>
      <c r="AL101"/>
      <c r="AM101"/>
      <c r="AN101"/>
      <c r="AO101"/>
      <c r="AP101"/>
    </row>
    <row r="102" spans="1:42" ht="31.5" x14ac:dyDescent="0.25">
      <c r="A102" s="257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15</v>
      </c>
      <c r="I102" s="267">
        <v>11</v>
      </c>
      <c r="J102" s="267">
        <v>14</v>
      </c>
      <c r="K102" s="216">
        <v>14</v>
      </c>
      <c r="L102" s="217">
        <v>14</v>
      </c>
      <c r="M102" s="218">
        <f>3259.83+1328.19+2964.21+8477.2+2525.13+577.1</f>
        <v>19131.66</v>
      </c>
      <c r="N102" s="262">
        <f>3259.83+1328.19+2964.21+8477.2</f>
        <v>16029.43</v>
      </c>
      <c r="O102" s="281">
        <f t="shared" si="4"/>
        <v>3102.2299999999996</v>
      </c>
      <c r="P102" s="270">
        <v>4</v>
      </c>
      <c r="Q102" s="283">
        <v>4</v>
      </c>
      <c r="R102" s="284">
        <v>4</v>
      </c>
      <c r="S102" s="262">
        <f>1193.3+5843.89</f>
        <v>7037.1900000000005</v>
      </c>
      <c r="T102" s="262">
        <f>1193.3+5843.89</f>
        <v>7037.1900000000005</v>
      </c>
      <c r="U102" s="262">
        <f t="shared" si="5"/>
        <v>0</v>
      </c>
      <c r="V102" s="161"/>
      <c r="AJ102"/>
      <c r="AK102"/>
      <c r="AL102"/>
      <c r="AM102"/>
      <c r="AN102"/>
      <c r="AO102"/>
      <c r="AP102"/>
    </row>
    <row r="103" spans="1:42" ht="31.5" x14ac:dyDescent="0.25">
      <c r="A103" s="257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29</v>
      </c>
      <c r="I103" s="266">
        <v>8</v>
      </c>
      <c r="J103" s="266">
        <v>10</v>
      </c>
      <c r="K103" s="209">
        <v>10</v>
      </c>
      <c r="L103" s="210">
        <v>10</v>
      </c>
      <c r="M103" s="211">
        <f>699.33+580+1941.55+1384.15</f>
        <v>4605.0300000000007</v>
      </c>
      <c r="N103" s="261">
        <f>699.33+580+1941.55</f>
        <v>3220.88</v>
      </c>
      <c r="O103" s="281">
        <f t="shared" si="4"/>
        <v>1384.1500000000005</v>
      </c>
      <c r="P103" s="271"/>
      <c r="Q103" s="282"/>
      <c r="R103" s="271"/>
      <c r="S103" s="261"/>
      <c r="T103" s="261"/>
      <c r="U103" s="262">
        <f t="shared" si="5"/>
        <v>0</v>
      </c>
      <c r="V103" s="161"/>
      <c r="AJ103"/>
      <c r="AK103"/>
      <c r="AL103"/>
      <c r="AM103"/>
      <c r="AN103"/>
      <c r="AO103"/>
      <c r="AP103"/>
    </row>
    <row r="104" spans="1:42" ht="31.5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266">
        <v>2</v>
      </c>
      <c r="J104" s="266">
        <v>2</v>
      </c>
      <c r="K104" s="209">
        <v>2</v>
      </c>
      <c r="L104" s="210">
        <v>2</v>
      </c>
      <c r="M104" s="211">
        <v>2252.12</v>
      </c>
      <c r="N104" s="261">
        <v>2252.12</v>
      </c>
      <c r="O104" s="281">
        <f t="shared" si="4"/>
        <v>0</v>
      </c>
      <c r="P104" s="271"/>
      <c r="Q104" s="282"/>
      <c r="R104" s="271"/>
      <c r="S104" s="261"/>
      <c r="T104" s="261"/>
      <c r="U104" s="261">
        <f t="shared" si="5"/>
        <v>0</v>
      </c>
      <c r="V104" s="161"/>
      <c r="W104" s="145"/>
      <c r="AF104" s="145"/>
      <c r="AH104" s="145"/>
      <c r="AJ104"/>
      <c r="AK104"/>
      <c r="AL104"/>
      <c r="AM104"/>
      <c r="AN104"/>
      <c r="AO104"/>
      <c r="AP104"/>
    </row>
    <row r="105" spans="1:42" x14ac:dyDescent="0.25">
      <c r="B105" s="362"/>
      <c r="C105" s="362"/>
      <c r="D105" s="362"/>
      <c r="E105" s="362"/>
      <c r="F105" s="362"/>
      <c r="G105" s="362"/>
      <c r="H105" s="119">
        <f t="shared" ref="H105:P105" si="7">SUM(H10:H104)</f>
        <v>2984</v>
      </c>
      <c r="I105" s="268">
        <f t="shared" si="7"/>
        <v>1905</v>
      </c>
      <c r="J105" s="268">
        <f t="shared" si="7"/>
        <v>2600</v>
      </c>
      <c r="K105" s="222">
        <f t="shared" si="7"/>
        <v>2566</v>
      </c>
      <c r="L105" s="223">
        <f t="shared" si="7"/>
        <v>2485</v>
      </c>
      <c r="M105" s="224">
        <f t="shared" si="7"/>
        <v>2112839.6900000004</v>
      </c>
      <c r="N105" s="263">
        <f t="shared" si="7"/>
        <v>1761046.83</v>
      </c>
      <c r="O105" s="263">
        <f t="shared" si="7"/>
        <v>351792.86</v>
      </c>
      <c r="P105" s="272">
        <f t="shared" si="7"/>
        <v>771</v>
      </c>
      <c r="Q105" s="285">
        <f>SUM(Q10:Q104)</f>
        <v>771</v>
      </c>
      <c r="R105" s="272">
        <f>SUM(R11:R104)</f>
        <v>754</v>
      </c>
      <c r="S105" s="263">
        <f>SUM(S10:S104)</f>
        <v>1069738.33</v>
      </c>
      <c r="T105" s="263">
        <f>SUM(T10:T104)</f>
        <v>1045754.2299999997</v>
      </c>
      <c r="U105" s="263">
        <f>SUM(U10:U104)</f>
        <v>23984.100000000013</v>
      </c>
      <c r="V105" s="244"/>
      <c r="W105" s="245"/>
      <c r="X105" s="246"/>
      <c r="Y105" s="245"/>
      <c r="Z105" s="246"/>
      <c r="AA105" s="245"/>
      <c r="AB105" s="246"/>
      <c r="AC105" s="246"/>
      <c r="AD105" s="246"/>
      <c r="AE105" s="246"/>
      <c r="AF105" s="245"/>
      <c r="AG105" s="245"/>
      <c r="AH105" s="236"/>
      <c r="AJ105"/>
      <c r="AK105"/>
      <c r="AL105"/>
      <c r="AM105"/>
      <c r="AN105"/>
      <c r="AO105"/>
      <c r="AP105"/>
    </row>
    <row r="106" spans="1:42" x14ac:dyDescent="0.25">
      <c r="V106" s="245"/>
      <c r="W106" s="245"/>
      <c r="X106" s="246"/>
      <c r="Y106" s="246"/>
      <c r="Z106" s="246"/>
      <c r="AA106" s="246"/>
      <c r="AB106" s="246"/>
      <c r="AC106" s="246"/>
      <c r="AD106" s="246"/>
      <c r="AE106" s="246"/>
      <c r="AF106" s="245"/>
      <c r="AG106" s="246"/>
      <c r="AH106" s="235"/>
      <c r="AJ106"/>
      <c r="AK106"/>
      <c r="AL106"/>
      <c r="AM106"/>
      <c r="AN106"/>
      <c r="AO106"/>
      <c r="AP106"/>
    </row>
    <row r="107" spans="1:42" x14ac:dyDescent="0.25">
      <c r="V107" s="245"/>
      <c r="W107" s="245"/>
      <c r="X107" s="246"/>
      <c r="Y107" s="246"/>
      <c r="Z107" s="246"/>
      <c r="AA107" s="246"/>
      <c r="AB107" s="246"/>
      <c r="AC107" s="246"/>
      <c r="AD107" s="246"/>
      <c r="AE107" s="246"/>
      <c r="AF107" s="245"/>
      <c r="AG107" s="245"/>
      <c r="AH107" s="234"/>
      <c r="AI107" s="145"/>
      <c r="AJ107" s="59"/>
      <c r="AK107"/>
      <c r="AL107"/>
      <c r="AM107"/>
      <c r="AN107"/>
      <c r="AO107"/>
      <c r="AP107"/>
    </row>
    <row r="108" spans="1:42" x14ac:dyDescent="0.25">
      <c r="V108" s="145"/>
      <c r="W108" s="145"/>
      <c r="AF108" s="234"/>
      <c r="AG108" s="234"/>
      <c r="AH108" s="235"/>
      <c r="AJ108"/>
      <c r="AK108"/>
      <c r="AL108"/>
      <c r="AM108"/>
      <c r="AN108"/>
      <c r="AO108"/>
      <c r="AP108"/>
    </row>
    <row r="109" spans="1:42" x14ac:dyDescent="0.25">
      <c r="V109" s="145"/>
      <c r="AF109" s="235"/>
      <c r="AG109" s="235"/>
      <c r="AH109" s="234"/>
      <c r="AJ109"/>
      <c r="AK109"/>
      <c r="AL109"/>
      <c r="AM109"/>
      <c r="AN109"/>
      <c r="AO109"/>
      <c r="AP109"/>
    </row>
    <row r="110" spans="1:42" x14ac:dyDescent="0.25">
      <c r="V110" s="145"/>
      <c r="AF110" s="235"/>
      <c r="AG110" s="235"/>
      <c r="AH110" s="234"/>
      <c r="AJ110"/>
      <c r="AK110"/>
      <c r="AL110"/>
      <c r="AM110"/>
      <c r="AN110"/>
      <c r="AO110"/>
      <c r="AP110"/>
    </row>
    <row r="111" spans="1:42" x14ac:dyDescent="0.25">
      <c r="AF111" s="235"/>
      <c r="AG111" s="235"/>
      <c r="AH111" s="235"/>
      <c r="AJ111"/>
      <c r="AK111"/>
      <c r="AL111"/>
      <c r="AM111"/>
      <c r="AN111"/>
      <c r="AO111"/>
      <c r="AP111"/>
    </row>
    <row r="112" spans="1:42" x14ac:dyDescent="0.25">
      <c r="AF112" s="235"/>
      <c r="AG112" s="235"/>
      <c r="AH112" s="235"/>
      <c r="AJ112"/>
      <c r="AK112"/>
      <c r="AL112"/>
      <c r="AM112"/>
      <c r="AN112"/>
      <c r="AO112"/>
      <c r="AP112"/>
    </row>
    <row r="113" spans="1:42" ht="15" x14ac:dyDescent="0.25">
      <c r="A113" s="258"/>
      <c r="B113"/>
      <c r="C113"/>
      <c r="D113"/>
      <c r="E113"/>
      <c r="F113"/>
      <c r="G113"/>
      <c r="H113"/>
      <c r="I113"/>
      <c r="J113" s="243"/>
      <c r="K113" s="243"/>
      <c r="L113" s="243"/>
      <c r="M113" s="243"/>
      <c r="N113" s="265"/>
      <c r="O113" s="265"/>
      <c r="P113" s="265"/>
      <c r="Q113" s="265"/>
      <c r="R113" s="265"/>
      <c r="S113" s="265"/>
      <c r="T113" s="265"/>
      <c r="U113" s="287"/>
      <c r="V113" s="59"/>
      <c r="W113"/>
      <c r="X113"/>
      <c r="Y113"/>
      <c r="Z113"/>
      <c r="AA113"/>
      <c r="AB113"/>
      <c r="AC113"/>
      <c r="AD113"/>
      <c r="AE113"/>
      <c r="AF113" s="235"/>
      <c r="AG113" s="235"/>
      <c r="AH113" s="235"/>
      <c r="AI113"/>
      <c r="AJ113"/>
      <c r="AK113"/>
      <c r="AL113"/>
      <c r="AM113"/>
      <c r="AN113"/>
      <c r="AO113"/>
      <c r="AP113"/>
    </row>
    <row r="114" spans="1:42" ht="15" x14ac:dyDescent="0.25">
      <c r="A114" s="258"/>
      <c r="B114"/>
      <c r="C114"/>
      <c r="D114"/>
      <c r="E114"/>
      <c r="F114"/>
      <c r="G114"/>
      <c r="H114"/>
      <c r="I114"/>
      <c r="J114" s="243"/>
      <c r="K114" s="243"/>
      <c r="L114" s="243"/>
      <c r="M114" s="243"/>
      <c r="N114" s="265"/>
      <c r="O114" s="265"/>
      <c r="P114" s="265"/>
      <c r="Q114" s="265"/>
      <c r="R114" s="265"/>
      <c r="S114" s="265"/>
      <c r="T114" s="265"/>
      <c r="U114" s="265"/>
      <c r="V114"/>
      <c r="W114"/>
      <c r="X114"/>
      <c r="Y114"/>
      <c r="Z114"/>
      <c r="AA114"/>
      <c r="AB114"/>
      <c r="AC114"/>
      <c r="AD114"/>
      <c r="AE114"/>
      <c r="AF114" s="235"/>
      <c r="AG114" s="235"/>
      <c r="AH114" s="235"/>
      <c r="AI114"/>
      <c r="AJ114"/>
      <c r="AK114"/>
      <c r="AL114"/>
      <c r="AM114"/>
      <c r="AN114"/>
      <c r="AO114"/>
      <c r="AP114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conditionalFormatting sqref="S45">
    <cfRule type="cellIs" dxfId="180" priority="11" stopIfTrue="1" operator="equal">
      <formula>0</formula>
    </cfRule>
  </conditionalFormatting>
  <conditionalFormatting sqref="AL45">
    <cfRule type="cellIs" dxfId="179" priority="10" stopIfTrue="1" operator="equal">
      <formula>0</formula>
    </cfRule>
  </conditionalFormatting>
  <conditionalFormatting sqref="T45">
    <cfRule type="cellIs" dxfId="178" priority="9" stopIfTrue="1" operator="equal">
      <formula>0</formula>
    </cfRule>
  </conditionalFormatting>
  <conditionalFormatting sqref="T45">
    <cfRule type="cellIs" dxfId="177" priority="8" stopIfTrue="1" operator="equal">
      <formula>0</formula>
    </cfRule>
  </conditionalFormatting>
  <conditionalFormatting sqref="T45">
    <cfRule type="cellIs" dxfId="176" priority="7" stopIfTrue="1" operator="equal">
      <formula>0</formula>
    </cfRule>
  </conditionalFormatting>
  <conditionalFormatting sqref="T45">
    <cfRule type="cellIs" dxfId="175" priority="6" stopIfTrue="1" operator="equal">
      <formula>0</formula>
    </cfRule>
  </conditionalFormatting>
  <conditionalFormatting sqref="T45">
    <cfRule type="cellIs" dxfId="174" priority="5" stopIfTrue="1" operator="equal">
      <formula>0</formula>
    </cfRule>
  </conditionalFormatting>
  <conditionalFormatting sqref="T45">
    <cfRule type="cellIs" dxfId="173" priority="4" stopIfTrue="1" operator="equal">
      <formula>0</formula>
    </cfRule>
  </conditionalFormatting>
  <conditionalFormatting sqref="T45">
    <cfRule type="cellIs" dxfId="172" priority="3" stopIfTrue="1" operator="equal">
      <formula>0</formula>
    </cfRule>
  </conditionalFormatting>
  <conditionalFormatting sqref="T45">
    <cfRule type="cellIs" dxfId="171" priority="2" stopIfTrue="1" operator="equal">
      <formula>0</formula>
    </cfRule>
  </conditionalFormatting>
  <conditionalFormatting sqref="T45">
    <cfRule type="cellIs" dxfId="170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B103" zoomScale="80" zoomScaleNormal="80" workbookViewId="0">
      <selection activeCell="W105" sqref="W105:W107"/>
    </sheetView>
  </sheetViews>
  <sheetFormatPr defaultRowHeight="15.75" x14ac:dyDescent="0.25"/>
  <cols>
    <col min="1" max="1" width="6.28515625" style="257" hidden="1" customWidth="1"/>
    <col min="2" max="2" width="7.425781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0" style="184" customWidth="1"/>
    <col min="7" max="7" width="18.5703125" style="184" customWidth="1"/>
    <col min="8" max="8" width="10.7109375" style="184" customWidth="1"/>
    <col min="9" max="9" width="9.140625" style="184" customWidth="1"/>
    <col min="10" max="12" width="9.140625" style="227" customWidth="1"/>
    <col min="13" max="13" width="16.5703125" style="228" customWidth="1"/>
    <col min="14" max="14" width="15.140625" style="228" customWidth="1"/>
    <col min="15" max="15" width="19.5703125" style="228" customWidth="1"/>
    <col min="16" max="17" width="11.85546875" style="228" customWidth="1"/>
    <col min="18" max="18" width="11.7109375" style="228" customWidth="1"/>
    <col min="19" max="19" width="16.7109375" style="264" customWidth="1"/>
    <col min="20" max="20" width="17.140625" style="264" customWidth="1"/>
    <col min="21" max="21" width="17.85546875" style="286" customWidth="1"/>
    <col min="22" max="22" width="15" style="134" hidden="1" customWidth="1"/>
    <col min="23" max="23" width="14" style="134" customWidth="1"/>
    <col min="24" max="24" width="9.140625" style="134" customWidth="1"/>
    <col min="25" max="25" width="18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3" style="134" customWidth="1"/>
    <col min="35" max="35" width="9.140625" style="134" customWidth="1"/>
    <col min="36" max="36" width="11.7109375" style="134" customWidth="1"/>
    <col min="37" max="42" width="9.140625" style="134" customWidth="1"/>
  </cols>
  <sheetData>
    <row r="1" spans="1:42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63" t="s">
        <v>17</v>
      </c>
      <c r="T1" s="363"/>
      <c r="U1" s="363"/>
      <c r="AO1"/>
      <c r="AP1"/>
    </row>
    <row r="2" spans="1:42" x14ac:dyDescent="0.25">
      <c r="B2" s="348" t="s">
        <v>329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  <c r="AO2"/>
      <c r="AP2"/>
    </row>
    <row r="3" spans="1:42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  <c r="AO3"/>
      <c r="AP3"/>
    </row>
    <row r="4" spans="1:42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  <c r="AO4"/>
      <c r="AP4"/>
    </row>
    <row r="5" spans="1:42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  <c r="AO5"/>
      <c r="AP5"/>
    </row>
    <row r="6" spans="1:42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  <c r="AO6"/>
      <c r="AP6"/>
    </row>
    <row r="7" spans="1:42" ht="16.5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64" t="s">
        <v>330</v>
      </c>
      <c r="Q7" s="365"/>
      <c r="R7" s="365"/>
      <c r="S7" s="365"/>
      <c r="T7" s="365"/>
      <c r="U7" s="366"/>
      <c r="AO7"/>
      <c r="AP7"/>
    </row>
    <row r="8" spans="1:42" ht="299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259" t="s">
        <v>14</v>
      </c>
      <c r="T8" s="259" t="s">
        <v>15</v>
      </c>
      <c r="U8" s="259" t="s">
        <v>16</v>
      </c>
      <c r="AO8"/>
      <c r="AP8"/>
    </row>
    <row r="9" spans="1:42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 t="shared" si="0"/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260">
        <f t="shared" si="0"/>
        <v>18</v>
      </c>
      <c r="T9" s="280">
        <f t="shared" si="0"/>
        <v>19</v>
      </c>
      <c r="U9" s="260">
        <f t="shared" si="0"/>
        <v>20</v>
      </c>
      <c r="AO9"/>
      <c r="AP9"/>
    </row>
    <row r="10" spans="1:42" ht="31.5" x14ac:dyDescent="0.25">
      <c r="A10" s="257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46</v>
      </c>
      <c r="I10" s="210">
        <v>30</v>
      </c>
      <c r="J10" s="210">
        <v>34</v>
      </c>
      <c r="K10" s="209">
        <v>34</v>
      </c>
      <c r="L10" s="210">
        <v>29</v>
      </c>
      <c r="M10" s="288">
        <v>14941.14</v>
      </c>
      <c r="N10" s="288">
        <v>14941.14</v>
      </c>
      <c r="O10" s="289">
        <f xml:space="preserve"> (M10-N10)</f>
        <v>0</v>
      </c>
      <c r="P10" s="213">
        <v>8</v>
      </c>
      <c r="Q10" s="214">
        <v>8</v>
      </c>
      <c r="R10" s="215">
        <v>8</v>
      </c>
      <c r="S10" s="288">
        <f>4246.75+895.7+2557.8</f>
        <v>7700.25</v>
      </c>
      <c r="T10" s="288">
        <f>4246.75+895.7+2557.8</f>
        <v>7700.25</v>
      </c>
      <c r="U10" s="288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  <c r="AO10"/>
      <c r="AP10"/>
    </row>
    <row r="11" spans="1:42" ht="31.5" x14ac:dyDescent="0.25">
      <c r="A11" s="257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19</v>
      </c>
      <c r="I11" s="210">
        <v>13</v>
      </c>
      <c r="J11" s="210">
        <v>15</v>
      </c>
      <c r="K11" s="209">
        <v>15</v>
      </c>
      <c r="L11" s="210">
        <v>13</v>
      </c>
      <c r="M11" s="288">
        <v>5772.86</v>
      </c>
      <c r="N11" s="288">
        <v>5772.86</v>
      </c>
      <c r="O11" s="289">
        <f t="shared" ref="O11:O74" si="1" xml:space="preserve"> (M11-N11)</f>
        <v>0</v>
      </c>
      <c r="P11" s="213">
        <v>2</v>
      </c>
      <c r="Q11" s="214">
        <v>2</v>
      </c>
      <c r="R11" s="215">
        <v>2</v>
      </c>
      <c r="S11" s="288">
        <f>234.26+1035.3</f>
        <v>1269.56</v>
      </c>
      <c r="T11" s="288">
        <f>234.26+1035.3</f>
        <v>1269.56</v>
      </c>
      <c r="U11" s="288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  <c r="AO11"/>
      <c r="AP11"/>
    </row>
    <row r="12" spans="1:42" x14ac:dyDescent="0.25">
      <c r="A12" s="257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210"/>
      <c r="J12" s="210"/>
      <c r="K12" s="209"/>
      <c r="L12" s="210"/>
      <c r="M12" s="288"/>
      <c r="N12" s="288"/>
      <c r="O12" s="289">
        <f t="shared" si="1"/>
        <v>0</v>
      </c>
      <c r="P12" s="213">
        <v>3</v>
      </c>
      <c r="Q12" s="214">
        <v>3</v>
      </c>
      <c r="R12" s="215">
        <v>3</v>
      </c>
      <c r="S12" s="288">
        <v>8035.44</v>
      </c>
      <c r="T12" s="288">
        <v>8035.44</v>
      </c>
      <c r="U12" s="288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  <c r="AO12"/>
      <c r="AP12"/>
    </row>
    <row r="13" spans="1:42" ht="31.5" x14ac:dyDescent="0.25">
      <c r="A13" s="257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42</v>
      </c>
      <c r="I13" s="210">
        <v>27</v>
      </c>
      <c r="J13" s="210">
        <v>38</v>
      </c>
      <c r="K13" s="209">
        <v>37</v>
      </c>
      <c r="L13" s="210">
        <v>37</v>
      </c>
      <c r="M13" s="288">
        <v>20604.96</v>
      </c>
      <c r="N13" s="288">
        <f>272.84+2699.54+4096.17+939.54+5290.74-937.1</f>
        <v>12361.73</v>
      </c>
      <c r="O13" s="289">
        <f t="shared" si="1"/>
        <v>8243.23</v>
      </c>
      <c r="P13" s="213">
        <v>8</v>
      </c>
      <c r="Q13" s="214">
        <v>8</v>
      </c>
      <c r="R13" s="215">
        <v>8</v>
      </c>
      <c r="S13" s="288">
        <f>7385.53+1228.66+7042.2+301.46+2403.86</f>
        <v>18361.71</v>
      </c>
      <c r="T13" s="288">
        <f>7385.53+1228.66+7042.2+301.46</f>
        <v>15957.849999999999</v>
      </c>
      <c r="U13" s="288">
        <f t="shared" si="2"/>
        <v>2403.8600000000006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  <c r="AO13"/>
      <c r="AP13"/>
    </row>
    <row r="14" spans="1:42" ht="31.5" x14ac:dyDescent="0.25">
      <c r="A14" s="257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39</v>
      </c>
      <c r="I14" s="210">
        <v>25</v>
      </c>
      <c r="J14" s="210">
        <v>33</v>
      </c>
      <c r="K14" s="209">
        <v>33</v>
      </c>
      <c r="L14" s="210">
        <v>28</v>
      </c>
      <c r="M14" s="288">
        <f>4932.74+3257.04+137+2487.39+344.5+725+7097.92+895.7+6261.98+0.8</f>
        <v>26140.069999999996</v>
      </c>
      <c r="N14" s="288">
        <f>4932.74+3257.04+137+2487.39+344.5+725+14255.6+0.8</f>
        <v>26140.069999999996</v>
      </c>
      <c r="O14" s="289">
        <f t="shared" si="1"/>
        <v>0</v>
      </c>
      <c r="P14" s="213">
        <v>7</v>
      </c>
      <c r="Q14" s="214">
        <v>7</v>
      </c>
      <c r="R14" s="215">
        <v>6</v>
      </c>
      <c r="S14" s="288">
        <f>2847.1+1515.8</f>
        <v>4362.8999999999996</v>
      </c>
      <c r="T14" s="288">
        <f>2847.1+1515.8</f>
        <v>4362.8999999999996</v>
      </c>
      <c r="U14" s="288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  <c r="AO14"/>
      <c r="AP14"/>
    </row>
    <row r="15" spans="1:42" ht="31.5" x14ac:dyDescent="0.25">
      <c r="A15" s="257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38</v>
      </c>
      <c r="I15" s="210">
        <v>27</v>
      </c>
      <c r="J15" s="210">
        <v>32</v>
      </c>
      <c r="K15" s="209">
        <v>32</v>
      </c>
      <c r="L15" s="210">
        <v>32</v>
      </c>
      <c r="M15" s="288">
        <v>25965.08</v>
      </c>
      <c r="N15" s="288">
        <f>16942.87+1278.76+580+108.75+1413.75+2629.64</f>
        <v>22953.769999999997</v>
      </c>
      <c r="O15" s="289">
        <f t="shared" si="1"/>
        <v>3011.3100000000049</v>
      </c>
      <c r="P15" s="213">
        <v>16</v>
      </c>
      <c r="Q15" s="214">
        <v>16</v>
      </c>
      <c r="R15" s="215">
        <v>16</v>
      </c>
      <c r="S15" s="288">
        <f>13813.9+1491.1+372.78+454.21</f>
        <v>16131.99</v>
      </c>
      <c r="T15" s="288">
        <f>13813.9+1491.1+372.78</f>
        <v>15677.78</v>
      </c>
      <c r="U15" s="288">
        <f t="shared" si="2"/>
        <v>454.20999999999913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  <c r="AO15"/>
      <c r="AP15"/>
    </row>
    <row r="16" spans="1:42" ht="31.5" x14ac:dyDescent="0.25">
      <c r="A16" s="257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210"/>
      <c r="J16" s="210"/>
      <c r="K16" s="209"/>
      <c r="L16" s="210"/>
      <c r="M16" s="288"/>
      <c r="N16" s="288"/>
      <c r="O16" s="289">
        <f t="shared" si="1"/>
        <v>0</v>
      </c>
      <c r="P16" s="213"/>
      <c r="Q16" s="214"/>
      <c r="R16" s="215"/>
      <c r="S16" s="288"/>
      <c r="T16" s="288"/>
      <c r="U16" s="288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  <c r="AO16"/>
      <c r="AP16"/>
    </row>
    <row r="17" spans="1:42" ht="20.100000000000001" customHeight="1" x14ac:dyDescent="0.25">
      <c r="A17" s="257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54</v>
      </c>
      <c r="I17" s="210">
        <v>30</v>
      </c>
      <c r="J17" s="210">
        <v>38</v>
      </c>
      <c r="K17" s="209">
        <v>37</v>
      </c>
      <c r="L17" s="210">
        <v>34</v>
      </c>
      <c r="M17" s="288">
        <f>7235.14+4416.12+1559.66+658.56+1087.5+652.5+1377.5+1615.75+2829.41+7208.27+5247.45</f>
        <v>33887.86</v>
      </c>
      <c r="N17" s="288">
        <f>7235.14+4416.12+1559.66+658.56+1087.5+6475.16</f>
        <v>21432.14</v>
      </c>
      <c r="O17" s="289">
        <f t="shared" si="1"/>
        <v>12455.720000000001</v>
      </c>
      <c r="P17" s="213">
        <v>1</v>
      </c>
      <c r="Q17" s="214">
        <v>1</v>
      </c>
      <c r="R17" s="215">
        <v>1</v>
      </c>
      <c r="S17" s="288">
        <v>1033.5</v>
      </c>
      <c r="T17" s="288">
        <v>1033.5</v>
      </c>
      <c r="U17" s="288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257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39</v>
      </c>
      <c r="I18" s="210">
        <v>28</v>
      </c>
      <c r="J18" s="210">
        <v>37</v>
      </c>
      <c r="K18" s="210">
        <v>37</v>
      </c>
      <c r="L18" s="210">
        <v>34</v>
      </c>
      <c r="M18" s="288">
        <f>2118.92+12936.58+4403.89+2411.49+2972.12+403.47+2654.68+806.94+1188.45+2382.18</f>
        <v>32278.719999999998</v>
      </c>
      <c r="N18" s="288">
        <f>2118.92+12936.58+4403.89+2411.49+2972.12+403.4+4651.07</f>
        <v>29897.469999999998</v>
      </c>
      <c r="O18" s="289">
        <f t="shared" si="1"/>
        <v>2381.25</v>
      </c>
      <c r="P18" s="213">
        <v>7</v>
      </c>
      <c r="Q18" s="215">
        <v>7</v>
      </c>
      <c r="R18" s="215">
        <v>6</v>
      </c>
      <c r="S18" s="288">
        <f>14748.55+934.31</f>
        <v>15682.859999999999</v>
      </c>
      <c r="T18" s="288">
        <f>14748.55+934.31</f>
        <v>15682.859999999999</v>
      </c>
      <c r="U18" s="288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257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41</v>
      </c>
      <c r="I19" s="210">
        <v>24</v>
      </c>
      <c r="J19" s="210">
        <v>41</v>
      </c>
      <c r="K19" s="209">
        <v>38</v>
      </c>
      <c r="L19" s="210">
        <v>37</v>
      </c>
      <c r="M19" s="288">
        <f>28952.05+4575.15</f>
        <v>33527.199999999997</v>
      </c>
      <c r="N19" s="288">
        <f>5345.36+3385.2+4242.79+7468.83+387.77+8122.09</f>
        <v>28952.04</v>
      </c>
      <c r="O19" s="289">
        <f t="shared" si="1"/>
        <v>4575.1599999999962</v>
      </c>
      <c r="P19" s="213">
        <v>16</v>
      </c>
      <c r="Q19" s="214">
        <v>16</v>
      </c>
      <c r="R19" s="215">
        <v>16</v>
      </c>
      <c r="S19" s="288">
        <f>33206.03+1234.29</f>
        <v>34440.32</v>
      </c>
      <c r="T19" s="288">
        <f>12589.36+4299.58+3922.41+8458.25+3936.43</f>
        <v>33206.03</v>
      </c>
      <c r="U19" s="288">
        <f t="shared" si="2"/>
        <v>1234.2900000000009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257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55</v>
      </c>
      <c r="I20" s="210">
        <v>31</v>
      </c>
      <c r="J20" s="210">
        <v>44</v>
      </c>
      <c r="K20" s="210">
        <v>44</v>
      </c>
      <c r="L20" s="210">
        <v>40</v>
      </c>
      <c r="M20" s="288">
        <f>5728.14+3727.02+315.94+2507.59+652.5+2191.47+1855.28+358.88+2503.15+5297.67+1579.05+5739.83+1713.14</f>
        <v>34169.659999999996</v>
      </c>
      <c r="N20" s="288">
        <f>5728.14+3727.02+315.94+2507.59+652.5+2191.47+1855.28+2371.7+15119.7-299.68</f>
        <v>34169.659999999996</v>
      </c>
      <c r="O20" s="289">
        <f t="shared" si="1"/>
        <v>0</v>
      </c>
      <c r="P20" s="213">
        <v>28</v>
      </c>
      <c r="Q20" s="215">
        <v>28</v>
      </c>
      <c r="R20" s="215">
        <v>28</v>
      </c>
      <c r="S20" s="288">
        <f>36404.57+1488.24+1902.09+2012.82</f>
        <v>41807.719999999994</v>
      </c>
      <c r="T20" s="288">
        <f>36404.57+1488.24+1902.09+299.68</f>
        <v>40094.579999999994</v>
      </c>
      <c r="U20" s="288">
        <f t="shared" si="2"/>
        <v>1713.1399999999994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257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28</v>
      </c>
      <c r="I21" s="210">
        <v>18</v>
      </c>
      <c r="J21" s="210">
        <v>23</v>
      </c>
      <c r="K21" s="209">
        <v>22</v>
      </c>
      <c r="L21" s="210">
        <v>20</v>
      </c>
      <c r="M21" s="288">
        <f>17955.67+413.4</f>
        <v>18369.07</v>
      </c>
      <c r="N21" s="288">
        <f>3586.84+1791.4+1337.88+413.4+1061.35+942.5+2425.9+6396.4</f>
        <v>17955.669999999998</v>
      </c>
      <c r="O21" s="289">
        <f t="shared" si="1"/>
        <v>413.40000000000146</v>
      </c>
      <c r="P21" s="213">
        <v>10</v>
      </c>
      <c r="Q21" s="214">
        <v>10</v>
      </c>
      <c r="R21" s="215">
        <v>8</v>
      </c>
      <c r="S21" s="288">
        <v>10636.43</v>
      </c>
      <c r="T21" s="288">
        <f>7288.02+447.62+2487.39+413.4</f>
        <v>10636.43</v>
      </c>
      <c r="U21" s="288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257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130</v>
      </c>
      <c r="I22" s="210">
        <v>97</v>
      </c>
      <c r="J22" s="210">
        <v>117</v>
      </c>
      <c r="K22" s="210">
        <v>117</v>
      </c>
      <c r="L22" s="210">
        <v>117</v>
      </c>
      <c r="M22" s="288">
        <f>19787.02+2513.73+2255.05+12081.39+6786.96+4545.76+7112.29+9234.79+3303.99+8291.91</f>
        <v>75912.890000000014</v>
      </c>
      <c r="N22" s="288">
        <f>19787.02+2513.73+2255.05+12081.39+6786.96+4545.76+19651.57</f>
        <v>67621.48000000001</v>
      </c>
      <c r="O22" s="289">
        <f t="shared" si="1"/>
        <v>8291.4100000000035</v>
      </c>
      <c r="P22" s="213">
        <v>26</v>
      </c>
      <c r="Q22" s="215">
        <v>26</v>
      </c>
      <c r="R22" s="215">
        <v>25</v>
      </c>
      <c r="S22" s="288">
        <f>24103.23+3334.5+1378+3155.14+1090.31</f>
        <v>33061.18</v>
      </c>
      <c r="T22" s="288">
        <f>24103.23+3334.5+1378+3155.64</f>
        <v>31971.37</v>
      </c>
      <c r="U22" s="288">
        <f t="shared" si="2"/>
        <v>1089.8100000000013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257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21</v>
      </c>
      <c r="I23" s="210">
        <v>16</v>
      </c>
      <c r="J23" s="210">
        <v>26</v>
      </c>
      <c r="K23" s="209">
        <v>26</v>
      </c>
      <c r="L23" s="210">
        <v>23</v>
      </c>
      <c r="M23" s="288">
        <f>5739.04+1828.05+1440.72+631.62+564.05+641.19+793.15+2475.51+1311.53+5430.51+1513.04-3246.27</f>
        <v>19122.140000000003</v>
      </c>
      <c r="N23" s="288">
        <f>5739.04+1828.05+1440.72+631.62+564.05+641.19+793.15+3787.04-3246.27</f>
        <v>12178.59</v>
      </c>
      <c r="O23" s="289">
        <f t="shared" si="1"/>
        <v>6943.5500000000029</v>
      </c>
      <c r="P23" s="213">
        <v>12</v>
      </c>
      <c r="Q23" s="214">
        <v>12</v>
      </c>
      <c r="R23" s="215">
        <v>12</v>
      </c>
      <c r="S23" s="288">
        <f>26607.02+6387.23</f>
        <v>32994.25</v>
      </c>
      <c r="T23" s="288">
        <f>26607.02+6387.23</f>
        <v>32994.25</v>
      </c>
      <c r="U23" s="288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257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24</v>
      </c>
      <c r="I24" s="210">
        <v>19</v>
      </c>
      <c r="J24" s="210">
        <v>22</v>
      </c>
      <c r="K24" s="209">
        <v>22</v>
      </c>
      <c r="L24" s="210">
        <v>22</v>
      </c>
      <c r="M24" s="288">
        <f>1515.11+3525.12+1811.05+3675.45</f>
        <v>10526.73</v>
      </c>
      <c r="N24" s="288">
        <f>1515.11+3525.12+1811.05+3675.45</f>
        <v>10526.73</v>
      </c>
      <c r="O24" s="289">
        <f t="shared" si="1"/>
        <v>0</v>
      </c>
      <c r="P24" s="213">
        <v>7</v>
      </c>
      <c r="Q24" s="214">
        <v>7</v>
      </c>
      <c r="R24" s="215">
        <v>7</v>
      </c>
      <c r="S24" s="288">
        <v>6720.87</v>
      </c>
      <c r="T24" s="288">
        <v>6720.87</v>
      </c>
      <c r="U24" s="288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257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46</v>
      </c>
      <c r="I25" s="210">
        <v>16</v>
      </c>
      <c r="J25" s="210">
        <v>38</v>
      </c>
      <c r="K25" s="210">
        <v>38</v>
      </c>
      <c r="L25" s="210">
        <v>37</v>
      </c>
      <c r="M25" s="288">
        <f>9005.69+15068.32+3714.72+1200.78+3057.6+836.9+31</f>
        <v>32915.01</v>
      </c>
      <c r="N25" s="288">
        <f>9005.69+15068.32+3714.72+1200.78+31</f>
        <v>29020.510000000002</v>
      </c>
      <c r="O25" s="289">
        <f t="shared" si="1"/>
        <v>3894.5</v>
      </c>
      <c r="P25" s="213">
        <v>22</v>
      </c>
      <c r="Q25" s="215">
        <v>22</v>
      </c>
      <c r="R25" s="215">
        <v>22</v>
      </c>
      <c r="S25" s="288">
        <f>24213.05+6197.08+341.06</f>
        <v>30751.19</v>
      </c>
      <c r="T25" s="288">
        <f>24213.05+6197.08+341.06</f>
        <v>30751.19</v>
      </c>
      <c r="U25" s="288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257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24</v>
      </c>
      <c r="I26" s="210">
        <v>11</v>
      </c>
      <c r="J26" s="210">
        <v>18</v>
      </c>
      <c r="K26" s="209">
        <v>18</v>
      </c>
      <c r="L26" s="210">
        <v>18</v>
      </c>
      <c r="M26" s="288">
        <f>3777.1+6399.51+6251.64+358.88</f>
        <v>16787.13</v>
      </c>
      <c r="N26" s="288">
        <f>3777.1+6399.51+6251.64+358.88</f>
        <v>16787.13</v>
      </c>
      <c r="O26" s="289">
        <f t="shared" si="1"/>
        <v>0</v>
      </c>
      <c r="P26" s="213">
        <v>12</v>
      </c>
      <c r="Q26" s="214">
        <v>12</v>
      </c>
      <c r="R26" s="215">
        <v>12</v>
      </c>
      <c r="S26" s="288">
        <f>3386.7+2140.45</f>
        <v>5527.15</v>
      </c>
      <c r="T26" s="288">
        <f>3386.7+2140.45</f>
        <v>5527.15</v>
      </c>
      <c r="U26" s="288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257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37</v>
      </c>
      <c r="I27" s="210">
        <v>23</v>
      </c>
      <c r="J27" s="210">
        <v>40</v>
      </c>
      <c r="K27" s="209">
        <v>40</v>
      </c>
      <c r="L27" s="210">
        <v>40</v>
      </c>
      <c r="M27" s="288">
        <f>24273.31+574.2+300.99</f>
        <v>25148.500000000004</v>
      </c>
      <c r="N27" s="288">
        <f>6801.73+4254.18+3948.81+757.9+1004.85+1005.5+5240.86+1259.48+300.99</f>
        <v>24574.3</v>
      </c>
      <c r="O27" s="289">
        <f t="shared" si="1"/>
        <v>574.20000000000437</v>
      </c>
      <c r="P27" s="213">
        <v>14</v>
      </c>
      <c r="Q27" s="214">
        <v>14</v>
      </c>
      <c r="R27" s="215">
        <v>14</v>
      </c>
      <c r="S27" s="288">
        <v>13025.83</v>
      </c>
      <c r="T27" s="288">
        <f>12827.9+197.93</f>
        <v>13025.83</v>
      </c>
      <c r="U27" s="288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210"/>
      <c r="J28" s="210"/>
      <c r="K28" s="209"/>
      <c r="L28" s="210"/>
      <c r="M28" s="288"/>
      <c r="N28" s="288"/>
      <c r="O28" s="289">
        <f t="shared" si="1"/>
        <v>0</v>
      </c>
      <c r="P28" s="213"/>
      <c r="Q28" s="214"/>
      <c r="R28" s="215"/>
      <c r="S28" s="288"/>
      <c r="T28" s="288"/>
      <c r="U28" s="288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257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36</v>
      </c>
      <c r="I29" s="210">
        <v>26</v>
      </c>
      <c r="J29" s="210">
        <v>41</v>
      </c>
      <c r="K29" s="209">
        <v>40</v>
      </c>
      <c r="L29" s="210">
        <v>35</v>
      </c>
      <c r="M29" s="288">
        <f>7765.28+1107.91+3282.4+1320.23+1580.98+622.05+447.4+992.16+691.25+3323.84+3765.77+639.43</f>
        <v>25538.7</v>
      </c>
      <c r="N29" s="288">
        <f>7765.28+1107.91+3282.4+1320.23+1580.98+622.05+447.4+992.16+6148.74+1632.12+639.43</f>
        <v>25538.7</v>
      </c>
      <c r="O29" s="289">
        <f t="shared" si="1"/>
        <v>0</v>
      </c>
      <c r="P29" s="213">
        <v>14</v>
      </c>
      <c r="Q29" s="214">
        <v>14</v>
      </c>
      <c r="R29" s="215">
        <v>14</v>
      </c>
      <c r="S29" s="288">
        <f>15185.09+570.43</f>
        <v>15755.52</v>
      </c>
      <c r="T29" s="288">
        <f>15185.09+570.43</f>
        <v>15755.52</v>
      </c>
      <c r="U29" s="288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257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51</v>
      </c>
      <c r="I30" s="210">
        <v>39</v>
      </c>
      <c r="J30" s="210">
        <v>56</v>
      </c>
      <c r="K30" s="210">
        <v>56</v>
      </c>
      <c r="L30" s="210">
        <v>51</v>
      </c>
      <c r="M30" s="288">
        <v>38400.01</v>
      </c>
      <c r="N30" s="288">
        <f>5246.17+4965.96+1939.12+3762.43+2342.38+4011.61+2238.08+13894.26</f>
        <v>38400.01</v>
      </c>
      <c r="O30" s="289">
        <f t="shared" si="1"/>
        <v>0</v>
      </c>
      <c r="P30" s="213">
        <v>23</v>
      </c>
      <c r="Q30" s="215">
        <v>23</v>
      </c>
      <c r="R30" s="215">
        <v>23</v>
      </c>
      <c r="S30" s="288">
        <v>49912.160000000003</v>
      </c>
      <c r="T30" s="288">
        <f>39414.6+4786.67+1562.33+638.43+2216.93+1293.2</f>
        <v>49912.159999999996</v>
      </c>
      <c r="U30" s="288">
        <f t="shared" si="2"/>
        <v>7.2759576141834259E-12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257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210">
        <v>1</v>
      </c>
      <c r="J31" s="210">
        <v>2</v>
      </c>
      <c r="K31" s="209">
        <v>2</v>
      </c>
      <c r="L31" s="210">
        <v>2</v>
      </c>
      <c r="M31" s="288">
        <v>860.25</v>
      </c>
      <c r="N31" s="288">
        <v>860.25</v>
      </c>
      <c r="O31" s="289">
        <f t="shared" si="1"/>
        <v>0</v>
      </c>
      <c r="P31" s="213">
        <v>2</v>
      </c>
      <c r="Q31" s="214">
        <v>2</v>
      </c>
      <c r="R31" s="215">
        <v>2</v>
      </c>
      <c r="S31" s="288">
        <f>442.37+1014.7</f>
        <v>1457.0700000000002</v>
      </c>
      <c r="T31" s="288">
        <f>442.37+1014.7</f>
        <v>1457.0700000000002</v>
      </c>
      <c r="U31" s="288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>
        <v>2</v>
      </c>
      <c r="I32" s="210"/>
      <c r="J32" s="210"/>
      <c r="K32" s="209"/>
      <c r="L32" s="210"/>
      <c r="M32" s="288"/>
      <c r="N32" s="288"/>
      <c r="O32" s="289">
        <f t="shared" si="1"/>
        <v>0</v>
      </c>
      <c r="P32" s="213"/>
      <c r="Q32" s="214"/>
      <c r="R32" s="215"/>
      <c r="S32" s="288"/>
      <c r="T32" s="288"/>
      <c r="U32" s="288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2" ht="31.5" x14ac:dyDescent="0.25">
      <c r="A33" s="257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15</v>
      </c>
      <c r="I33" s="210">
        <v>10</v>
      </c>
      <c r="J33" s="210">
        <v>14</v>
      </c>
      <c r="K33" s="209">
        <v>14</v>
      </c>
      <c r="L33" s="210">
        <v>12</v>
      </c>
      <c r="M33" s="288">
        <f>4065+2226.4+2915.4+290+826.9</f>
        <v>10323.699999999999</v>
      </c>
      <c r="N33" s="288">
        <f>4065+2226.4+2915.4+290+826.9</f>
        <v>10323.699999999999</v>
      </c>
      <c r="O33" s="289">
        <f t="shared" si="1"/>
        <v>0</v>
      </c>
      <c r="P33" s="213"/>
      <c r="Q33" s="214"/>
      <c r="R33" s="215"/>
      <c r="S33" s="288"/>
      <c r="T33" s="288"/>
      <c r="U33" s="288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  <c r="AO33"/>
      <c r="AP33"/>
    </row>
    <row r="34" spans="1:42" ht="31.5" x14ac:dyDescent="0.25">
      <c r="A34" s="257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210">
        <v>14</v>
      </c>
      <c r="J34" s="210">
        <v>22</v>
      </c>
      <c r="K34" s="209">
        <v>22</v>
      </c>
      <c r="L34" s="210">
        <v>22</v>
      </c>
      <c r="M34" s="288">
        <f>8742.16+2424.59+5871.23</f>
        <v>17037.98</v>
      </c>
      <c r="N34" s="288">
        <f>8742.16+2424.59+5871.23</f>
        <v>17037.98</v>
      </c>
      <c r="O34" s="289">
        <f t="shared" si="1"/>
        <v>0</v>
      </c>
      <c r="P34" s="213">
        <v>2</v>
      </c>
      <c r="Q34" s="214">
        <v>2</v>
      </c>
      <c r="R34" s="215">
        <v>2</v>
      </c>
      <c r="S34" s="288">
        <v>872.59</v>
      </c>
      <c r="T34" s="288">
        <v>872.59</v>
      </c>
      <c r="U34" s="288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  <c r="AO34"/>
      <c r="AP34"/>
    </row>
    <row r="35" spans="1:42" ht="31.5" x14ac:dyDescent="0.25">
      <c r="A35" s="257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17</v>
      </c>
      <c r="I35" s="210">
        <v>6</v>
      </c>
      <c r="J35" s="210">
        <v>13</v>
      </c>
      <c r="K35" s="209">
        <v>13</v>
      </c>
      <c r="L35" s="210">
        <v>12</v>
      </c>
      <c r="M35" s="288">
        <f>8755.24+1745.06</f>
        <v>10500.3</v>
      </c>
      <c r="N35" s="288">
        <f>8755.24+1745.06</f>
        <v>10500.3</v>
      </c>
      <c r="O35" s="289">
        <f t="shared" si="1"/>
        <v>0</v>
      </c>
      <c r="P35" s="213">
        <v>10</v>
      </c>
      <c r="Q35" s="214">
        <v>10</v>
      </c>
      <c r="R35" s="215">
        <v>10</v>
      </c>
      <c r="S35" s="288">
        <f>9249.99+1156.49</f>
        <v>10406.48</v>
      </c>
      <c r="T35" s="288">
        <f>9249.99+1156.49</f>
        <v>10406.48</v>
      </c>
      <c r="U35" s="288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  <c r="AO35"/>
      <c r="AP35"/>
    </row>
    <row r="36" spans="1:42" ht="31.5" x14ac:dyDescent="0.25">
      <c r="A36" s="257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26</v>
      </c>
      <c r="I36" s="210">
        <v>13</v>
      </c>
      <c r="J36" s="210">
        <v>16</v>
      </c>
      <c r="K36" s="209">
        <v>16</v>
      </c>
      <c r="L36" s="210">
        <v>16</v>
      </c>
      <c r="M36" s="288">
        <f>2360+2665.25+2800.06+3488.89+1050.79+1436.08</f>
        <v>13801.069999999998</v>
      </c>
      <c r="N36" s="288">
        <f>2360+2665.25+2800.06+3488.89+1050.79+1436.08</f>
        <v>13801.069999999998</v>
      </c>
      <c r="O36" s="289">
        <f t="shared" si="1"/>
        <v>0</v>
      </c>
      <c r="P36" s="213">
        <v>6</v>
      </c>
      <c r="Q36" s="214">
        <v>6</v>
      </c>
      <c r="R36" s="215">
        <v>6</v>
      </c>
      <c r="S36" s="288">
        <f>3433.93+5939.33+1723.52</f>
        <v>11096.78</v>
      </c>
      <c r="T36" s="288">
        <v>11096.78</v>
      </c>
      <c r="U36" s="288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  <c r="AO36"/>
      <c r="AP36"/>
    </row>
    <row r="37" spans="1:42" ht="31.5" x14ac:dyDescent="0.25">
      <c r="A37" s="257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24</v>
      </c>
      <c r="I37" s="210">
        <v>13</v>
      </c>
      <c r="J37" s="210">
        <v>21</v>
      </c>
      <c r="K37" s="209">
        <v>21</v>
      </c>
      <c r="L37" s="210">
        <v>18</v>
      </c>
      <c r="M37" s="288">
        <f>4126.56+990.2+862.75+145+358.88+1424.06+2121.03+508.5</f>
        <v>10536.980000000001</v>
      </c>
      <c r="N37" s="288">
        <f>4126.56+990.2+862.75+145+358.88+1424.06+2121.03+508.5</f>
        <v>10536.980000000001</v>
      </c>
      <c r="O37" s="289">
        <f t="shared" si="1"/>
        <v>0</v>
      </c>
      <c r="P37" s="213">
        <v>2</v>
      </c>
      <c r="Q37" s="214">
        <v>2</v>
      </c>
      <c r="R37" s="215">
        <v>2</v>
      </c>
      <c r="S37" s="288">
        <f>552.96+1556.69</f>
        <v>2109.65</v>
      </c>
      <c r="T37" s="288">
        <f>552.96+1556.69</f>
        <v>2109.65</v>
      </c>
      <c r="U37" s="288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  <c r="AO37"/>
      <c r="AP37"/>
    </row>
    <row r="38" spans="1:42" ht="31.5" x14ac:dyDescent="0.25">
      <c r="A38" s="257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99</v>
      </c>
      <c r="I38" s="210">
        <v>55</v>
      </c>
      <c r="J38" s="210">
        <v>78</v>
      </c>
      <c r="K38" s="209">
        <v>78</v>
      </c>
      <c r="L38" s="210">
        <v>74</v>
      </c>
      <c r="M38" s="288">
        <f>78646.37+5508.02-250.2</f>
        <v>83904.19</v>
      </c>
      <c r="N38" s="288">
        <f>18043.85+1739.74+12219.36+4084.73+2867.69+2388.56+1377.5+2533.95+33390.93-250.14</f>
        <v>78396.17</v>
      </c>
      <c r="O38" s="289">
        <f t="shared" si="1"/>
        <v>5508.0200000000041</v>
      </c>
      <c r="P38" s="213">
        <v>21</v>
      </c>
      <c r="Q38" s="214">
        <v>21</v>
      </c>
      <c r="R38" s="215">
        <v>21</v>
      </c>
      <c r="S38" s="288">
        <v>23775.77</v>
      </c>
      <c r="T38" s="288">
        <f>22326.77+417.74+1031.26</f>
        <v>23775.77</v>
      </c>
      <c r="U38" s="288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  <c r="AO38"/>
      <c r="AP38"/>
    </row>
    <row r="39" spans="1:42" ht="31.5" x14ac:dyDescent="0.25">
      <c r="A39" s="257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29</v>
      </c>
      <c r="I39" s="210">
        <v>17</v>
      </c>
      <c r="J39" s="210">
        <v>23</v>
      </c>
      <c r="K39" s="209">
        <v>23</v>
      </c>
      <c r="L39" s="210">
        <v>21</v>
      </c>
      <c r="M39" s="288">
        <v>16746.849999999999</v>
      </c>
      <c r="N39" s="288">
        <v>16746.849999999999</v>
      </c>
      <c r="O39" s="289">
        <f t="shared" si="1"/>
        <v>0</v>
      </c>
      <c r="P39" s="213">
        <v>4</v>
      </c>
      <c r="Q39" s="214">
        <v>4</v>
      </c>
      <c r="R39" s="215">
        <v>3</v>
      </c>
      <c r="S39" s="288"/>
      <c r="T39" s="288"/>
      <c r="U39" s="288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  <c r="AO39"/>
      <c r="AP39"/>
    </row>
    <row r="40" spans="1:42" ht="31.5" x14ac:dyDescent="0.25">
      <c r="A40" s="257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12</v>
      </c>
      <c r="I40" s="210">
        <v>6</v>
      </c>
      <c r="J40" s="210">
        <v>9</v>
      </c>
      <c r="K40" s="209">
        <v>7</v>
      </c>
      <c r="L40" s="210">
        <v>6</v>
      </c>
      <c r="M40" s="288">
        <f>5430.01+288.1</f>
        <v>5718.1100000000006</v>
      </c>
      <c r="N40" s="288">
        <f>5430.01+288.1</f>
        <v>5718.1100000000006</v>
      </c>
      <c r="O40" s="289">
        <f t="shared" si="1"/>
        <v>0</v>
      </c>
      <c r="P40" s="213">
        <v>5</v>
      </c>
      <c r="Q40" s="214">
        <v>5</v>
      </c>
      <c r="R40" s="215">
        <v>4</v>
      </c>
      <c r="S40" s="288">
        <f>3996.7+1341.47+7404.94</f>
        <v>12743.11</v>
      </c>
      <c r="T40" s="288">
        <f>3996.7+1341.47+7404.94</f>
        <v>12743.11</v>
      </c>
      <c r="U40" s="288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  <c r="AO40"/>
      <c r="AP40"/>
    </row>
    <row r="41" spans="1:42" ht="31.5" x14ac:dyDescent="0.25">
      <c r="A41" s="257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33</v>
      </c>
      <c r="I41" s="210">
        <v>26</v>
      </c>
      <c r="J41" s="210">
        <v>28</v>
      </c>
      <c r="K41" s="209">
        <v>26</v>
      </c>
      <c r="L41" s="210">
        <v>22</v>
      </c>
      <c r="M41" s="288">
        <f>4892.78+1033.5+545.69+1551.08+3520.24+1598.15</f>
        <v>13141.439999999999</v>
      </c>
      <c r="N41" s="288">
        <f>4892.78+1033.5+545.69+1551.08+3520.24</f>
        <v>11543.289999999999</v>
      </c>
      <c r="O41" s="289">
        <f t="shared" si="1"/>
        <v>1598.1499999999996</v>
      </c>
      <c r="P41" s="213">
        <v>4</v>
      </c>
      <c r="Q41" s="214">
        <v>4</v>
      </c>
      <c r="R41" s="215">
        <v>4</v>
      </c>
      <c r="S41" s="288">
        <f>1842.88+373.68</f>
        <v>2216.56</v>
      </c>
      <c r="T41" s="288">
        <f>1842.88+373.68</f>
        <v>2216.56</v>
      </c>
      <c r="U41" s="288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  <c r="AO41"/>
      <c r="AP41"/>
    </row>
    <row r="42" spans="1:42" ht="31.5" x14ac:dyDescent="0.25">
      <c r="A42" s="257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16</v>
      </c>
      <c r="I42" s="210">
        <v>7</v>
      </c>
      <c r="J42" s="210">
        <v>15</v>
      </c>
      <c r="K42" s="209">
        <v>15</v>
      </c>
      <c r="L42" s="210">
        <v>12</v>
      </c>
      <c r="M42" s="288">
        <f>5095.29+1605.75+430.65+529.04+145+1216.54</f>
        <v>9022.27</v>
      </c>
      <c r="N42" s="288">
        <f>5095.29+1605.75+430.65+529.04+1361.54</f>
        <v>9022.27</v>
      </c>
      <c r="O42" s="289">
        <f t="shared" si="1"/>
        <v>0</v>
      </c>
      <c r="P42" s="213">
        <v>5</v>
      </c>
      <c r="Q42" s="214">
        <v>5</v>
      </c>
      <c r="R42" s="215">
        <v>5</v>
      </c>
      <c r="S42" s="288">
        <v>5832.14</v>
      </c>
      <c r="T42" s="288">
        <v>5832.14</v>
      </c>
      <c r="U42" s="288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  <c r="AO42"/>
      <c r="AP42"/>
    </row>
    <row r="43" spans="1:42" ht="31.5" x14ac:dyDescent="0.25">
      <c r="A43" s="257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25</v>
      </c>
      <c r="I43" s="210">
        <v>15</v>
      </c>
      <c r="J43" s="210">
        <v>25</v>
      </c>
      <c r="K43" s="209">
        <v>25</v>
      </c>
      <c r="L43" s="210">
        <v>24</v>
      </c>
      <c r="M43" s="288">
        <f>28407.24+4596.5+580-144</f>
        <v>33439.740000000005</v>
      </c>
      <c r="N43" s="288">
        <f>1949.94+11241.95+1670.56+979+622.78+145+551.2+2279.66+8967.15-1280.85</f>
        <v>27126.39</v>
      </c>
      <c r="O43" s="289">
        <f t="shared" si="1"/>
        <v>6313.3500000000058</v>
      </c>
      <c r="P43" s="213">
        <v>7</v>
      </c>
      <c r="Q43" s="214">
        <v>7</v>
      </c>
      <c r="R43" s="215">
        <v>7</v>
      </c>
      <c r="S43" s="288">
        <v>7539.4</v>
      </c>
      <c r="T43" s="288">
        <v>7539.4</v>
      </c>
      <c r="U43" s="288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  <c r="AO43"/>
      <c r="AP43"/>
    </row>
    <row r="44" spans="1:42" ht="31.5" x14ac:dyDescent="0.25">
      <c r="A44" s="257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15</v>
      </c>
      <c r="I44" s="210">
        <v>10</v>
      </c>
      <c r="J44" s="210">
        <v>16</v>
      </c>
      <c r="K44" s="209">
        <v>16</v>
      </c>
      <c r="L44" s="210">
        <v>16</v>
      </c>
      <c r="M44" s="288">
        <f>22500.73-141.1</f>
        <v>22359.63</v>
      </c>
      <c r="N44" s="288">
        <f>9600.95+145+2182.75+7980.88+580+287.1+1724.05-141.1</f>
        <v>22359.63</v>
      </c>
      <c r="O44" s="289">
        <f t="shared" si="1"/>
        <v>0</v>
      </c>
      <c r="P44" s="213">
        <v>11</v>
      </c>
      <c r="Q44" s="214">
        <v>11</v>
      </c>
      <c r="R44" s="215">
        <v>10</v>
      </c>
      <c r="S44" s="288">
        <f>3997.92+850.65+4367.7+2262.73+189.48+1019.96</f>
        <v>12688.439999999999</v>
      </c>
      <c r="T44" s="288">
        <f>3997.92+850.65+4367.7+2262.73+189.48+1019.96</f>
        <v>12688.439999999999</v>
      </c>
      <c r="U44" s="288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  <c r="AO44"/>
      <c r="AP44"/>
    </row>
    <row r="45" spans="1:42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210"/>
      <c r="J45" s="210"/>
      <c r="K45" s="209"/>
      <c r="L45" s="210"/>
      <c r="M45" s="288"/>
      <c r="N45" s="288"/>
      <c r="O45" s="289">
        <f t="shared" si="1"/>
        <v>0</v>
      </c>
      <c r="P45" s="213"/>
      <c r="Q45" s="214"/>
      <c r="R45" s="215"/>
      <c r="S45" s="288"/>
      <c r="T45" s="288"/>
      <c r="U45" s="288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  <c r="AO45"/>
      <c r="AP45"/>
    </row>
    <row r="46" spans="1:42" ht="31.5" x14ac:dyDescent="0.25">
      <c r="A46" s="257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22</v>
      </c>
      <c r="I46" s="210">
        <v>16</v>
      </c>
      <c r="J46" s="210">
        <v>19</v>
      </c>
      <c r="K46" s="209">
        <v>19</v>
      </c>
      <c r="L46" s="210">
        <v>19</v>
      </c>
      <c r="M46" s="288">
        <f>7372.32+580</f>
        <v>7952.32</v>
      </c>
      <c r="N46" s="288">
        <f>1290.6+2343.84+935.25+2802.63</f>
        <v>7372.3200000000006</v>
      </c>
      <c r="O46" s="289">
        <f t="shared" si="1"/>
        <v>579.99999999999909</v>
      </c>
      <c r="P46" s="213">
        <v>2</v>
      </c>
      <c r="Q46" s="214">
        <v>2</v>
      </c>
      <c r="R46" s="215">
        <v>2</v>
      </c>
      <c r="S46" s="288">
        <v>12091.23</v>
      </c>
      <c r="T46" s="288">
        <v>12091.23</v>
      </c>
      <c r="U46" s="288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  <c r="AO46"/>
      <c r="AP46"/>
    </row>
    <row r="47" spans="1:42" ht="31.5" x14ac:dyDescent="0.25">
      <c r="A47" s="257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70</v>
      </c>
      <c r="I47" s="210">
        <v>35</v>
      </c>
      <c r="J47" s="210">
        <v>51</v>
      </c>
      <c r="K47" s="209">
        <v>49</v>
      </c>
      <c r="L47" s="210">
        <v>44</v>
      </c>
      <c r="M47" s="288">
        <f>28405.79+645.98+291.1</f>
        <v>29342.87</v>
      </c>
      <c r="N47" s="288">
        <f>9335.56+3507.6+826.8+2284.16+1015+1378+10058.67+291.1</f>
        <v>28696.89</v>
      </c>
      <c r="O47" s="289">
        <f t="shared" si="1"/>
        <v>645.97999999999956</v>
      </c>
      <c r="P47" s="213">
        <v>3</v>
      </c>
      <c r="Q47" s="214">
        <v>3</v>
      </c>
      <c r="R47" s="215">
        <v>3</v>
      </c>
      <c r="S47" s="288">
        <f>1209.11+1311.53</f>
        <v>2520.64</v>
      </c>
      <c r="T47" s="288">
        <v>1209.1099999999999</v>
      </c>
      <c r="U47" s="288">
        <f t="shared" si="2"/>
        <v>1311.53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  <c r="AO47"/>
      <c r="AP47"/>
    </row>
    <row r="48" spans="1:42" ht="31.5" x14ac:dyDescent="0.25">
      <c r="A48" s="257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22</v>
      </c>
      <c r="I48" s="210">
        <v>9</v>
      </c>
      <c r="J48" s="210">
        <v>12</v>
      </c>
      <c r="K48" s="209">
        <v>12</v>
      </c>
      <c r="L48" s="210">
        <v>12</v>
      </c>
      <c r="M48" s="288">
        <f>8890.84+1828.05+435+2479.5</f>
        <v>13633.39</v>
      </c>
      <c r="N48" s="288">
        <f>8890.84+1828.05+435+2479.5</f>
        <v>13633.39</v>
      </c>
      <c r="O48" s="289">
        <f t="shared" si="1"/>
        <v>0</v>
      </c>
      <c r="P48" s="213">
        <v>3</v>
      </c>
      <c r="Q48" s="214">
        <v>3</v>
      </c>
      <c r="R48" s="215">
        <v>3</v>
      </c>
      <c r="S48" s="288">
        <f>2800.4+5022.92</f>
        <v>7823.32</v>
      </c>
      <c r="T48" s="288">
        <f>2800.4+5022.92</f>
        <v>7823.32</v>
      </c>
      <c r="U48" s="288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  <c r="AO48"/>
      <c r="AP48"/>
    </row>
    <row r="49" spans="1:42" ht="31.5" x14ac:dyDescent="0.25">
      <c r="A49" s="257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23</v>
      </c>
      <c r="I49" s="210">
        <v>12</v>
      </c>
      <c r="J49" s="210">
        <v>17</v>
      </c>
      <c r="K49" s="209">
        <v>17</v>
      </c>
      <c r="L49" s="210">
        <v>17</v>
      </c>
      <c r="M49" s="288">
        <v>8028.06</v>
      </c>
      <c r="N49" s="288">
        <f>1831.71+137.8+1816.78+290+420.6+3531.17</f>
        <v>8028.06</v>
      </c>
      <c r="O49" s="289">
        <f t="shared" si="1"/>
        <v>0</v>
      </c>
      <c r="P49" s="213">
        <v>10</v>
      </c>
      <c r="Q49" s="214">
        <v>10</v>
      </c>
      <c r="R49" s="215">
        <v>10</v>
      </c>
      <c r="S49" s="288">
        <f>8296.23+1378+5368+1032.31</f>
        <v>16074.539999999999</v>
      </c>
      <c r="T49" s="288">
        <f>8296.23+1378+5368+1032.31</f>
        <v>16074.539999999999</v>
      </c>
      <c r="U49" s="288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  <c r="AO49"/>
      <c r="AP49"/>
    </row>
    <row r="50" spans="1:42" ht="31.5" x14ac:dyDescent="0.25">
      <c r="A50" s="257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45</v>
      </c>
      <c r="I50" s="210">
        <v>22</v>
      </c>
      <c r="J50" s="210">
        <v>25</v>
      </c>
      <c r="K50" s="209">
        <v>25</v>
      </c>
      <c r="L50" s="210">
        <v>22</v>
      </c>
      <c r="M50" s="288">
        <f>8308.92+786.44+453+302+1256.5+1232.5+2228.2+892.3</f>
        <v>15459.86</v>
      </c>
      <c r="N50" s="288">
        <f>8308.92+786.44+453+302+1256.5+1232.5+893.3</f>
        <v>13232.66</v>
      </c>
      <c r="O50" s="289">
        <f t="shared" si="1"/>
        <v>2227.2000000000007</v>
      </c>
      <c r="P50" s="213">
        <v>6</v>
      </c>
      <c r="Q50" s="214">
        <v>6</v>
      </c>
      <c r="R50" s="215">
        <v>6</v>
      </c>
      <c r="S50" s="288">
        <f>2457.28+1725.6+5017.9+1584.7</f>
        <v>10785.48</v>
      </c>
      <c r="T50" s="288">
        <f>2457.28+1725.6+5017.9+1584.7</f>
        <v>10785.48</v>
      </c>
      <c r="U50" s="288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  <c r="AO50"/>
      <c r="AP50"/>
    </row>
    <row r="51" spans="1:42" ht="31.5" x14ac:dyDescent="0.25">
      <c r="A51" s="257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35</v>
      </c>
      <c r="I51" s="210">
        <v>17</v>
      </c>
      <c r="J51" s="210">
        <v>19</v>
      </c>
      <c r="K51" s="209">
        <v>19</v>
      </c>
      <c r="L51" s="210">
        <v>19</v>
      </c>
      <c r="M51" s="288">
        <f>11276.82+870</f>
        <v>12146.82</v>
      </c>
      <c r="N51" s="288">
        <f>5580.75+571.11+696.2+574.2+408.03+1234.53+1446.9+1635.1</f>
        <v>12146.82</v>
      </c>
      <c r="O51" s="289">
        <f t="shared" si="1"/>
        <v>0</v>
      </c>
      <c r="P51" s="213">
        <v>1</v>
      </c>
      <c r="Q51" s="214">
        <v>1</v>
      </c>
      <c r="R51" s="215">
        <v>1</v>
      </c>
      <c r="S51" s="288">
        <f>728.15</f>
        <v>728.15</v>
      </c>
      <c r="T51" s="288">
        <f>728.15</f>
        <v>728.15</v>
      </c>
      <c r="U51" s="288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  <c r="AO51"/>
      <c r="AP51"/>
    </row>
    <row r="52" spans="1:42" ht="31.5" x14ac:dyDescent="0.25">
      <c r="A52" s="257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25</v>
      </c>
      <c r="I52" s="210">
        <v>16</v>
      </c>
      <c r="J52" s="210">
        <v>21</v>
      </c>
      <c r="K52" s="209">
        <v>20</v>
      </c>
      <c r="L52" s="210">
        <v>18</v>
      </c>
      <c r="M52" s="288">
        <f>10557.44+145+1584.7</f>
        <v>12287.140000000001</v>
      </c>
      <c r="N52" s="288">
        <v>12287.14</v>
      </c>
      <c r="O52" s="289">
        <f t="shared" si="1"/>
        <v>1.8189894035458565E-12</v>
      </c>
      <c r="P52" s="213">
        <v>12</v>
      </c>
      <c r="Q52" s="214">
        <v>12</v>
      </c>
      <c r="R52" s="215">
        <v>10</v>
      </c>
      <c r="S52" s="288">
        <f>1535.39+1035.3+828.82+12756.45+716.22</f>
        <v>16872.18</v>
      </c>
      <c r="T52" s="288">
        <f>1535.39+1035.3+828.82+12756.45+716.22</f>
        <v>16872.18</v>
      </c>
      <c r="U52" s="288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  <c r="AO52"/>
      <c r="AP52"/>
    </row>
    <row r="53" spans="1:42" ht="31.5" x14ac:dyDescent="0.25">
      <c r="A53" s="257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17</v>
      </c>
      <c r="I53" s="210">
        <v>4</v>
      </c>
      <c r="J53" s="210">
        <v>4</v>
      </c>
      <c r="K53" s="209">
        <v>4</v>
      </c>
      <c r="L53" s="210">
        <v>4</v>
      </c>
      <c r="M53" s="288">
        <f>1102.4+328.37+1596</f>
        <v>3026.77</v>
      </c>
      <c r="N53" s="288">
        <f>1102.4+328.37+1596</f>
        <v>3026.77</v>
      </c>
      <c r="O53" s="289">
        <f t="shared" si="1"/>
        <v>0</v>
      </c>
      <c r="P53" s="213">
        <v>2</v>
      </c>
      <c r="Q53" s="214">
        <v>2</v>
      </c>
      <c r="R53" s="215">
        <v>2</v>
      </c>
      <c r="S53" s="288">
        <v>688</v>
      </c>
      <c r="T53" s="288">
        <v>688</v>
      </c>
      <c r="U53" s="288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  <c r="AO53"/>
      <c r="AP53"/>
    </row>
    <row r="54" spans="1:42" ht="31.5" x14ac:dyDescent="0.25">
      <c r="A54" s="257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137</v>
      </c>
      <c r="I54" s="210">
        <v>120</v>
      </c>
      <c r="J54" s="210">
        <v>152</v>
      </c>
      <c r="K54" s="209">
        <v>152</v>
      </c>
      <c r="L54" s="210">
        <v>125</v>
      </c>
      <c r="M54" s="288">
        <f>12032.27+4728.85+7137.01+1218+507+4175.93+5308.12+6184.37+6281.56+3934.58+7806.06</f>
        <v>59313.750000000007</v>
      </c>
      <c r="N54" s="288">
        <f>12031.27+4728.85+7137.01+1218+507+4175.93+5309.12+16400.51</f>
        <v>51507.69</v>
      </c>
      <c r="O54" s="289">
        <f t="shared" si="1"/>
        <v>7806.0600000000049</v>
      </c>
      <c r="P54" s="213">
        <v>17</v>
      </c>
      <c r="Q54" s="214">
        <v>17</v>
      </c>
      <c r="R54" s="215">
        <v>17</v>
      </c>
      <c r="S54" s="288">
        <f>9629.72+1321.59</f>
        <v>10951.31</v>
      </c>
      <c r="T54" s="288">
        <f>9629.72+1321.59</f>
        <v>10951.31</v>
      </c>
      <c r="U54" s="288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  <c r="AO54"/>
      <c r="AP54"/>
    </row>
    <row r="55" spans="1:42" ht="31.5" x14ac:dyDescent="0.25">
      <c r="A55" s="257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8</v>
      </c>
      <c r="I55" s="210">
        <v>3</v>
      </c>
      <c r="J55" s="210">
        <v>4</v>
      </c>
      <c r="K55" s="209">
        <v>4</v>
      </c>
      <c r="L55" s="210">
        <v>4</v>
      </c>
      <c r="M55" s="288">
        <v>8188.55</v>
      </c>
      <c r="N55" s="288">
        <v>8188.55</v>
      </c>
      <c r="O55" s="289">
        <f t="shared" si="1"/>
        <v>0</v>
      </c>
      <c r="P55" s="213">
        <v>3</v>
      </c>
      <c r="Q55" s="214">
        <v>3</v>
      </c>
      <c r="R55" s="215">
        <v>3</v>
      </c>
      <c r="S55" s="288">
        <f>757.9+1321.55+620.1</f>
        <v>2699.5499999999997</v>
      </c>
      <c r="T55" s="288">
        <f>757.9+1321.55+620.1</f>
        <v>2699.5499999999997</v>
      </c>
      <c r="U55" s="288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  <c r="AO55"/>
      <c r="AP55"/>
    </row>
    <row r="56" spans="1:42" ht="31.5" x14ac:dyDescent="0.25">
      <c r="A56" s="257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74</v>
      </c>
      <c r="I56" s="210">
        <v>57</v>
      </c>
      <c r="J56" s="210">
        <v>76</v>
      </c>
      <c r="K56" s="209">
        <v>70</v>
      </c>
      <c r="L56" s="210">
        <v>68</v>
      </c>
      <c r="M56" s="288">
        <f>70230.55+4017.1</f>
        <v>74247.650000000009</v>
      </c>
      <c r="N56" s="288">
        <f>13145.7+14183.3+726.22+3195.47+5181.98+1425.26+6804.83+1811+6356.42-6356.42+1423.76+3508.9+18824.13</f>
        <v>70230.55</v>
      </c>
      <c r="O56" s="289">
        <f t="shared" si="1"/>
        <v>4017.1000000000058</v>
      </c>
      <c r="P56" s="213">
        <v>35</v>
      </c>
      <c r="Q56" s="214">
        <v>35</v>
      </c>
      <c r="R56" s="215">
        <v>32</v>
      </c>
      <c r="S56" s="288">
        <f>53733.15+4264.72</f>
        <v>57997.87</v>
      </c>
      <c r="T56" s="288">
        <f>53733.15+4264.72</f>
        <v>57997.87</v>
      </c>
      <c r="U56" s="288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  <c r="AO56"/>
      <c r="AP56"/>
    </row>
    <row r="57" spans="1:42" ht="31.5" x14ac:dyDescent="0.25">
      <c r="A57" s="257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210">
        <v>11</v>
      </c>
      <c r="J57" s="210">
        <v>12</v>
      </c>
      <c r="K57" s="209">
        <v>11</v>
      </c>
      <c r="L57" s="210">
        <v>11</v>
      </c>
      <c r="M57" s="288">
        <f>1200.96+483.68</f>
        <v>1684.64</v>
      </c>
      <c r="N57" s="288">
        <f>1200.96+483.68</f>
        <v>1684.64</v>
      </c>
      <c r="O57" s="289">
        <f t="shared" si="1"/>
        <v>0</v>
      </c>
      <c r="P57" s="213"/>
      <c r="Q57" s="214"/>
      <c r="R57" s="215"/>
      <c r="S57" s="288"/>
      <c r="T57" s="288"/>
      <c r="U57" s="288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  <c r="AO57"/>
      <c r="AP57"/>
    </row>
    <row r="58" spans="1:42" ht="31.5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210"/>
      <c r="J58" s="210"/>
      <c r="K58" s="209"/>
      <c r="L58" s="210"/>
      <c r="M58" s="288"/>
      <c r="N58" s="288"/>
      <c r="O58" s="289">
        <f t="shared" si="1"/>
        <v>0</v>
      </c>
      <c r="P58" s="213">
        <v>1</v>
      </c>
      <c r="Q58" s="214">
        <v>1</v>
      </c>
      <c r="R58" s="215">
        <v>1</v>
      </c>
      <c r="S58" s="288">
        <v>548.1</v>
      </c>
      <c r="T58" s="288">
        <v>548.1</v>
      </c>
      <c r="U58" s="288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  <c r="AO58"/>
      <c r="AP58"/>
    </row>
    <row r="59" spans="1:42" ht="31.5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210"/>
      <c r="J59" s="210"/>
      <c r="K59" s="209"/>
      <c r="L59" s="210"/>
      <c r="M59" s="288"/>
      <c r="N59" s="288"/>
      <c r="O59" s="289">
        <f t="shared" si="1"/>
        <v>0</v>
      </c>
      <c r="P59" s="213"/>
      <c r="Q59" s="214"/>
      <c r="R59" s="215"/>
      <c r="S59" s="288"/>
      <c r="T59" s="288"/>
      <c r="U59" s="288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  <c r="AO59"/>
      <c r="AP59"/>
    </row>
    <row r="60" spans="1:42" ht="31.5" x14ac:dyDescent="0.25">
      <c r="A60" s="257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72</v>
      </c>
      <c r="I60" s="210">
        <v>45</v>
      </c>
      <c r="J60" s="210">
        <v>62</v>
      </c>
      <c r="K60" s="209">
        <v>56</v>
      </c>
      <c r="L60" s="210">
        <v>55</v>
      </c>
      <c r="M60" s="288">
        <f>55406.35+5285.07</f>
        <v>60691.42</v>
      </c>
      <c r="N60" s="288">
        <f>19658.67+3859.57+3638.88+11285.84+2356.7+1870.22+2374.32+10362.15</f>
        <v>55406.35</v>
      </c>
      <c r="O60" s="289">
        <f t="shared" si="1"/>
        <v>5285.07</v>
      </c>
      <c r="P60" s="213">
        <v>7</v>
      </c>
      <c r="Q60" s="214">
        <v>7</v>
      </c>
      <c r="R60" s="215">
        <v>7</v>
      </c>
      <c r="S60" s="288">
        <f>7737.36+1404.36</f>
        <v>9141.7199999999993</v>
      </c>
      <c r="T60" s="288">
        <f>7737.36+1404.36</f>
        <v>9141.7199999999993</v>
      </c>
      <c r="U60" s="288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  <c r="AO60"/>
      <c r="AP60"/>
    </row>
    <row r="61" spans="1:42" ht="31.5" x14ac:dyDescent="0.25">
      <c r="A61" s="257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33</v>
      </c>
      <c r="I61" s="210">
        <v>23</v>
      </c>
      <c r="J61" s="210">
        <v>33</v>
      </c>
      <c r="K61" s="209">
        <v>31</v>
      </c>
      <c r="L61" s="210">
        <v>28</v>
      </c>
      <c r="M61" s="288">
        <f>3986.21+989.8+3814.75+1492.92+2107.58+1990.86+3001.41+1940.89+2035.8+3263.5</f>
        <v>24623.719999999998</v>
      </c>
      <c r="N61" s="288">
        <f>3987.21+989.8+3814.75+1492.92+2107.58+1990.86+6978.1</f>
        <v>21361.22</v>
      </c>
      <c r="O61" s="289">
        <f t="shared" si="1"/>
        <v>3262.4999999999964</v>
      </c>
      <c r="P61" s="213"/>
      <c r="Q61" s="214"/>
      <c r="R61" s="215"/>
      <c r="S61" s="288"/>
      <c r="T61" s="288"/>
      <c r="U61" s="288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  <c r="AO61"/>
      <c r="AP61"/>
    </row>
    <row r="62" spans="1:42" ht="31.5" x14ac:dyDescent="0.25">
      <c r="A62" s="257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20</v>
      </c>
      <c r="I62" s="210">
        <v>11</v>
      </c>
      <c r="J62" s="210">
        <v>24</v>
      </c>
      <c r="K62" s="209">
        <v>22</v>
      </c>
      <c r="L62" s="210">
        <v>22</v>
      </c>
      <c r="M62" s="288">
        <v>17435.95</v>
      </c>
      <c r="N62" s="288">
        <v>17435.95</v>
      </c>
      <c r="O62" s="289">
        <f t="shared" si="1"/>
        <v>0</v>
      </c>
      <c r="P62" s="213">
        <v>9</v>
      </c>
      <c r="Q62" s="214">
        <v>9</v>
      </c>
      <c r="R62" s="215">
        <v>9</v>
      </c>
      <c r="S62" s="288">
        <v>7582.54</v>
      </c>
      <c r="T62" s="288">
        <v>7582.54</v>
      </c>
      <c r="U62" s="288">
        <f t="shared" si="2"/>
        <v>0</v>
      </c>
      <c r="V62" s="161"/>
      <c r="AO62"/>
      <c r="AP62"/>
    </row>
    <row r="63" spans="1:42" ht="31.5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210"/>
      <c r="J63" s="210"/>
      <c r="K63" s="209"/>
      <c r="L63" s="210"/>
      <c r="M63" s="288"/>
      <c r="N63" s="288"/>
      <c r="O63" s="289">
        <f t="shared" si="1"/>
        <v>0</v>
      </c>
      <c r="P63" s="213">
        <v>29</v>
      </c>
      <c r="Q63" s="214">
        <v>29</v>
      </c>
      <c r="R63" s="215">
        <v>29</v>
      </c>
      <c r="S63" s="288">
        <f>9392.68+482.3+2027.39</f>
        <v>11902.369999999999</v>
      </c>
      <c r="T63" s="288">
        <f>9392.68+482.3+2027.39</f>
        <v>11902.369999999999</v>
      </c>
      <c r="U63" s="288">
        <f t="shared" si="2"/>
        <v>0</v>
      </c>
      <c r="V63" s="161"/>
      <c r="AO63"/>
      <c r="AP63"/>
    </row>
    <row r="64" spans="1:42" ht="31.5" x14ac:dyDescent="0.25">
      <c r="A64" s="257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75</v>
      </c>
      <c r="I64" s="210">
        <v>24</v>
      </c>
      <c r="J64" s="210">
        <v>25</v>
      </c>
      <c r="K64" s="209">
        <v>25</v>
      </c>
      <c r="L64" s="210">
        <v>24</v>
      </c>
      <c r="M64" s="288">
        <f>20271.52+2756</f>
        <v>23027.52</v>
      </c>
      <c r="N64" s="288">
        <f>6496.16+4335.01+2477.65+2687.1+609+3666.6</f>
        <v>20271.519999999997</v>
      </c>
      <c r="O64" s="289">
        <f t="shared" si="1"/>
        <v>2756.0000000000036</v>
      </c>
      <c r="P64" s="213">
        <v>12</v>
      </c>
      <c r="Q64" s="214">
        <v>12</v>
      </c>
      <c r="R64" s="215">
        <v>12</v>
      </c>
      <c r="S64" s="288">
        <f>6866.56+548.1</f>
        <v>7414.6600000000008</v>
      </c>
      <c r="T64" s="288">
        <f>6866.56+548.1</f>
        <v>7414.6600000000008</v>
      </c>
      <c r="U64" s="288">
        <f t="shared" si="2"/>
        <v>0</v>
      </c>
      <c r="V64" s="161"/>
      <c r="AO64"/>
      <c r="AP64"/>
    </row>
    <row r="65" spans="1:42" ht="31.5" x14ac:dyDescent="0.25">
      <c r="A65" s="257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66</v>
      </c>
      <c r="I65" s="210">
        <v>59</v>
      </c>
      <c r="J65" s="210">
        <v>73</v>
      </c>
      <c r="K65" s="209">
        <v>68</v>
      </c>
      <c r="L65" s="210">
        <v>66</v>
      </c>
      <c r="M65" s="288">
        <f>21562.61+5719.7+1305+4149.27+2397.37+5906.18+1251.03+829.55+4633.7+2607.11+652.5+3265.4+1216.55+3027.02+4762.53</f>
        <v>63285.520000000004</v>
      </c>
      <c r="N65" s="288">
        <f>21561.61+5719.7+1305+4149.27+2397.37+5906.18+1251.03+829.55+4633.7+2607.11+7962.47</f>
        <v>58322.990000000005</v>
      </c>
      <c r="O65" s="289">
        <f t="shared" si="1"/>
        <v>4962.5299999999988</v>
      </c>
      <c r="P65" s="213">
        <v>11</v>
      </c>
      <c r="Q65" s="214">
        <v>11</v>
      </c>
      <c r="R65" s="215">
        <v>11</v>
      </c>
      <c r="S65" s="288">
        <f>7456.7+19131.63</f>
        <v>26588.33</v>
      </c>
      <c r="T65" s="288">
        <f>7456.7+19131.63</f>
        <v>26588.33</v>
      </c>
      <c r="U65" s="288">
        <f t="shared" si="2"/>
        <v>0</v>
      </c>
      <c r="V65" s="161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</row>
    <row r="66" spans="1:42" ht="31.5" x14ac:dyDescent="0.25">
      <c r="A66" s="257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210">
        <v>2</v>
      </c>
      <c r="J66" s="210">
        <v>3</v>
      </c>
      <c r="K66" s="209">
        <v>3</v>
      </c>
      <c r="L66" s="210">
        <v>3</v>
      </c>
      <c r="M66" s="288">
        <f>464.83+1653.6</f>
        <v>2118.4299999999998</v>
      </c>
      <c r="N66" s="288">
        <f>464.83+1653.6</f>
        <v>2118.4299999999998</v>
      </c>
      <c r="O66" s="289">
        <f t="shared" si="1"/>
        <v>0</v>
      </c>
      <c r="P66" s="213">
        <v>4</v>
      </c>
      <c r="Q66" s="214">
        <v>4</v>
      </c>
      <c r="R66" s="215">
        <v>4</v>
      </c>
      <c r="S66" s="288">
        <v>3148.1</v>
      </c>
      <c r="T66" s="288">
        <v>3148.1</v>
      </c>
      <c r="U66" s="288">
        <f t="shared" si="2"/>
        <v>0</v>
      </c>
      <c r="V66" s="161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</row>
    <row r="67" spans="1:42" ht="31.5" x14ac:dyDescent="0.25">
      <c r="A67" s="257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72</v>
      </c>
      <c r="I67" s="210">
        <v>59</v>
      </c>
      <c r="J67" s="210">
        <v>76</v>
      </c>
      <c r="K67" s="209">
        <v>68</v>
      </c>
      <c r="L67" s="210">
        <v>67</v>
      </c>
      <c r="M67" s="288">
        <f>57336.7+3808.64</f>
        <v>61145.34</v>
      </c>
      <c r="N67" s="288">
        <f>19710.93+7009.96+ 8900.54+165.98+1497.55+1081.95+652.5+834+3570.78+16069.46</f>
        <v>59493.65</v>
      </c>
      <c r="O67" s="289">
        <f t="shared" si="1"/>
        <v>1651.6899999999951</v>
      </c>
      <c r="P67" s="213">
        <v>11</v>
      </c>
      <c r="Q67" s="214">
        <v>11</v>
      </c>
      <c r="R67" s="215">
        <v>11</v>
      </c>
      <c r="S67" s="288">
        <f>8355.57+1548.48+8943.77</f>
        <v>18847.82</v>
      </c>
      <c r="T67" s="288">
        <f>8355.57+1548.48+8943.77</f>
        <v>18847.82</v>
      </c>
      <c r="U67" s="288">
        <f t="shared" si="2"/>
        <v>0</v>
      </c>
      <c r="V67" s="161"/>
      <c r="W67"/>
      <c r="X67"/>
      <c r="Y67"/>
      <c r="Z67"/>
      <c r="AA67"/>
      <c r="AB67"/>
      <c r="AC67"/>
      <c r="AD67"/>
      <c r="AE67"/>
      <c r="AF67" s="59"/>
      <c r="AG67"/>
      <c r="AH67"/>
      <c r="AI67"/>
      <c r="AJ67"/>
      <c r="AK67"/>
      <c r="AL67"/>
      <c r="AM67"/>
      <c r="AN67"/>
      <c r="AO67"/>
      <c r="AP67"/>
    </row>
    <row r="68" spans="1:42" ht="31.5" x14ac:dyDescent="0.25">
      <c r="A68" s="257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45</v>
      </c>
      <c r="I68" s="210">
        <v>41</v>
      </c>
      <c r="J68" s="210">
        <v>63</v>
      </c>
      <c r="K68" s="209">
        <v>63</v>
      </c>
      <c r="L68" s="210">
        <v>63</v>
      </c>
      <c r="M68" s="288">
        <v>55504.13</v>
      </c>
      <c r="N68" s="288">
        <f>18750.75+2683.13+8424.37+22481.37</f>
        <v>52339.619999999995</v>
      </c>
      <c r="O68" s="289">
        <f t="shared" si="1"/>
        <v>3164.510000000002</v>
      </c>
      <c r="P68" s="213">
        <v>11</v>
      </c>
      <c r="Q68" s="214">
        <v>11</v>
      </c>
      <c r="R68" s="215">
        <v>11</v>
      </c>
      <c r="S68" s="288">
        <v>6249.15</v>
      </c>
      <c r="T68" s="288">
        <v>6249.15</v>
      </c>
      <c r="U68" s="288">
        <f t="shared" si="2"/>
        <v>0</v>
      </c>
      <c r="V68" s="161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</row>
    <row r="69" spans="1:42" ht="31.5" x14ac:dyDescent="0.25">
      <c r="A69" s="257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24</v>
      </c>
      <c r="I69" s="210">
        <v>14</v>
      </c>
      <c r="J69" s="210">
        <v>14</v>
      </c>
      <c r="K69" s="209">
        <v>13</v>
      </c>
      <c r="L69" s="210">
        <v>9</v>
      </c>
      <c r="M69" s="288">
        <f>2756+1240.2+1305+1087.5+1232.5+2915.4</f>
        <v>10536.6</v>
      </c>
      <c r="N69" s="288">
        <f>2756+1240.2+1305+1087.5+1232.5+2915.4</f>
        <v>10536.6</v>
      </c>
      <c r="O69" s="289">
        <f t="shared" si="1"/>
        <v>0</v>
      </c>
      <c r="P69" s="213"/>
      <c r="Q69" s="214"/>
      <c r="R69" s="215"/>
      <c r="S69" s="288"/>
      <c r="T69" s="288"/>
      <c r="U69" s="288">
        <f t="shared" si="2"/>
        <v>0</v>
      </c>
      <c r="V69" s="161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</row>
    <row r="70" spans="1:42" ht="31.5" x14ac:dyDescent="0.25">
      <c r="A70" s="257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19</v>
      </c>
      <c r="I70" s="210">
        <v>15</v>
      </c>
      <c r="J70" s="210">
        <v>18</v>
      </c>
      <c r="K70" s="209">
        <v>17</v>
      </c>
      <c r="L70" s="210">
        <v>15</v>
      </c>
      <c r="M70" s="288">
        <f>15374.68+947.21</f>
        <v>16321.89</v>
      </c>
      <c r="N70" s="288">
        <f>2039.44+3242.32+2027.39+3567+822.15+4538.88</f>
        <v>16237.18</v>
      </c>
      <c r="O70" s="289">
        <f t="shared" si="1"/>
        <v>84.709999999999127</v>
      </c>
      <c r="P70" s="213">
        <v>7</v>
      </c>
      <c r="Q70" s="214">
        <v>7</v>
      </c>
      <c r="R70" s="215">
        <v>7</v>
      </c>
      <c r="S70" s="288">
        <f>3513.9+460.56+401.94</f>
        <v>4376.3999999999996</v>
      </c>
      <c r="T70" s="288">
        <v>3513.9</v>
      </c>
      <c r="U70" s="288">
        <f t="shared" si="2"/>
        <v>862.49999999999955</v>
      </c>
      <c r="V70" s="161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</row>
    <row r="71" spans="1:42" s="249" customFormat="1" ht="31.5" x14ac:dyDescent="0.25">
      <c r="A71" s="257">
        <v>57</v>
      </c>
      <c r="B71" s="291">
        <f t="shared" si="3"/>
        <v>62</v>
      </c>
      <c r="C71" s="250" t="s">
        <v>74</v>
      </c>
      <c r="D71" s="251" t="s">
        <v>124</v>
      </c>
      <c r="E71" s="252"/>
      <c r="F71" s="253" t="s">
        <v>111</v>
      </c>
      <c r="G71" s="254" t="s">
        <v>190</v>
      </c>
      <c r="H71" s="255">
        <v>33</v>
      </c>
      <c r="I71" s="210">
        <v>22</v>
      </c>
      <c r="J71" s="210">
        <v>28</v>
      </c>
      <c r="K71" s="209">
        <v>26</v>
      </c>
      <c r="L71" s="210">
        <v>26</v>
      </c>
      <c r="M71" s="288">
        <f>2383.53+3781.9+7505.17+507+5161.87+1335.02+1152.8-3276.5+5715.74+5512.93</f>
        <v>29779.46</v>
      </c>
      <c r="N71" s="288">
        <f>2383.53+3781.9+7505.17+507+5161.87+1335.02+1152.8-3276.5+5715.74</f>
        <v>24266.53</v>
      </c>
      <c r="O71" s="289">
        <f t="shared" si="1"/>
        <v>5512.93</v>
      </c>
      <c r="P71" s="213">
        <v>26</v>
      </c>
      <c r="Q71" s="214">
        <v>26</v>
      </c>
      <c r="R71" s="215">
        <v>25</v>
      </c>
      <c r="S71" s="288">
        <f>52337.46+18000.02+1926.09+5518.42</f>
        <v>77781.989999999991</v>
      </c>
      <c r="T71" s="288">
        <f>52337.46+18000.02+1926.09+5518.42</f>
        <v>77781.989999999991</v>
      </c>
      <c r="U71" s="288">
        <f t="shared" si="2"/>
        <v>0</v>
      </c>
      <c r="V71" s="161"/>
      <c r="W71" s="243"/>
      <c r="X71" s="243"/>
      <c r="Y71" s="243"/>
      <c r="Z71" s="243"/>
      <c r="AA71" s="243"/>
      <c r="AB71" s="243"/>
      <c r="AC71" s="243"/>
      <c r="AD71" s="243"/>
      <c r="AE71" s="243"/>
      <c r="AF71" s="256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</row>
    <row r="72" spans="1:42" ht="31.5" x14ac:dyDescent="0.25">
      <c r="A72" s="257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26</v>
      </c>
      <c r="I72" s="210">
        <v>16</v>
      </c>
      <c r="J72" s="210">
        <v>21</v>
      </c>
      <c r="K72" s="209">
        <v>19</v>
      </c>
      <c r="L72" s="210">
        <v>19</v>
      </c>
      <c r="M72" s="288">
        <f>4704.53+544.32+1960.26+2120.63+1914.44+822.15+4802.54</f>
        <v>16868.87</v>
      </c>
      <c r="N72" s="288">
        <f>4703.53+544.32+1960.26+2120.63+2737.59</f>
        <v>12066.33</v>
      </c>
      <c r="O72" s="289">
        <f t="shared" si="1"/>
        <v>4802.5399999999991</v>
      </c>
      <c r="P72" s="213">
        <v>7</v>
      </c>
      <c r="Q72" s="214">
        <v>7</v>
      </c>
      <c r="R72" s="215">
        <v>7</v>
      </c>
      <c r="S72" s="288">
        <f>3959.69+961.38</f>
        <v>4921.07</v>
      </c>
      <c r="T72" s="288">
        <f>3959.69+961.38</f>
        <v>4921.07</v>
      </c>
      <c r="U72" s="288">
        <f t="shared" si="2"/>
        <v>0</v>
      </c>
      <c r="V72" s="161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1:42" ht="31.5" x14ac:dyDescent="0.25">
      <c r="A73" s="257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46</v>
      </c>
      <c r="I73" s="210">
        <v>32</v>
      </c>
      <c r="J73" s="210">
        <v>33</v>
      </c>
      <c r="K73" s="209">
        <v>33</v>
      </c>
      <c r="L73" s="210">
        <v>32</v>
      </c>
      <c r="M73" s="288">
        <f>2096.52+746.9+4941.1+3310.3+2104.91+2516.25+6797.48</f>
        <v>22513.46</v>
      </c>
      <c r="N73" s="288">
        <v>22513.46</v>
      </c>
      <c r="O73" s="289">
        <f t="shared" si="1"/>
        <v>0</v>
      </c>
      <c r="P73" s="213">
        <v>8</v>
      </c>
      <c r="Q73" s="214">
        <v>8</v>
      </c>
      <c r="R73" s="215">
        <v>8</v>
      </c>
      <c r="S73" s="288">
        <f>1821.06+4580.19+1240.2+1963.25</f>
        <v>9604.7000000000007</v>
      </c>
      <c r="T73" s="288">
        <v>9604.7000000000007</v>
      </c>
      <c r="U73" s="288">
        <f t="shared" si="2"/>
        <v>0</v>
      </c>
      <c r="V73" s="161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ht="31.5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210"/>
      <c r="J74" s="210"/>
      <c r="K74" s="209"/>
      <c r="L74" s="210"/>
      <c r="M74" s="288"/>
      <c r="N74" s="288"/>
      <c r="O74" s="289">
        <f t="shared" si="1"/>
        <v>0</v>
      </c>
      <c r="P74" s="213">
        <v>1</v>
      </c>
      <c r="Q74" s="214">
        <v>1</v>
      </c>
      <c r="R74" s="215">
        <v>1</v>
      </c>
      <c r="S74" s="288">
        <v>3278.32</v>
      </c>
      <c r="T74" s="288">
        <v>3278.32</v>
      </c>
      <c r="U74" s="288">
        <f t="shared" si="2"/>
        <v>0</v>
      </c>
      <c r="V74" s="161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ht="31.5" x14ac:dyDescent="0.25">
      <c r="A75" s="257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47</v>
      </c>
      <c r="I75" s="210">
        <v>11</v>
      </c>
      <c r="J75" s="210">
        <v>17</v>
      </c>
      <c r="K75" s="209">
        <v>17</v>
      </c>
      <c r="L75" s="210">
        <v>14</v>
      </c>
      <c r="M75" s="288">
        <f>275.6+741.36+14287.26+2399.03+7204.43-12858</f>
        <v>12049.68</v>
      </c>
      <c r="N75" s="288">
        <f>275.6+741.36+14287.26-10458.97</f>
        <v>4845.2500000000018</v>
      </c>
      <c r="O75" s="289">
        <f t="shared" ref="O75:O104" si="4" xml:space="preserve"> (M75-N75)</f>
        <v>7204.4299999999985</v>
      </c>
      <c r="P75" s="213">
        <v>3</v>
      </c>
      <c r="Q75" s="214">
        <v>3</v>
      </c>
      <c r="R75" s="215">
        <v>3</v>
      </c>
      <c r="S75" s="288">
        <f>617.03+725.77</f>
        <v>1342.8</v>
      </c>
      <c r="T75" s="288">
        <f>617.03+725.77</f>
        <v>1342.8</v>
      </c>
      <c r="U75" s="288">
        <f t="shared" ref="U75:U104" si="5" xml:space="preserve"> (S75-T75)</f>
        <v>0</v>
      </c>
      <c r="V75" s="161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ht="31.5" x14ac:dyDescent="0.25">
      <c r="A76" s="257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43</v>
      </c>
      <c r="I76" s="210">
        <v>33</v>
      </c>
      <c r="J76" s="210">
        <v>46</v>
      </c>
      <c r="K76" s="209">
        <v>46</v>
      </c>
      <c r="L76" s="210">
        <v>46</v>
      </c>
      <c r="M76" s="288">
        <f>11803.63+1320.23+3132.15+12104.63+822.42+4875.99+435.02+2678.15+3594.84+4069.8-0.4</f>
        <v>44836.46</v>
      </c>
      <c r="N76" s="288">
        <f>11803.63+1320.23+3132.15+12104.63+822.42+4875.99+435.02+6734.22</f>
        <v>41228.289999999994</v>
      </c>
      <c r="O76" s="289">
        <f t="shared" si="4"/>
        <v>3608.1700000000055</v>
      </c>
      <c r="P76" s="213">
        <v>5</v>
      </c>
      <c r="Q76" s="214">
        <v>5</v>
      </c>
      <c r="R76" s="215">
        <v>5</v>
      </c>
      <c r="S76" s="288">
        <f>5751.78+461.63</f>
        <v>6213.41</v>
      </c>
      <c r="T76" s="288">
        <v>5751.78</v>
      </c>
      <c r="U76" s="288">
        <f t="shared" si="5"/>
        <v>461.63000000000011</v>
      </c>
      <c r="V76" s="161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ht="31.5" x14ac:dyDescent="0.25">
      <c r="A77" s="257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27</v>
      </c>
      <c r="I77" s="210">
        <v>16</v>
      </c>
      <c r="J77" s="210">
        <v>22</v>
      </c>
      <c r="K77" s="209">
        <v>22</v>
      </c>
      <c r="L77" s="210">
        <v>19</v>
      </c>
      <c r="M77" s="288">
        <v>20900.61</v>
      </c>
      <c r="N77" s="288">
        <f>19015.61-1045.63</f>
        <v>17969.98</v>
      </c>
      <c r="O77" s="289">
        <f t="shared" si="4"/>
        <v>2930.630000000001</v>
      </c>
      <c r="P77" s="213"/>
      <c r="Q77" s="214"/>
      <c r="R77" s="215"/>
      <c r="S77" s="288"/>
      <c r="T77" s="288"/>
      <c r="U77" s="288">
        <f t="shared" si="5"/>
        <v>0</v>
      </c>
      <c r="V77" s="161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</row>
    <row r="78" spans="1:42" ht="31.5" x14ac:dyDescent="0.25">
      <c r="A78" s="257" t="s">
        <v>315</v>
      </c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210"/>
      <c r="J78" s="210"/>
      <c r="K78" s="209"/>
      <c r="L78" s="210"/>
      <c r="M78" s="288"/>
      <c r="N78" s="288"/>
      <c r="O78" s="289">
        <f t="shared" si="4"/>
        <v>0</v>
      </c>
      <c r="P78" s="213">
        <v>9</v>
      </c>
      <c r="Q78" s="214">
        <v>9</v>
      </c>
      <c r="R78" s="215">
        <v>9</v>
      </c>
      <c r="S78" s="288">
        <f>3889.76+778.48</f>
        <v>4668.24</v>
      </c>
      <c r="T78" s="288">
        <f>3889.76+778.48</f>
        <v>4668.24</v>
      </c>
      <c r="U78" s="288">
        <f t="shared" si="5"/>
        <v>0</v>
      </c>
      <c r="V78" s="161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1:42" ht="31.5" x14ac:dyDescent="0.25">
      <c r="A79" s="257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27</v>
      </c>
      <c r="I79" s="210">
        <v>19</v>
      </c>
      <c r="J79" s="210">
        <v>28</v>
      </c>
      <c r="K79" s="209">
        <v>28</v>
      </c>
      <c r="L79" s="210">
        <v>24</v>
      </c>
      <c r="M79" s="288">
        <f>8913.81+7027.61+1244.33+15395.91+4278.3+2683.35</f>
        <v>39543.31</v>
      </c>
      <c r="N79" s="288">
        <f>8913.81+7027.61+1244.33+15395.91+4278.3</f>
        <v>36859.96</v>
      </c>
      <c r="O79" s="289">
        <f t="shared" si="4"/>
        <v>2683.3499999999985</v>
      </c>
      <c r="P79" s="213">
        <v>4</v>
      </c>
      <c r="Q79" s="214">
        <v>4</v>
      </c>
      <c r="R79" s="215">
        <v>4</v>
      </c>
      <c r="S79" s="288">
        <f>275.6+4163.58</f>
        <v>4439.18</v>
      </c>
      <c r="T79" s="288">
        <f>275.6+4163.58</f>
        <v>4439.18</v>
      </c>
      <c r="U79" s="288">
        <f t="shared" si="5"/>
        <v>0</v>
      </c>
      <c r="V79" s="161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1:42" ht="31.5" x14ac:dyDescent="0.25">
      <c r="A80" s="257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20</v>
      </c>
      <c r="I80" s="210">
        <v>14</v>
      </c>
      <c r="J80" s="210">
        <v>22</v>
      </c>
      <c r="K80" s="209">
        <v>22</v>
      </c>
      <c r="L80" s="210">
        <v>22</v>
      </c>
      <c r="M80" s="288">
        <f>14959.64+7384.39+14758.51+362.5+822.42+1311.95-361.5</f>
        <v>39237.909999999996</v>
      </c>
      <c r="N80" s="288">
        <f>14959.64+7384.39+14758.51+362.5+822.42+1311.95-361.5</f>
        <v>39237.909999999996</v>
      </c>
      <c r="O80" s="289">
        <f t="shared" si="4"/>
        <v>0</v>
      </c>
      <c r="P80" s="213">
        <v>10</v>
      </c>
      <c r="Q80" s="214">
        <v>10</v>
      </c>
      <c r="R80" s="215">
        <v>10</v>
      </c>
      <c r="S80" s="288">
        <f>13554.7+2057.24+454.74</f>
        <v>16066.68</v>
      </c>
      <c r="T80" s="288">
        <f>13554.7+2057.24+454.74</f>
        <v>16066.68</v>
      </c>
      <c r="U80" s="288">
        <f t="shared" si="5"/>
        <v>0</v>
      </c>
      <c r="V80" s="161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1:42" ht="20.100000000000001" customHeight="1" x14ac:dyDescent="0.25">
      <c r="A81" s="257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210">
        <v>2</v>
      </c>
      <c r="J81" s="210">
        <v>4</v>
      </c>
      <c r="K81" s="209">
        <v>4</v>
      </c>
      <c r="L81" s="210">
        <v>3</v>
      </c>
      <c r="M81" s="288">
        <f>287.1+4641.98</f>
        <v>4929.08</v>
      </c>
      <c r="N81" s="288">
        <f>287.1+4641.98</f>
        <v>4929.08</v>
      </c>
      <c r="O81" s="289">
        <f t="shared" si="4"/>
        <v>0</v>
      </c>
      <c r="P81" s="213">
        <v>1</v>
      </c>
      <c r="Q81" s="214">
        <v>1</v>
      </c>
      <c r="R81" s="215">
        <v>1</v>
      </c>
      <c r="S81" s="288">
        <v>2673.24</v>
      </c>
      <c r="T81" s="288">
        <v>2673.24</v>
      </c>
      <c r="U81" s="288">
        <f t="shared" si="5"/>
        <v>0</v>
      </c>
      <c r="V81" s="161"/>
    </row>
    <row r="82" spans="1:42" ht="20.100000000000001" customHeight="1" x14ac:dyDescent="0.25">
      <c r="A82" s="257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28</v>
      </c>
      <c r="I82" s="210">
        <v>17</v>
      </c>
      <c r="J82" s="210">
        <v>19</v>
      </c>
      <c r="K82" s="209">
        <v>19</v>
      </c>
      <c r="L82" s="210">
        <v>19</v>
      </c>
      <c r="M82" s="288">
        <f>2626.75+8084.46+600.05+7445.83+942.5+668.95+1283.25+574.2</f>
        <v>22225.989999999998</v>
      </c>
      <c r="N82" s="288">
        <f>2626.75+8084.46+600.05+7445.83+942.5+668.95+1283.25</f>
        <v>21651.789999999997</v>
      </c>
      <c r="O82" s="289">
        <f t="shared" si="4"/>
        <v>574.20000000000073</v>
      </c>
      <c r="P82" s="213">
        <v>10</v>
      </c>
      <c r="Q82" s="214">
        <v>10</v>
      </c>
      <c r="R82" s="215">
        <v>10</v>
      </c>
      <c r="S82" s="288">
        <f>15935.59+881.06+1714.6+1015.59</f>
        <v>19546.84</v>
      </c>
      <c r="T82" s="288">
        <f>15935.59+881.06+1714.6+1015.59</f>
        <v>19546.84</v>
      </c>
      <c r="U82" s="288">
        <f t="shared" si="5"/>
        <v>0</v>
      </c>
      <c r="V82" s="161"/>
    </row>
    <row r="83" spans="1:42" ht="20.100000000000001" customHeight="1" x14ac:dyDescent="0.25">
      <c r="A83" s="257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29</v>
      </c>
      <c r="I83" s="210">
        <v>18</v>
      </c>
      <c r="J83" s="210">
        <v>30</v>
      </c>
      <c r="K83" s="209">
        <v>30</v>
      </c>
      <c r="L83" s="210">
        <v>30</v>
      </c>
      <c r="M83" s="288">
        <f>11233.31+3440.1+14435.12-1360.99+3088.95+2556.06+1891.38+763.69</f>
        <v>36047.619999999995</v>
      </c>
      <c r="N83" s="288">
        <f>11233.31+3440.1+14435.12-1360.99+3088.95+2556.06+1891.38+763.69</f>
        <v>36047.619999999995</v>
      </c>
      <c r="O83" s="289">
        <f t="shared" si="4"/>
        <v>0</v>
      </c>
      <c r="P83" s="213">
        <v>7</v>
      </c>
      <c r="Q83" s="214">
        <v>7</v>
      </c>
      <c r="R83" s="215">
        <v>7</v>
      </c>
      <c r="S83" s="288">
        <f>6465.89+3406.65+1360.99</f>
        <v>11233.53</v>
      </c>
      <c r="T83" s="288">
        <f>6465.89+3406.65+1360.99</f>
        <v>11233.53</v>
      </c>
      <c r="U83" s="288">
        <f t="shared" si="5"/>
        <v>0</v>
      </c>
      <c r="V83" s="161"/>
    </row>
    <row r="84" spans="1:42" ht="20.100000000000001" customHeight="1" x14ac:dyDescent="0.25">
      <c r="A84" s="257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22</v>
      </c>
      <c r="I84" s="210">
        <v>17</v>
      </c>
      <c r="J84" s="210">
        <v>29</v>
      </c>
      <c r="K84" s="209">
        <v>29</v>
      </c>
      <c r="L84" s="210">
        <v>23</v>
      </c>
      <c r="M84" s="288">
        <f>5429.56+2272.28+2029.9+2976.46+1243.6+3190.51</f>
        <v>17142.310000000001</v>
      </c>
      <c r="N84" s="288">
        <f>5429.56+2272.28+2029.9+2976.46+1243.6+3190.51</f>
        <v>17142.310000000001</v>
      </c>
      <c r="O84" s="289">
        <f t="shared" si="4"/>
        <v>0</v>
      </c>
      <c r="P84" s="213">
        <v>1</v>
      </c>
      <c r="Q84" s="214">
        <v>1</v>
      </c>
      <c r="R84" s="215">
        <v>1</v>
      </c>
      <c r="S84" s="288">
        <v>1515.31</v>
      </c>
      <c r="T84" s="288">
        <v>1515.31</v>
      </c>
      <c r="U84" s="288">
        <f t="shared" si="5"/>
        <v>0</v>
      </c>
      <c r="V84" s="161"/>
    </row>
    <row r="85" spans="1:42" ht="20.100000000000001" customHeight="1" x14ac:dyDescent="0.25">
      <c r="A85" s="257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58</v>
      </c>
      <c r="I85" s="210">
        <v>47</v>
      </c>
      <c r="J85" s="210">
        <v>77</v>
      </c>
      <c r="K85" s="209">
        <v>66</v>
      </c>
      <c r="L85" s="210">
        <v>66</v>
      </c>
      <c r="M85" s="288">
        <f>15506.09+4089.12+1924.78+1267.55+6546.86+1962.04+654.22+1080.22+392.95+1059.68+8180.45+435+1409.81+1010.65</f>
        <v>45519.419999999991</v>
      </c>
      <c r="N85" s="288">
        <f>15506.09+4089.12+1924.78+1267.55+6546.86+1962.04+654.22+1080.22+392.95+1059.68+10025.26</f>
        <v>44508.77</v>
      </c>
      <c r="O85" s="289">
        <f t="shared" si="4"/>
        <v>1010.6499999999942</v>
      </c>
      <c r="P85" s="213">
        <v>5</v>
      </c>
      <c r="Q85" s="214">
        <v>5</v>
      </c>
      <c r="R85" s="215">
        <v>5</v>
      </c>
      <c r="S85" s="288">
        <f>2068.47+2492.49</f>
        <v>4560.9599999999991</v>
      </c>
      <c r="T85" s="288">
        <f>2068.47+2492.49</f>
        <v>4560.9599999999991</v>
      </c>
      <c r="U85" s="288">
        <f t="shared" si="5"/>
        <v>0</v>
      </c>
      <c r="V85" s="161"/>
    </row>
    <row r="86" spans="1:42" ht="20.100000000000001" customHeight="1" x14ac:dyDescent="0.25">
      <c r="A86" s="257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22</v>
      </c>
      <c r="I86" s="210">
        <v>18</v>
      </c>
      <c r="J86" s="210">
        <v>21</v>
      </c>
      <c r="K86" s="209">
        <v>21</v>
      </c>
      <c r="L86" s="210">
        <v>21</v>
      </c>
      <c r="M86" s="288">
        <f>1957.76+1128.38+1752.82+1595+1761.46+1724.05</f>
        <v>9919.4699999999993</v>
      </c>
      <c r="N86" s="288">
        <f>1956.76+1128.38+1752.82+3357.46</f>
        <v>8195.42</v>
      </c>
      <c r="O86" s="289">
        <f t="shared" si="4"/>
        <v>1724.0499999999993</v>
      </c>
      <c r="P86" s="213">
        <v>2</v>
      </c>
      <c r="Q86" s="214">
        <v>2</v>
      </c>
      <c r="R86" s="215">
        <v>2</v>
      </c>
      <c r="S86" s="288">
        <v>839.18</v>
      </c>
      <c r="T86" s="288">
        <v>839.18</v>
      </c>
      <c r="U86" s="288">
        <f t="shared" si="5"/>
        <v>0</v>
      </c>
      <c r="V86" s="161"/>
    </row>
    <row r="87" spans="1:42" ht="20.25" customHeight="1" x14ac:dyDescent="0.25">
      <c r="A87" s="257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10</v>
      </c>
      <c r="I87" s="210">
        <v>8</v>
      </c>
      <c r="J87" s="210">
        <v>13</v>
      </c>
      <c r="K87" s="209">
        <v>13</v>
      </c>
      <c r="L87" s="210">
        <v>13</v>
      </c>
      <c r="M87" s="288">
        <f>795.8+4099.92+1305+358.88+1643.65+1026.38+1265.93+430.65+21</f>
        <v>10947.210000000001</v>
      </c>
      <c r="N87" s="288">
        <f>795.8+4099.92+1305+358.88+1643.65+1026.38+1265.93+430.65+21</f>
        <v>10947.210000000001</v>
      </c>
      <c r="O87" s="289">
        <f t="shared" si="4"/>
        <v>0</v>
      </c>
      <c r="P87" s="213">
        <v>6</v>
      </c>
      <c r="Q87" s="214">
        <v>6</v>
      </c>
      <c r="R87" s="215">
        <v>6</v>
      </c>
      <c r="S87" s="288">
        <f>2723.78+3718.48+4265.16+4595.62</f>
        <v>15303.04</v>
      </c>
      <c r="T87" s="288">
        <f>2723.78+3718.48+4265.16+4595.62</f>
        <v>15303.04</v>
      </c>
      <c r="U87" s="288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210"/>
      <c r="J88" s="210"/>
      <c r="K88" s="209"/>
      <c r="L88" s="210"/>
      <c r="M88" s="288"/>
      <c r="N88" s="288"/>
      <c r="O88" s="289">
        <f t="shared" si="4"/>
        <v>0</v>
      </c>
      <c r="P88" s="213">
        <v>6</v>
      </c>
      <c r="Q88" s="214">
        <v>6</v>
      </c>
      <c r="R88" s="215">
        <v>6</v>
      </c>
      <c r="S88" s="288">
        <v>7502.29</v>
      </c>
      <c r="T88" s="288">
        <v>7502.29</v>
      </c>
      <c r="U88" s="288">
        <f t="shared" si="5"/>
        <v>0</v>
      </c>
      <c r="V88" s="161"/>
    </row>
    <row r="89" spans="1:42" ht="20.100000000000001" customHeight="1" x14ac:dyDescent="0.25">
      <c r="A89" s="257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17</v>
      </c>
      <c r="I89" s="210">
        <v>9</v>
      </c>
      <c r="J89" s="210">
        <v>11</v>
      </c>
      <c r="K89" s="209">
        <v>11</v>
      </c>
      <c r="L89" s="210">
        <v>11</v>
      </c>
      <c r="M89" s="288">
        <f>2874.33+1509.2+1943+315.81+145+874.35+533.98</f>
        <v>8195.67</v>
      </c>
      <c r="N89" s="288">
        <f>2874.33+1509.2+1943+315.81+145+874.35+533.98</f>
        <v>8195.67</v>
      </c>
      <c r="O89" s="289">
        <f t="shared" si="4"/>
        <v>0</v>
      </c>
      <c r="P89" s="213">
        <v>8</v>
      </c>
      <c r="Q89" s="214">
        <v>8</v>
      </c>
      <c r="R89" s="215">
        <v>8</v>
      </c>
      <c r="S89" s="288">
        <f>8161.92+1118.75+3779.58+1127.2+2077.34</f>
        <v>16264.79</v>
      </c>
      <c r="T89" s="288">
        <f>8161.92+1118.75+3779.58+1127.2+2077.34</f>
        <v>16264.79</v>
      </c>
      <c r="U89" s="288">
        <f t="shared" si="5"/>
        <v>0</v>
      </c>
      <c r="V89" s="161"/>
    </row>
    <row r="90" spans="1:42" ht="20.100000000000001" customHeight="1" x14ac:dyDescent="0.25">
      <c r="A90" s="257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67</v>
      </c>
      <c r="I90" s="210">
        <v>53</v>
      </c>
      <c r="J90" s="210">
        <v>93</v>
      </c>
      <c r="K90" s="209">
        <v>82</v>
      </c>
      <c r="L90" s="210">
        <v>82</v>
      </c>
      <c r="M90" s="288">
        <f>14303.46+6714.67+1828.05+13505.93+582.9+8733.75+358.88+2031-1990+16472.8</f>
        <v>62541.440000000002</v>
      </c>
      <c r="N90" s="288">
        <f>14303.46+6714.67+1828.05+13505.93+582.9+8733.75+358.88+2031-1990</f>
        <v>46068.639999999999</v>
      </c>
      <c r="O90" s="289">
        <f t="shared" si="4"/>
        <v>16472.800000000003</v>
      </c>
      <c r="P90" s="213">
        <v>8</v>
      </c>
      <c r="Q90" s="214">
        <v>8</v>
      </c>
      <c r="R90" s="215">
        <v>8</v>
      </c>
      <c r="S90" s="288">
        <v>3130.8</v>
      </c>
      <c r="T90" s="288">
        <v>3130.8</v>
      </c>
      <c r="U90" s="288">
        <f t="shared" si="5"/>
        <v>0</v>
      </c>
      <c r="V90" s="161"/>
    </row>
    <row r="91" spans="1:42" ht="20.100000000000001" customHeight="1" x14ac:dyDescent="0.25">
      <c r="A91" s="257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34</v>
      </c>
      <c r="I91" s="210">
        <v>18</v>
      </c>
      <c r="J91" s="210">
        <v>33</v>
      </c>
      <c r="K91" s="209">
        <v>31</v>
      </c>
      <c r="L91" s="210">
        <v>23</v>
      </c>
      <c r="M91" s="288">
        <f>5384.83+3572.76+8100.09+725+145+1865.54-8102.05</f>
        <v>11691.170000000002</v>
      </c>
      <c r="N91" s="288">
        <f>5384.83+3572.76+8100.09+725+145+1865.54-8102.05</f>
        <v>11691.170000000002</v>
      </c>
      <c r="O91" s="289">
        <f t="shared" si="4"/>
        <v>0</v>
      </c>
      <c r="P91" s="213">
        <v>8</v>
      </c>
      <c r="Q91" s="214">
        <v>8</v>
      </c>
      <c r="R91" s="215">
        <v>7</v>
      </c>
      <c r="S91" s="288">
        <f>6219.66+748.35+1502.94</f>
        <v>8470.9500000000007</v>
      </c>
      <c r="T91" s="288">
        <f>6219.66+748.35+1502.94</f>
        <v>8470.9500000000007</v>
      </c>
      <c r="U91" s="288">
        <f t="shared" si="5"/>
        <v>0</v>
      </c>
      <c r="V91" s="161"/>
    </row>
    <row r="92" spans="1:42" ht="20.100000000000001" customHeight="1" x14ac:dyDescent="0.25">
      <c r="A92" s="257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27</v>
      </c>
      <c r="I92" s="210">
        <v>20</v>
      </c>
      <c r="J92" s="210">
        <v>30</v>
      </c>
      <c r="K92" s="209">
        <v>30</v>
      </c>
      <c r="L92" s="210">
        <v>28</v>
      </c>
      <c r="M92" s="288">
        <f>2301.54+4352.56+3555.69+1798.94+1481.14+763.69+2342.6+947.21+1435.6+2658.12+788.44+3552.5</f>
        <v>25978.029999999995</v>
      </c>
      <c r="N92" s="288">
        <f>2301.54+4352.56+3555.69+1798.94+1481.14+763.69+2342.6+947.21+4882.16</f>
        <v>22425.53</v>
      </c>
      <c r="O92" s="289">
        <f t="shared" si="4"/>
        <v>3552.4999999999964</v>
      </c>
      <c r="P92" s="213">
        <v>1</v>
      </c>
      <c r="Q92" s="214">
        <v>1</v>
      </c>
      <c r="R92" s="215">
        <v>1</v>
      </c>
      <c r="S92" s="288">
        <v>206.7</v>
      </c>
      <c r="T92" s="288">
        <v>206.7</v>
      </c>
      <c r="U92" s="288">
        <f t="shared" si="5"/>
        <v>0</v>
      </c>
      <c r="V92" s="161"/>
    </row>
    <row r="93" spans="1:42" ht="20.100000000000001" customHeight="1" x14ac:dyDescent="0.25">
      <c r="A93" s="257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123</v>
      </c>
      <c r="I93" s="210">
        <v>102</v>
      </c>
      <c r="J93" s="210">
        <v>125</v>
      </c>
      <c r="K93" s="209">
        <v>125</v>
      </c>
      <c r="L93" s="210">
        <v>105</v>
      </c>
      <c r="M93" s="288">
        <f>14656.12+3543.47+2420.25+2112.66+1299.21+2099.6+145+12320.24+7256.93+7391.73+3180.78+6298.93+4674.22+14249.72+7391.73-1965.34</f>
        <v>87075.249999999985</v>
      </c>
      <c r="N93" s="288">
        <f>14656.12+3543.47+2420.25+2112.66+1299.21+2099.6+145-10054.69+12320.24+13235.47+22185.39-6807.04+1045.63</f>
        <v>58201.30999999999</v>
      </c>
      <c r="O93" s="289">
        <f t="shared" si="4"/>
        <v>28873.939999999995</v>
      </c>
      <c r="P93" s="213">
        <v>11</v>
      </c>
      <c r="Q93" s="214">
        <v>11</v>
      </c>
      <c r="R93" s="215">
        <v>10</v>
      </c>
      <c r="S93" s="288">
        <f>11083.64+344.5</f>
        <v>11428.14</v>
      </c>
      <c r="T93" s="288">
        <f>11083.64+344.5</f>
        <v>11428.14</v>
      </c>
      <c r="U93" s="288">
        <f t="shared" si="5"/>
        <v>0</v>
      </c>
      <c r="V93" s="161"/>
      <c r="AF93" s="145"/>
    </row>
    <row r="94" spans="1:42" s="58" customFormat="1" ht="20.100000000000001" customHeight="1" x14ac:dyDescent="0.25">
      <c r="A94" s="257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51</v>
      </c>
      <c r="I94" s="210">
        <v>29</v>
      </c>
      <c r="J94" s="210">
        <v>40</v>
      </c>
      <c r="K94" s="210">
        <v>39</v>
      </c>
      <c r="L94" s="210">
        <v>36</v>
      </c>
      <c r="M94" s="288">
        <f>6576.32+217.5+2898.52+939.6+1008.45+1200.17+3722.95+4136.2+2392.5+736.89+7024.11+3460.88</f>
        <v>34314.090000000004</v>
      </c>
      <c r="N94" s="288">
        <f>6576.32+217.5+2898.52+939.6+1008.45+1200.17+3722.95+14290.72</f>
        <v>30854.230000000003</v>
      </c>
      <c r="O94" s="289">
        <f t="shared" si="4"/>
        <v>3459.8600000000006</v>
      </c>
      <c r="P94" s="213">
        <v>25</v>
      </c>
      <c r="Q94" s="215">
        <v>25</v>
      </c>
      <c r="R94" s="215">
        <v>24</v>
      </c>
      <c r="S94" s="288">
        <f>18253.04+4245.2+858.65+1546.26+14802.65</f>
        <v>39705.800000000003</v>
      </c>
      <c r="T94" s="288">
        <f>18253.04+4245.2+858.65+1546.26+14802.65</f>
        <v>39705.800000000003</v>
      </c>
      <c r="U94" s="288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257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37</v>
      </c>
      <c r="I95" s="210">
        <v>17</v>
      </c>
      <c r="J95" s="210">
        <v>25</v>
      </c>
      <c r="K95" s="209">
        <v>25</v>
      </c>
      <c r="L95" s="210">
        <v>21</v>
      </c>
      <c r="M95" s="288">
        <f>2362.32+22110.36+455.21+2039.58+953.22+699.73+275.6+9654.91+1049.72+185.88+466.54-377.07</f>
        <v>39876</v>
      </c>
      <c r="N95" s="288">
        <f>2362.32+22110.36+455.21+2039.58+953.22+699.73+275.6+9654.91+1049.72+185.88+466.54-377.07</f>
        <v>39876</v>
      </c>
      <c r="O95" s="289">
        <f t="shared" si="4"/>
        <v>0</v>
      </c>
      <c r="P95" s="213">
        <v>16</v>
      </c>
      <c r="Q95" s="214">
        <v>16</v>
      </c>
      <c r="R95" s="215">
        <v>16</v>
      </c>
      <c r="S95" s="288">
        <f>24552.24+1001.28+122.46+1729.98-1</f>
        <v>27404.959999999999</v>
      </c>
      <c r="T95" s="288">
        <f>24552.24+1001.28+122.46+1729.98-1</f>
        <v>27404.959999999999</v>
      </c>
      <c r="U95" s="288">
        <f t="shared" si="5"/>
        <v>0</v>
      </c>
      <c r="V95" s="161"/>
    </row>
    <row r="96" spans="1:42" ht="20.100000000000001" customHeight="1" x14ac:dyDescent="0.25">
      <c r="A96" s="257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11</v>
      </c>
      <c r="I96" s="210">
        <v>9</v>
      </c>
      <c r="J96" s="210">
        <v>13</v>
      </c>
      <c r="K96" s="209">
        <v>12</v>
      </c>
      <c r="L96" s="210">
        <v>12</v>
      </c>
      <c r="M96" s="288">
        <f>826.8+2786.41+2401.3+725</f>
        <v>6739.51</v>
      </c>
      <c r="N96" s="288">
        <f>826.8+2786.41+2401.3+725</f>
        <v>6739.51</v>
      </c>
      <c r="O96" s="289">
        <f t="shared" si="4"/>
        <v>0</v>
      </c>
      <c r="P96" s="213"/>
      <c r="Q96" s="214"/>
      <c r="R96" s="215"/>
      <c r="S96" s="288"/>
      <c r="T96" s="288"/>
      <c r="U96" s="288">
        <f t="shared" si="5"/>
        <v>0</v>
      </c>
      <c r="V96" s="161"/>
    </row>
    <row r="97" spans="1:42" ht="31.5" x14ac:dyDescent="0.25">
      <c r="A97" s="257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14</v>
      </c>
      <c r="I97" s="210">
        <v>7</v>
      </c>
      <c r="J97" s="210">
        <v>8</v>
      </c>
      <c r="K97" s="209">
        <v>8</v>
      </c>
      <c r="L97" s="210">
        <v>8</v>
      </c>
      <c r="M97" s="288">
        <f>3172.93+1457.25+380.63</f>
        <v>5010.8100000000004</v>
      </c>
      <c r="N97" s="288">
        <f>3172.93+1457.25+380.63</f>
        <v>5010.8100000000004</v>
      </c>
      <c r="O97" s="289">
        <f t="shared" si="4"/>
        <v>0</v>
      </c>
      <c r="P97" s="213">
        <v>4</v>
      </c>
      <c r="Q97" s="214">
        <v>4</v>
      </c>
      <c r="R97" s="215">
        <v>4</v>
      </c>
      <c r="S97" s="288">
        <v>1744.35</v>
      </c>
      <c r="T97" s="288">
        <v>1744.35</v>
      </c>
      <c r="U97" s="288">
        <f t="shared" si="5"/>
        <v>0</v>
      </c>
      <c r="V97" s="161"/>
      <c r="AJ97"/>
      <c r="AK97"/>
      <c r="AL97"/>
      <c r="AM97"/>
      <c r="AN97"/>
      <c r="AO97"/>
      <c r="AP97"/>
    </row>
    <row r="98" spans="1:42" ht="31.5" x14ac:dyDescent="0.25">
      <c r="A98" s="257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20</v>
      </c>
      <c r="I98" s="210">
        <v>13</v>
      </c>
      <c r="J98" s="210">
        <v>15</v>
      </c>
      <c r="K98" s="209">
        <v>15</v>
      </c>
      <c r="L98" s="210">
        <v>14</v>
      </c>
      <c r="M98" s="288">
        <f>757.9+551.2+895.7+290+725+841.2+290+725+2.07</f>
        <v>5078.07</v>
      </c>
      <c r="N98" s="288">
        <f>757.9+551.2+895.7+290+725+841.2+290+725+2.07</f>
        <v>5078.07</v>
      </c>
      <c r="O98" s="289">
        <f t="shared" si="4"/>
        <v>0</v>
      </c>
      <c r="P98" s="213">
        <v>13</v>
      </c>
      <c r="Q98" s="214">
        <v>13</v>
      </c>
      <c r="R98" s="215">
        <v>13</v>
      </c>
      <c r="S98" s="288">
        <f>8034.56+3466.13+4060.73+413.4</f>
        <v>15974.82</v>
      </c>
      <c r="T98" s="288">
        <f>8034.56+3466.13+4060.73+413.4</f>
        <v>15974.82</v>
      </c>
      <c r="U98" s="288">
        <f t="shared" si="5"/>
        <v>0</v>
      </c>
      <c r="V98" s="161"/>
      <c r="AJ98"/>
      <c r="AK98"/>
      <c r="AL98"/>
      <c r="AM98"/>
      <c r="AN98"/>
      <c r="AO98"/>
      <c r="AP98"/>
    </row>
    <row r="99" spans="1:42" ht="31.5" x14ac:dyDescent="0.25">
      <c r="A99" s="257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30</v>
      </c>
      <c r="I99" s="210">
        <v>21</v>
      </c>
      <c r="J99" s="210">
        <v>27</v>
      </c>
      <c r="K99" s="209">
        <v>27</v>
      </c>
      <c r="L99" s="210">
        <v>26</v>
      </c>
      <c r="M99" s="288">
        <f>4783.23+1353.89+2195.41+1197.7+1340.79+681.5+699.48+1909.51+3782.49</f>
        <v>17944</v>
      </c>
      <c r="N99" s="288">
        <f>4783.23+1353.89+2195.41+1197.7+1340.79+681.5+699.48+1909.51+3782.49</f>
        <v>17944</v>
      </c>
      <c r="O99" s="289">
        <f t="shared" si="4"/>
        <v>0</v>
      </c>
      <c r="P99" s="213">
        <v>12</v>
      </c>
      <c r="Q99" s="214">
        <v>12</v>
      </c>
      <c r="R99" s="215">
        <v>12</v>
      </c>
      <c r="S99" s="288">
        <f>12321.66+1021.27+487.2+781.96</f>
        <v>14612.09</v>
      </c>
      <c r="T99" s="288">
        <f>12321.66+1021.27+487.2+781.96</f>
        <v>14612.09</v>
      </c>
      <c r="U99" s="288">
        <f t="shared" si="5"/>
        <v>0</v>
      </c>
      <c r="V99" s="161"/>
      <c r="AJ99"/>
      <c r="AK99"/>
      <c r="AL99"/>
      <c r="AM99"/>
      <c r="AN99"/>
      <c r="AO99"/>
      <c r="AP99"/>
    </row>
    <row r="100" spans="1:42" ht="31.5" x14ac:dyDescent="0.25">
      <c r="A100" s="257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55</v>
      </c>
      <c r="I100" s="210">
        <v>18</v>
      </c>
      <c r="J100" s="210">
        <v>26</v>
      </c>
      <c r="K100" s="209">
        <v>26</v>
      </c>
      <c r="L100" s="210">
        <v>25</v>
      </c>
      <c r="M100" s="288">
        <f>10862.96+2375.03+5632.11+356.47+2077.94+875.35+630.95+4495</f>
        <v>27305.809999999998</v>
      </c>
      <c r="N100" s="288">
        <f>10862.96+2375.03+5632.11+357.47+2077.94+1505.3</f>
        <v>22810.809999999998</v>
      </c>
      <c r="O100" s="289">
        <f t="shared" si="4"/>
        <v>4495</v>
      </c>
      <c r="P100" s="213">
        <v>11</v>
      </c>
      <c r="Q100" s="214">
        <v>11</v>
      </c>
      <c r="R100" s="215">
        <v>10</v>
      </c>
      <c r="S100" s="288">
        <f>4780.1+2135.9</f>
        <v>6916</v>
      </c>
      <c r="T100" s="288">
        <f>4780.1+2135.9</f>
        <v>6916</v>
      </c>
      <c r="U100" s="288">
        <f t="shared" si="5"/>
        <v>0</v>
      </c>
      <c r="V100" s="161"/>
      <c r="AF100" s="145"/>
      <c r="AJ100"/>
      <c r="AK100"/>
      <c r="AL100"/>
      <c r="AM100"/>
      <c r="AN100"/>
      <c r="AO100"/>
      <c r="AP100"/>
    </row>
    <row r="101" spans="1:42" ht="31.5" x14ac:dyDescent="0.25">
      <c r="A101" s="257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108</v>
      </c>
      <c r="I101" s="210">
        <v>73</v>
      </c>
      <c r="J101" s="210">
        <v>89</v>
      </c>
      <c r="K101" s="209">
        <v>89</v>
      </c>
      <c r="L101" s="210">
        <v>72</v>
      </c>
      <c r="M101" s="288">
        <f>16276.16+4466.66+1078.5+4011.53+435+1493.5+2243.15+1864.7+4804.86+840+5133.33+10737-380.89+4398.6+7811.98+1459.39</f>
        <v>66673.47</v>
      </c>
      <c r="N101" s="288">
        <f>16276.16+4466.66+1078.5+4011.53+435+1493.5+2243.15-144.3-2415.9+5133.33+2766.9+7302.86</f>
        <v>42647.39</v>
      </c>
      <c r="O101" s="289">
        <f t="shared" si="4"/>
        <v>24026.080000000002</v>
      </c>
      <c r="P101" s="213">
        <v>38</v>
      </c>
      <c r="Q101" s="214">
        <v>38</v>
      </c>
      <c r="R101" s="215">
        <v>37</v>
      </c>
      <c r="S101" s="288">
        <f>21329.45-2252.12+532.3+345.99+26455.28+1.67+3039.85-3960.98+551.2+1658+1218+2016.16</f>
        <v>50934.799999999996</v>
      </c>
      <c r="T101" s="288">
        <f>21329.45-2252.12+532.3+345.99+26455.28+1.67+3039.85-3960.98+2209.2</f>
        <v>47700.639999999992</v>
      </c>
      <c r="U101" s="288">
        <f t="shared" si="5"/>
        <v>3234.1600000000035</v>
      </c>
      <c r="V101" s="161"/>
      <c r="AH101" s="145"/>
      <c r="AJ101"/>
      <c r="AK101"/>
      <c r="AL101"/>
      <c r="AM101"/>
      <c r="AN101"/>
      <c r="AO101"/>
      <c r="AP101"/>
    </row>
    <row r="102" spans="1:42" ht="31.5" x14ac:dyDescent="0.25">
      <c r="A102" s="257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16</v>
      </c>
      <c r="I102" s="217">
        <v>11</v>
      </c>
      <c r="J102" s="217">
        <v>15</v>
      </c>
      <c r="K102" s="216">
        <v>14</v>
      </c>
      <c r="L102" s="217">
        <v>14</v>
      </c>
      <c r="M102" s="290">
        <f>3259.83+1328.19+2964.21+8477.2+2525.13+577.1</f>
        <v>19131.66</v>
      </c>
      <c r="N102" s="290">
        <f>3259.83+1328.19+2964.21+8477.2+2525.13+577.1</f>
        <v>19131.66</v>
      </c>
      <c r="O102" s="289">
        <f t="shared" si="4"/>
        <v>0</v>
      </c>
      <c r="P102" s="219">
        <v>5</v>
      </c>
      <c r="Q102" s="220">
        <v>5</v>
      </c>
      <c r="R102" s="221">
        <v>4</v>
      </c>
      <c r="S102" s="290">
        <f>1193.3+5843.89</f>
        <v>7037.1900000000005</v>
      </c>
      <c r="T102" s="290">
        <f>1193.3+5843.89</f>
        <v>7037.1900000000005</v>
      </c>
      <c r="U102" s="290">
        <f t="shared" si="5"/>
        <v>0</v>
      </c>
      <c r="V102" s="161"/>
      <c r="AJ102"/>
      <c r="AK102"/>
      <c r="AL102"/>
      <c r="AM102"/>
      <c r="AN102"/>
      <c r="AO102"/>
      <c r="AP102"/>
    </row>
    <row r="103" spans="1:42" ht="31.5" x14ac:dyDescent="0.25">
      <c r="A103" s="257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29</v>
      </c>
      <c r="I103" s="210">
        <v>8</v>
      </c>
      <c r="J103" s="210">
        <v>10</v>
      </c>
      <c r="K103" s="209">
        <v>10</v>
      </c>
      <c r="L103" s="210">
        <v>10</v>
      </c>
      <c r="M103" s="288">
        <f>699.33+580+1941.55+1384.15</f>
        <v>4605.0300000000007</v>
      </c>
      <c r="N103" s="288">
        <f>699.33+580+1941.55+1384.15</f>
        <v>4605.0300000000007</v>
      </c>
      <c r="O103" s="289">
        <f t="shared" si="4"/>
        <v>0</v>
      </c>
      <c r="P103" s="215"/>
      <c r="Q103" s="214"/>
      <c r="R103" s="215"/>
      <c r="S103" s="288"/>
      <c r="T103" s="288"/>
      <c r="U103" s="290">
        <f t="shared" si="5"/>
        <v>0</v>
      </c>
      <c r="V103" s="161"/>
      <c r="AJ103"/>
      <c r="AK103"/>
      <c r="AL103"/>
      <c r="AM103"/>
      <c r="AN103"/>
      <c r="AO103"/>
      <c r="AP103"/>
    </row>
    <row r="104" spans="1:42" ht="31.5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210">
        <v>2</v>
      </c>
      <c r="J104" s="210">
        <v>2</v>
      </c>
      <c r="K104" s="209">
        <v>2</v>
      </c>
      <c r="L104" s="210">
        <v>2</v>
      </c>
      <c r="M104" s="288">
        <v>2252.12</v>
      </c>
      <c r="N104" s="288">
        <v>2252.12</v>
      </c>
      <c r="O104" s="289">
        <f t="shared" si="4"/>
        <v>0</v>
      </c>
      <c r="P104" s="215"/>
      <c r="Q104" s="214"/>
      <c r="R104" s="215"/>
      <c r="S104" s="288"/>
      <c r="T104" s="288"/>
      <c r="U104" s="288">
        <f t="shared" si="5"/>
        <v>0</v>
      </c>
      <c r="V104" s="161"/>
      <c r="W104" s="145"/>
      <c r="AF104" s="145"/>
      <c r="AH104" s="145"/>
      <c r="AJ104"/>
      <c r="AK104"/>
      <c r="AL104"/>
      <c r="AM104"/>
      <c r="AN104"/>
      <c r="AO104"/>
      <c r="AP104"/>
    </row>
    <row r="105" spans="1:42" x14ac:dyDescent="0.25">
      <c r="B105" s="362"/>
      <c r="C105" s="362"/>
      <c r="D105" s="362"/>
      <c r="E105" s="362"/>
      <c r="F105" s="362"/>
      <c r="G105" s="362"/>
      <c r="H105" s="119">
        <f t="shared" ref="H105:O105" si="7">SUM(H10:H104)</f>
        <v>3112</v>
      </c>
      <c r="I105" s="223">
        <f t="shared" si="7"/>
        <v>2008</v>
      </c>
      <c r="J105" s="223">
        <f t="shared" si="7"/>
        <v>2750</v>
      </c>
      <c r="K105" s="222">
        <f t="shared" si="7"/>
        <v>2673</v>
      </c>
      <c r="L105" s="223">
        <f t="shared" si="7"/>
        <v>2485</v>
      </c>
      <c r="M105" s="224">
        <f t="shared" si="7"/>
        <v>2114275.5699999998</v>
      </c>
      <c r="N105" s="224">
        <f t="shared" si="7"/>
        <v>1902697.84</v>
      </c>
      <c r="O105" s="224">
        <f t="shared" si="7"/>
        <v>211577.73000000004</v>
      </c>
      <c r="P105" s="225">
        <f>SUM(P10:P104)</f>
        <v>782</v>
      </c>
      <c r="Q105" s="226">
        <f>SUM(Q10:Q104)</f>
        <v>782</v>
      </c>
      <c r="R105" s="225">
        <f>SUM(R11:R104)</f>
        <v>754</v>
      </c>
      <c r="S105" s="263">
        <f>SUM(S10:S104)</f>
        <v>1068302.4500000002</v>
      </c>
      <c r="T105" s="263">
        <f>SUM(T10:T104)</f>
        <v>1055537.32</v>
      </c>
      <c r="U105" s="263">
        <f>SUM(U10:U104)</f>
        <v>12765.130000000012</v>
      </c>
      <c r="V105" s="244">
        <f>M105+S105</f>
        <v>3182578.02</v>
      </c>
      <c r="W105" s="245"/>
      <c r="X105" s="246"/>
      <c r="Y105" s="245"/>
      <c r="Z105" s="246"/>
      <c r="AA105" s="245"/>
      <c r="AB105" s="246"/>
      <c r="AC105" s="246"/>
      <c r="AD105" s="246"/>
      <c r="AE105" s="246"/>
      <c r="AF105" s="245"/>
      <c r="AG105" s="245"/>
      <c r="AH105" s="236"/>
      <c r="AJ105"/>
      <c r="AK105"/>
      <c r="AL105"/>
      <c r="AM105"/>
      <c r="AN105"/>
      <c r="AO105"/>
      <c r="AP105"/>
    </row>
    <row r="106" spans="1:42" x14ac:dyDescent="0.25">
      <c r="V106" s="245">
        <f>N105+T105</f>
        <v>2958235.16</v>
      </c>
      <c r="W106" s="245"/>
      <c r="X106" s="246"/>
      <c r="Y106" s="246"/>
      <c r="Z106" s="246"/>
      <c r="AA106" s="246"/>
      <c r="AB106" s="246"/>
      <c r="AC106" s="246"/>
      <c r="AD106" s="246"/>
      <c r="AE106" s="246"/>
      <c r="AF106" s="245"/>
      <c r="AG106" s="246"/>
      <c r="AH106" s="235"/>
      <c r="AJ106"/>
      <c r="AK106"/>
      <c r="AL106"/>
      <c r="AM106"/>
      <c r="AN106"/>
      <c r="AO106"/>
      <c r="AP106"/>
    </row>
    <row r="107" spans="1:42" x14ac:dyDescent="0.25">
      <c r="V107" s="245">
        <f>O105+U105</f>
        <v>224342.86000000004</v>
      </c>
      <c r="W107" s="245"/>
      <c r="X107" s="246"/>
      <c r="Y107" s="246"/>
      <c r="Z107" s="246"/>
      <c r="AA107" s="246"/>
      <c r="AB107" s="246"/>
      <c r="AC107" s="246"/>
      <c r="AD107" s="246"/>
      <c r="AE107" s="246"/>
      <c r="AF107" s="245"/>
      <c r="AG107" s="245"/>
      <c r="AH107" s="234"/>
      <c r="AI107" s="145"/>
      <c r="AJ107" s="59"/>
      <c r="AK107"/>
      <c r="AL107"/>
      <c r="AM107"/>
      <c r="AN107"/>
      <c r="AO107"/>
      <c r="AP107"/>
    </row>
    <row r="108" spans="1:42" x14ac:dyDescent="0.25">
      <c r="V108" s="145"/>
      <c r="W108" s="145"/>
      <c r="AF108" s="234"/>
      <c r="AG108" s="234"/>
      <c r="AH108" s="235"/>
      <c r="AJ108"/>
      <c r="AK108"/>
      <c r="AL108"/>
      <c r="AM108"/>
      <c r="AN108"/>
      <c r="AO108"/>
      <c r="AP108"/>
    </row>
    <row r="109" spans="1:42" x14ac:dyDescent="0.25">
      <c r="V109" s="145"/>
      <c r="AF109" s="235"/>
      <c r="AG109" s="235"/>
      <c r="AH109" s="234"/>
      <c r="AJ109"/>
      <c r="AK109"/>
      <c r="AL109"/>
      <c r="AM109"/>
      <c r="AN109"/>
      <c r="AO109"/>
      <c r="AP109"/>
    </row>
    <row r="110" spans="1:42" x14ac:dyDescent="0.25">
      <c r="V110" s="145"/>
      <c r="AF110" s="235"/>
      <c r="AG110" s="235"/>
      <c r="AH110" s="234"/>
      <c r="AJ110"/>
      <c r="AK110"/>
      <c r="AL110"/>
      <c r="AM110"/>
      <c r="AN110"/>
      <c r="AO110"/>
      <c r="AP110"/>
    </row>
    <row r="111" spans="1:42" x14ac:dyDescent="0.25">
      <c r="AF111" s="235"/>
      <c r="AG111" s="235"/>
      <c r="AH111" s="235"/>
      <c r="AJ111"/>
      <c r="AK111"/>
      <c r="AL111"/>
      <c r="AM111"/>
      <c r="AN111"/>
      <c r="AO111"/>
      <c r="AP111"/>
    </row>
    <row r="112" spans="1:42" x14ac:dyDescent="0.25">
      <c r="AF112" s="235"/>
      <c r="AG112" s="235"/>
      <c r="AH112" s="235"/>
      <c r="AJ112"/>
      <c r="AK112"/>
      <c r="AL112"/>
      <c r="AM112"/>
      <c r="AN112"/>
      <c r="AO112"/>
      <c r="AP112"/>
    </row>
    <row r="113" spans="1:42" ht="15" x14ac:dyDescent="0.25">
      <c r="A113" s="258"/>
      <c r="B113"/>
      <c r="C113"/>
      <c r="D113"/>
      <c r="E113"/>
      <c r="F113"/>
      <c r="G113"/>
      <c r="H113"/>
      <c r="I113"/>
      <c r="J113" s="243"/>
      <c r="K113" s="243"/>
      <c r="L113" s="243"/>
      <c r="M113" s="243"/>
      <c r="N113" s="243"/>
      <c r="O113" s="243"/>
      <c r="P113" s="243"/>
      <c r="Q113" s="243"/>
      <c r="R113" s="243"/>
      <c r="S113" s="265"/>
      <c r="T113" s="265"/>
      <c r="U113" s="287"/>
      <c r="V113" s="59"/>
      <c r="W113"/>
      <c r="X113"/>
      <c r="Y113"/>
      <c r="Z113"/>
      <c r="AA113"/>
      <c r="AB113"/>
      <c r="AC113"/>
      <c r="AD113"/>
      <c r="AE113"/>
      <c r="AF113" s="235"/>
      <c r="AG113" s="235"/>
      <c r="AH113" s="235"/>
      <c r="AI113"/>
      <c r="AJ113"/>
      <c r="AK113"/>
      <c r="AL113"/>
      <c r="AM113"/>
      <c r="AN113"/>
      <c r="AO113"/>
      <c r="AP113"/>
    </row>
    <row r="114" spans="1:42" ht="15" x14ac:dyDescent="0.25">
      <c r="A114" s="258"/>
      <c r="B114"/>
      <c r="C114"/>
      <c r="D114"/>
      <c r="E114"/>
      <c r="F114"/>
      <c r="G114"/>
      <c r="H114"/>
      <c r="I114"/>
      <c r="J114" s="243"/>
      <c r="K114" s="243"/>
      <c r="L114" s="243"/>
      <c r="M114" s="243"/>
      <c r="N114" s="243"/>
      <c r="O114" s="243"/>
      <c r="P114" s="243"/>
      <c r="Q114" s="243"/>
      <c r="R114" s="243"/>
      <c r="S114" s="265"/>
      <c r="T114" s="265"/>
      <c r="U114" s="265"/>
      <c r="V114"/>
      <c r="W114"/>
      <c r="X114"/>
      <c r="Y114"/>
      <c r="Z114"/>
      <c r="AA114"/>
      <c r="AB114"/>
      <c r="AC114"/>
      <c r="AD114"/>
      <c r="AE114"/>
      <c r="AF114" s="235"/>
      <c r="AG114" s="235"/>
      <c r="AH114" s="235"/>
      <c r="AI114"/>
      <c r="AJ114"/>
      <c r="AK114"/>
      <c r="AL114"/>
      <c r="AM114"/>
      <c r="AN114"/>
      <c r="AO114"/>
      <c r="AP114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conditionalFormatting sqref="S45">
    <cfRule type="cellIs" dxfId="169" priority="31" stopIfTrue="1" operator="equal">
      <formula>0</formula>
    </cfRule>
  </conditionalFormatting>
  <conditionalFormatting sqref="AL45">
    <cfRule type="cellIs" dxfId="168" priority="30" stopIfTrue="1" operator="equal">
      <formula>0</formula>
    </cfRule>
  </conditionalFormatting>
  <conditionalFormatting sqref="T45">
    <cfRule type="cellIs" dxfId="167" priority="29" stopIfTrue="1" operator="equal">
      <formula>0</formula>
    </cfRule>
  </conditionalFormatting>
  <conditionalFormatting sqref="T45">
    <cfRule type="cellIs" dxfId="166" priority="28" stopIfTrue="1" operator="equal">
      <formula>0</formula>
    </cfRule>
  </conditionalFormatting>
  <conditionalFormatting sqref="T45">
    <cfRule type="cellIs" dxfId="165" priority="27" stopIfTrue="1" operator="equal">
      <formula>0</formula>
    </cfRule>
  </conditionalFormatting>
  <conditionalFormatting sqref="T45">
    <cfRule type="cellIs" dxfId="164" priority="26" stopIfTrue="1" operator="equal">
      <formula>0</formula>
    </cfRule>
  </conditionalFormatting>
  <conditionalFormatting sqref="T45">
    <cfRule type="cellIs" dxfId="163" priority="25" stopIfTrue="1" operator="equal">
      <formula>0</formula>
    </cfRule>
  </conditionalFormatting>
  <conditionalFormatting sqref="T45">
    <cfRule type="cellIs" dxfId="162" priority="24" stopIfTrue="1" operator="equal">
      <formula>0</formula>
    </cfRule>
  </conditionalFormatting>
  <conditionalFormatting sqref="T45">
    <cfRule type="cellIs" dxfId="161" priority="23" stopIfTrue="1" operator="equal">
      <formula>0</formula>
    </cfRule>
  </conditionalFormatting>
  <conditionalFormatting sqref="T45">
    <cfRule type="cellIs" dxfId="160" priority="22" stopIfTrue="1" operator="equal">
      <formula>0</formula>
    </cfRule>
  </conditionalFormatting>
  <conditionalFormatting sqref="T45">
    <cfRule type="cellIs" dxfId="159" priority="21" stopIfTrue="1" operator="equal">
      <formula>0</formula>
    </cfRule>
  </conditionalFormatting>
  <conditionalFormatting sqref="S45">
    <cfRule type="cellIs" dxfId="158" priority="20" stopIfTrue="1" operator="equal">
      <formula>0</formula>
    </cfRule>
  </conditionalFormatting>
  <conditionalFormatting sqref="T45">
    <cfRule type="cellIs" dxfId="157" priority="19" stopIfTrue="1" operator="equal">
      <formula>0</formula>
    </cfRule>
  </conditionalFormatting>
  <conditionalFormatting sqref="T45">
    <cfRule type="cellIs" dxfId="156" priority="18" stopIfTrue="1" operator="equal">
      <formula>0</formula>
    </cfRule>
  </conditionalFormatting>
  <conditionalFormatting sqref="T45">
    <cfRule type="cellIs" dxfId="155" priority="17" stopIfTrue="1" operator="equal">
      <formula>0</formula>
    </cfRule>
  </conditionalFormatting>
  <conditionalFormatting sqref="T45">
    <cfRule type="cellIs" dxfId="154" priority="16" stopIfTrue="1" operator="equal">
      <formula>0</formula>
    </cfRule>
  </conditionalFormatting>
  <conditionalFormatting sqref="T45">
    <cfRule type="cellIs" dxfId="153" priority="15" stopIfTrue="1" operator="equal">
      <formula>0</formula>
    </cfRule>
  </conditionalFormatting>
  <conditionalFormatting sqref="T45">
    <cfRule type="cellIs" dxfId="152" priority="14" stopIfTrue="1" operator="equal">
      <formula>0</formula>
    </cfRule>
  </conditionalFormatting>
  <conditionalFormatting sqref="T45">
    <cfRule type="cellIs" dxfId="151" priority="13" stopIfTrue="1" operator="equal">
      <formula>0</formula>
    </cfRule>
  </conditionalFormatting>
  <conditionalFormatting sqref="T45">
    <cfRule type="cellIs" dxfId="150" priority="12" stopIfTrue="1" operator="equal">
      <formula>0</formula>
    </cfRule>
  </conditionalFormatting>
  <conditionalFormatting sqref="T45">
    <cfRule type="cellIs" dxfId="149" priority="11" stopIfTrue="1" operator="equal">
      <formula>0</formula>
    </cfRule>
  </conditionalFormatting>
  <conditionalFormatting sqref="S45">
    <cfRule type="cellIs" dxfId="148" priority="10" stopIfTrue="1" operator="equal">
      <formula>0</formula>
    </cfRule>
  </conditionalFormatting>
  <conditionalFormatting sqref="T45">
    <cfRule type="cellIs" dxfId="147" priority="9" stopIfTrue="1" operator="equal">
      <formula>0</formula>
    </cfRule>
  </conditionalFormatting>
  <conditionalFormatting sqref="T45">
    <cfRule type="cellIs" dxfId="146" priority="8" stopIfTrue="1" operator="equal">
      <formula>0</formula>
    </cfRule>
  </conditionalFormatting>
  <conditionalFormatting sqref="T45">
    <cfRule type="cellIs" dxfId="145" priority="7" stopIfTrue="1" operator="equal">
      <formula>0</formula>
    </cfRule>
  </conditionalFormatting>
  <conditionalFormatting sqref="T45">
    <cfRule type="cellIs" dxfId="144" priority="6" stopIfTrue="1" operator="equal">
      <formula>0</formula>
    </cfRule>
  </conditionalFormatting>
  <conditionalFormatting sqref="T45">
    <cfRule type="cellIs" dxfId="143" priority="5" stopIfTrue="1" operator="equal">
      <formula>0</formula>
    </cfRule>
  </conditionalFormatting>
  <conditionalFormatting sqref="T45">
    <cfRule type="cellIs" dxfId="142" priority="4" stopIfTrue="1" operator="equal">
      <formula>0</formula>
    </cfRule>
  </conditionalFormatting>
  <conditionalFormatting sqref="T45">
    <cfRule type="cellIs" dxfId="141" priority="3" stopIfTrue="1" operator="equal">
      <formula>0</formula>
    </cfRule>
  </conditionalFormatting>
  <conditionalFormatting sqref="T45">
    <cfRule type="cellIs" dxfId="140" priority="2" stopIfTrue="1" operator="equal">
      <formula>0</formula>
    </cfRule>
  </conditionalFormatting>
  <conditionalFormatting sqref="T45">
    <cfRule type="cellIs" dxfId="13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28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C97" zoomScale="80" zoomScaleNormal="80" workbookViewId="0">
      <selection activeCell="C67" sqref="A1:IV65536"/>
    </sheetView>
  </sheetViews>
  <sheetFormatPr defaultRowHeight="15.75" x14ac:dyDescent="0.25"/>
  <cols>
    <col min="1" max="1" width="6.28515625" style="257" hidden="1" customWidth="1"/>
    <col min="2" max="2" width="7.425781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0" style="184" customWidth="1"/>
    <col min="7" max="7" width="18.5703125" style="184" customWidth="1"/>
    <col min="8" max="8" width="10.7109375" style="184" customWidth="1"/>
    <col min="9" max="9" width="9.140625" style="184" customWidth="1"/>
    <col min="10" max="12" width="9.140625" style="227" customWidth="1"/>
    <col min="13" max="13" width="16.5703125" style="228" customWidth="1"/>
    <col min="14" max="14" width="15.140625" style="228" customWidth="1"/>
    <col min="15" max="15" width="19.5703125" style="228" customWidth="1"/>
    <col min="16" max="17" width="11.85546875" style="228" customWidth="1"/>
    <col min="18" max="18" width="11.7109375" style="228" customWidth="1"/>
    <col min="19" max="19" width="16.7109375" style="264" customWidth="1"/>
    <col min="20" max="20" width="17.140625" style="264" customWidth="1"/>
    <col min="21" max="21" width="17.85546875" style="286" customWidth="1"/>
    <col min="22" max="22" width="15" style="134" customWidth="1"/>
    <col min="23" max="23" width="14" style="134" customWidth="1"/>
    <col min="24" max="24" width="9.140625" style="134" customWidth="1"/>
    <col min="25" max="25" width="18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3" style="134" customWidth="1"/>
    <col min="35" max="35" width="9.140625" style="134" customWidth="1"/>
    <col min="36" max="36" width="11.7109375" style="134" customWidth="1"/>
    <col min="37" max="42" width="9.140625" style="134" customWidth="1"/>
  </cols>
  <sheetData>
    <row r="1" spans="1:42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63" t="s">
        <v>17</v>
      </c>
      <c r="T1" s="363"/>
      <c r="U1" s="363"/>
      <c r="AO1"/>
      <c r="AP1"/>
    </row>
    <row r="2" spans="1:42" x14ac:dyDescent="0.25">
      <c r="B2" s="348" t="s">
        <v>331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  <c r="AO2"/>
      <c r="AP2"/>
    </row>
    <row r="3" spans="1:42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  <c r="AO3"/>
      <c r="AP3"/>
    </row>
    <row r="4" spans="1:42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  <c r="AO4"/>
      <c r="AP4"/>
    </row>
    <row r="5" spans="1:42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  <c r="AO5"/>
      <c r="AP5"/>
    </row>
    <row r="6" spans="1:42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  <c r="AO6"/>
      <c r="AP6"/>
    </row>
    <row r="7" spans="1:42" ht="16.5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64" t="s">
        <v>332</v>
      </c>
      <c r="Q7" s="365"/>
      <c r="R7" s="365"/>
      <c r="S7" s="365"/>
      <c r="T7" s="365"/>
      <c r="U7" s="366"/>
      <c r="AO7"/>
      <c r="AP7"/>
    </row>
    <row r="8" spans="1:42" ht="299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259" t="s">
        <v>14</v>
      </c>
      <c r="T8" s="259" t="s">
        <v>15</v>
      </c>
      <c r="U8" s="259" t="s">
        <v>16</v>
      </c>
      <c r="AO8"/>
      <c r="AP8"/>
    </row>
    <row r="9" spans="1:42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>L9+1</f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260">
        <f t="shared" si="0"/>
        <v>18</v>
      </c>
      <c r="T9" s="280">
        <f t="shared" si="0"/>
        <v>19</v>
      </c>
      <c r="U9" s="260">
        <f t="shared" si="0"/>
        <v>20</v>
      </c>
      <c r="AO9"/>
      <c r="AP9"/>
    </row>
    <row r="10" spans="1:42" ht="31.5" x14ac:dyDescent="0.25">
      <c r="A10" s="257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47</v>
      </c>
      <c r="I10" s="210">
        <v>30</v>
      </c>
      <c r="J10" s="210">
        <v>34</v>
      </c>
      <c r="K10" s="209">
        <v>34</v>
      </c>
      <c r="L10" s="210">
        <v>33</v>
      </c>
      <c r="M10" s="273">
        <f>14941.14+3757.24</f>
        <v>18698.379999999997</v>
      </c>
      <c r="N10" s="273">
        <v>14941.14</v>
      </c>
      <c r="O10" s="292">
        <f xml:space="preserve"> (M10-N10)</f>
        <v>3757.239999999998</v>
      </c>
      <c r="P10" s="213">
        <v>8</v>
      </c>
      <c r="Q10" s="214">
        <v>8</v>
      </c>
      <c r="R10" s="215">
        <v>8</v>
      </c>
      <c r="S10" s="288">
        <f>4246.75+895.7+2557.8</f>
        <v>7700.25</v>
      </c>
      <c r="T10" s="288">
        <f>4246.75+895.7+2557.8</f>
        <v>7700.25</v>
      </c>
      <c r="U10" s="288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  <c r="AO10"/>
      <c r="AP10"/>
    </row>
    <row r="11" spans="1:42" ht="31.5" x14ac:dyDescent="0.25">
      <c r="A11" s="257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20</v>
      </c>
      <c r="I11" s="210">
        <v>13</v>
      </c>
      <c r="J11" s="210">
        <v>17</v>
      </c>
      <c r="K11" s="209">
        <v>17</v>
      </c>
      <c r="L11" s="210">
        <v>15</v>
      </c>
      <c r="M11" s="273">
        <f>5772.86+960.63</f>
        <v>6733.49</v>
      </c>
      <c r="N11" s="273">
        <v>5772.86</v>
      </c>
      <c r="O11" s="292">
        <f t="shared" ref="O11:O74" si="1" xml:space="preserve"> (M11-N11)</f>
        <v>960.63000000000011</v>
      </c>
      <c r="P11" s="213">
        <v>2</v>
      </c>
      <c r="Q11" s="214">
        <v>2</v>
      </c>
      <c r="R11" s="215">
        <v>2</v>
      </c>
      <c r="S11" s="288">
        <f>234.26+1035.3</f>
        <v>1269.56</v>
      </c>
      <c r="T11" s="288">
        <f>234.26+1035.3</f>
        <v>1269.56</v>
      </c>
      <c r="U11" s="288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  <c r="AO11"/>
      <c r="AP11"/>
    </row>
    <row r="12" spans="1:42" x14ac:dyDescent="0.25">
      <c r="A12" s="257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210"/>
      <c r="J12" s="210"/>
      <c r="K12" s="209"/>
      <c r="L12" s="210"/>
      <c r="M12" s="273"/>
      <c r="N12" s="273"/>
      <c r="O12" s="292">
        <f t="shared" si="1"/>
        <v>0</v>
      </c>
      <c r="P12" s="213">
        <v>3</v>
      </c>
      <c r="Q12" s="214">
        <v>3</v>
      </c>
      <c r="R12" s="215">
        <v>3</v>
      </c>
      <c r="S12" s="288">
        <v>8035.44</v>
      </c>
      <c r="T12" s="288">
        <v>8035.44</v>
      </c>
      <c r="U12" s="288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  <c r="AO12"/>
      <c r="AP12"/>
    </row>
    <row r="13" spans="1:42" ht="31.5" x14ac:dyDescent="0.25">
      <c r="A13" s="257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44</v>
      </c>
      <c r="I13" s="210">
        <v>27</v>
      </c>
      <c r="J13" s="210">
        <v>38</v>
      </c>
      <c r="K13" s="209">
        <v>37</v>
      </c>
      <c r="L13" s="210">
        <v>37</v>
      </c>
      <c r="M13" s="273">
        <v>20604.96</v>
      </c>
      <c r="N13" s="273">
        <f>272.84+2699.54+4096.17+939.54+5290.74-937.1</f>
        <v>12361.73</v>
      </c>
      <c r="O13" s="292">
        <f t="shared" si="1"/>
        <v>8243.23</v>
      </c>
      <c r="P13" s="213">
        <v>8</v>
      </c>
      <c r="Q13" s="214">
        <v>8</v>
      </c>
      <c r="R13" s="215">
        <v>8</v>
      </c>
      <c r="S13" s="288">
        <f>7385.53+1228.66+7042.2+301.46+2403.86</f>
        <v>18361.71</v>
      </c>
      <c r="T13" s="288">
        <f>7385.53+1228.66+7042.2+301.46</f>
        <v>15957.849999999999</v>
      </c>
      <c r="U13" s="288">
        <f t="shared" si="2"/>
        <v>2403.8600000000006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  <c r="AO13"/>
      <c r="AP13"/>
    </row>
    <row r="14" spans="1:42" ht="31.5" x14ac:dyDescent="0.25">
      <c r="A14" s="257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40</v>
      </c>
      <c r="I14" s="210">
        <v>25</v>
      </c>
      <c r="J14" s="210">
        <v>33</v>
      </c>
      <c r="K14" s="209">
        <v>33</v>
      </c>
      <c r="L14" s="210">
        <v>31</v>
      </c>
      <c r="M14" s="273">
        <f>4932.74+3257.04+137+2487.39+344.5+725+7097.92+895.7+6261.98+0.8+1911.61</f>
        <v>28051.679999999997</v>
      </c>
      <c r="N14" s="273">
        <f>4932.74+3257.04+137+2487.39+344.5+725+14255.6+0.8</f>
        <v>26140.069999999996</v>
      </c>
      <c r="O14" s="292">
        <f t="shared" si="1"/>
        <v>1911.6100000000006</v>
      </c>
      <c r="P14" s="213">
        <v>7</v>
      </c>
      <c r="Q14" s="214">
        <v>7</v>
      </c>
      <c r="R14" s="215">
        <v>6</v>
      </c>
      <c r="S14" s="288">
        <f>2847.1+1515.8</f>
        <v>4362.8999999999996</v>
      </c>
      <c r="T14" s="288">
        <f>2847.1+1515.8</f>
        <v>4362.8999999999996</v>
      </c>
      <c r="U14" s="288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  <c r="AO14"/>
      <c r="AP14"/>
    </row>
    <row r="15" spans="1:42" ht="31.5" x14ac:dyDescent="0.25">
      <c r="A15" s="257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40</v>
      </c>
      <c r="I15" s="210">
        <v>27</v>
      </c>
      <c r="J15" s="210">
        <v>34</v>
      </c>
      <c r="K15" s="209">
        <v>34</v>
      </c>
      <c r="L15" s="210">
        <v>32</v>
      </c>
      <c r="M15" s="273">
        <v>25965.08</v>
      </c>
      <c r="N15" s="273">
        <f>16942.87+1278.76+580+108.75+1413.75+2629.64</f>
        <v>22953.769999999997</v>
      </c>
      <c r="O15" s="292">
        <f t="shared" si="1"/>
        <v>3011.3100000000049</v>
      </c>
      <c r="P15" s="213">
        <v>16</v>
      </c>
      <c r="Q15" s="214">
        <v>16</v>
      </c>
      <c r="R15" s="215">
        <v>16</v>
      </c>
      <c r="S15" s="288">
        <f>13813.9+1491.1+372.78+454.21</f>
        <v>16131.99</v>
      </c>
      <c r="T15" s="288">
        <f>13813.9+1491.1+372.78</f>
        <v>15677.78</v>
      </c>
      <c r="U15" s="288">
        <f t="shared" si="2"/>
        <v>454.20999999999913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  <c r="AO15"/>
      <c r="AP15"/>
    </row>
    <row r="16" spans="1:42" ht="31.5" x14ac:dyDescent="0.25">
      <c r="A16" s="257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210"/>
      <c r="J16" s="210"/>
      <c r="K16" s="209"/>
      <c r="L16" s="210"/>
      <c r="M16" s="273"/>
      <c r="N16" s="273"/>
      <c r="O16" s="292">
        <f t="shared" si="1"/>
        <v>0</v>
      </c>
      <c r="P16" s="213"/>
      <c r="Q16" s="214"/>
      <c r="R16" s="215"/>
      <c r="S16" s="288"/>
      <c r="T16" s="288"/>
      <c r="U16" s="288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  <c r="AO16"/>
      <c r="AP16"/>
    </row>
    <row r="17" spans="1:42" ht="20.100000000000001" customHeight="1" x14ac:dyDescent="0.25">
      <c r="A17" s="257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56</v>
      </c>
      <c r="I17" s="210">
        <v>30</v>
      </c>
      <c r="J17" s="210">
        <v>38</v>
      </c>
      <c r="K17" s="209">
        <v>37</v>
      </c>
      <c r="L17" s="210">
        <v>36</v>
      </c>
      <c r="M17" s="273">
        <f>7235.14+4416.12+1559.66+658.56+1087.5+652.5+1377.5+1615.75+2829.41+7208.27+5247.45+1087.5</f>
        <v>34975.360000000001</v>
      </c>
      <c r="N17" s="273">
        <f>7235.14+4416.12+1559.66+658.56+1087.5+6475.16</f>
        <v>21432.14</v>
      </c>
      <c r="O17" s="292">
        <f t="shared" si="1"/>
        <v>13543.220000000001</v>
      </c>
      <c r="P17" s="213">
        <v>1</v>
      </c>
      <c r="Q17" s="214">
        <v>1</v>
      </c>
      <c r="R17" s="215">
        <v>1</v>
      </c>
      <c r="S17" s="288">
        <v>1033.5</v>
      </c>
      <c r="T17" s="288">
        <v>1033.5</v>
      </c>
      <c r="U17" s="288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257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39</v>
      </c>
      <c r="I18" s="210">
        <v>28</v>
      </c>
      <c r="J18" s="210">
        <v>37</v>
      </c>
      <c r="K18" s="210">
        <v>37</v>
      </c>
      <c r="L18" s="210">
        <v>34</v>
      </c>
      <c r="M18" s="273">
        <f>2118.92+12936.58+4403.89+2411.49+2972.12+403.47+2654.68+806.94+1188.45+2382.18</f>
        <v>32278.719999999998</v>
      </c>
      <c r="N18" s="273">
        <f>2118.92+12936.58+4403.89+2411.49+2972.12+403.4+4651.07</f>
        <v>29897.469999999998</v>
      </c>
      <c r="O18" s="292">
        <f t="shared" si="1"/>
        <v>2381.25</v>
      </c>
      <c r="P18" s="213">
        <v>7</v>
      </c>
      <c r="Q18" s="215">
        <v>7</v>
      </c>
      <c r="R18" s="215">
        <v>6</v>
      </c>
      <c r="S18" s="288">
        <f>14748.55+934.31</f>
        <v>15682.859999999999</v>
      </c>
      <c r="T18" s="288">
        <f>14748.55+934.31</f>
        <v>15682.859999999999</v>
      </c>
      <c r="U18" s="288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257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43</v>
      </c>
      <c r="I19" s="210">
        <v>24</v>
      </c>
      <c r="J19" s="210">
        <v>41</v>
      </c>
      <c r="K19" s="209">
        <v>41</v>
      </c>
      <c r="L19" s="210">
        <v>37</v>
      </c>
      <c r="M19" s="273">
        <f>28952.05+4575.15</f>
        <v>33527.199999999997</v>
      </c>
      <c r="N19" s="273">
        <f>5345.36+3385.2+4242.79+7468.83+387.77+8122.09</f>
        <v>28952.04</v>
      </c>
      <c r="O19" s="292">
        <f t="shared" si="1"/>
        <v>4575.1599999999962</v>
      </c>
      <c r="P19" s="213">
        <v>16</v>
      </c>
      <c r="Q19" s="214">
        <v>16</v>
      </c>
      <c r="R19" s="215">
        <v>16</v>
      </c>
      <c r="S19" s="288">
        <f>33206.03+1234.29</f>
        <v>34440.32</v>
      </c>
      <c r="T19" s="288">
        <f>12589.36+4299.58+3922.41+8458.25+3936.43</f>
        <v>33206.03</v>
      </c>
      <c r="U19" s="288">
        <f t="shared" si="2"/>
        <v>1234.2900000000009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257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55</v>
      </c>
      <c r="I20" s="210">
        <v>31</v>
      </c>
      <c r="J20" s="210">
        <v>45</v>
      </c>
      <c r="K20" s="210">
        <v>45</v>
      </c>
      <c r="L20" s="210">
        <v>41</v>
      </c>
      <c r="M20" s="273">
        <f>5728.14+3727.02+315.94+2507.59+652.5+2191.47+1855.28+358.88+2503.15+5297.67+1579.05+5739.83+1713.14+145</f>
        <v>34314.659999999996</v>
      </c>
      <c r="N20" s="273">
        <f>5728.14+3727.02+315.94+2507.59+652.5+2191.47+1855.28+2371.7+15119.7-299.68</f>
        <v>34169.659999999996</v>
      </c>
      <c r="O20" s="292">
        <f t="shared" si="1"/>
        <v>145</v>
      </c>
      <c r="P20" s="213">
        <v>28</v>
      </c>
      <c r="Q20" s="215">
        <v>28</v>
      </c>
      <c r="R20" s="215">
        <v>28</v>
      </c>
      <c r="S20" s="288">
        <f>36404.57+1488.24+1902.09+2012.82</f>
        <v>41807.719999999994</v>
      </c>
      <c r="T20" s="288">
        <f>36404.57+1488.24+1902.09+299.68</f>
        <v>40094.579999999994</v>
      </c>
      <c r="U20" s="288">
        <f t="shared" si="2"/>
        <v>1713.1399999999994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257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28</v>
      </c>
      <c r="I21" s="210">
        <v>18</v>
      </c>
      <c r="J21" s="210">
        <v>23</v>
      </c>
      <c r="K21" s="209">
        <v>22</v>
      </c>
      <c r="L21" s="210">
        <v>22</v>
      </c>
      <c r="M21" s="273">
        <f>17955.67+413.4+5.9+2225.9</f>
        <v>20600.870000000003</v>
      </c>
      <c r="N21" s="273">
        <f>3586.84+1791.4+1337.88+413.4+1061.35+942.5+2425.9+6396.4</f>
        <v>17955.669999999998</v>
      </c>
      <c r="O21" s="292">
        <f t="shared" si="1"/>
        <v>2645.2000000000044</v>
      </c>
      <c r="P21" s="213">
        <v>10</v>
      </c>
      <c r="Q21" s="214">
        <v>10</v>
      </c>
      <c r="R21" s="215">
        <v>10</v>
      </c>
      <c r="S21" s="288">
        <f>10636.43+413.4</f>
        <v>11049.83</v>
      </c>
      <c r="T21" s="288">
        <f>7288.02+447.62+2487.39+413.4</f>
        <v>10636.43</v>
      </c>
      <c r="U21" s="288">
        <f t="shared" si="2"/>
        <v>413.39999999999964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257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133</v>
      </c>
      <c r="I22" s="210">
        <v>97</v>
      </c>
      <c r="J22" s="210">
        <v>117</v>
      </c>
      <c r="K22" s="210">
        <v>117</v>
      </c>
      <c r="L22" s="210">
        <v>117</v>
      </c>
      <c r="M22" s="273">
        <f>19787.02+2513.73+2255.05+12081.39+6786.96+4545.76+7112.29+9234.79+3303.99+8291.91</f>
        <v>75912.890000000014</v>
      </c>
      <c r="N22" s="273">
        <f>19787.02+2513.73+2255.05+12081.39+6786.96+4545.76+19651.57</f>
        <v>67621.48000000001</v>
      </c>
      <c r="O22" s="292">
        <f t="shared" si="1"/>
        <v>8291.4100000000035</v>
      </c>
      <c r="P22" s="213">
        <v>26</v>
      </c>
      <c r="Q22" s="215">
        <v>26</v>
      </c>
      <c r="R22" s="215">
        <v>25</v>
      </c>
      <c r="S22" s="288">
        <f>24103.23+3334.5+1378+3155.14+1090.31</f>
        <v>33061.18</v>
      </c>
      <c r="T22" s="288">
        <f>24103.23+3334.5+1378+3155.64</f>
        <v>31971.37</v>
      </c>
      <c r="U22" s="288">
        <f t="shared" si="2"/>
        <v>1089.8100000000013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257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22</v>
      </c>
      <c r="I23" s="210">
        <v>16</v>
      </c>
      <c r="J23" s="210">
        <v>26</v>
      </c>
      <c r="K23" s="209">
        <v>26</v>
      </c>
      <c r="L23" s="210">
        <v>24</v>
      </c>
      <c r="M23" s="273">
        <f>5739.04+1828.05+1440.72+631.62+564.05+641.19+793.15+2475.51+1311.53+5430.51+1513.04-3246.27+942.5</f>
        <v>20064.640000000003</v>
      </c>
      <c r="N23" s="273">
        <f>5739.04+1828.05+1440.72+631.62+564.05+641.19+793.15+3787.04-3246.27</f>
        <v>12178.59</v>
      </c>
      <c r="O23" s="292">
        <f t="shared" si="1"/>
        <v>7886.0500000000029</v>
      </c>
      <c r="P23" s="213">
        <v>12</v>
      </c>
      <c r="Q23" s="214">
        <v>12</v>
      </c>
      <c r="R23" s="215">
        <v>12</v>
      </c>
      <c r="S23" s="288">
        <f>26607.02+6387.23</f>
        <v>32994.25</v>
      </c>
      <c r="T23" s="288">
        <f>26607.02+6387.23</f>
        <v>32994.25</v>
      </c>
      <c r="U23" s="288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257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24</v>
      </c>
      <c r="I24" s="210">
        <v>19</v>
      </c>
      <c r="J24" s="210">
        <v>22</v>
      </c>
      <c r="K24" s="209">
        <v>22</v>
      </c>
      <c r="L24" s="210">
        <v>22</v>
      </c>
      <c r="M24" s="273">
        <f>1515.11+3525.12+1811.05+3675.45</f>
        <v>10526.73</v>
      </c>
      <c r="N24" s="273">
        <f>1515.11+3525.12+1811.05+3675.45</f>
        <v>10526.73</v>
      </c>
      <c r="O24" s="292">
        <f t="shared" si="1"/>
        <v>0</v>
      </c>
      <c r="P24" s="213">
        <v>7</v>
      </c>
      <c r="Q24" s="214">
        <v>7</v>
      </c>
      <c r="R24" s="215">
        <v>7</v>
      </c>
      <c r="S24" s="288">
        <v>6720.87</v>
      </c>
      <c r="T24" s="288">
        <v>6720.87</v>
      </c>
      <c r="U24" s="288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257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47</v>
      </c>
      <c r="I25" s="210">
        <v>16</v>
      </c>
      <c r="J25" s="210">
        <v>38</v>
      </c>
      <c r="K25" s="210">
        <v>38</v>
      </c>
      <c r="L25" s="210">
        <v>37</v>
      </c>
      <c r="M25" s="273">
        <f>9005.69+15068.32+3714.72+1200.78+3057.6+836.9+31</f>
        <v>32915.01</v>
      </c>
      <c r="N25" s="273">
        <f>9005.69+15068.32+3714.72+1200.78+31</f>
        <v>29020.510000000002</v>
      </c>
      <c r="O25" s="292">
        <f t="shared" si="1"/>
        <v>3894.5</v>
      </c>
      <c r="P25" s="213">
        <v>22</v>
      </c>
      <c r="Q25" s="215">
        <v>22</v>
      </c>
      <c r="R25" s="215">
        <v>22</v>
      </c>
      <c r="S25" s="288">
        <f>24213.05+6197.08+341.06</f>
        <v>30751.19</v>
      </c>
      <c r="T25" s="288">
        <f>24213.05+6197.08+341.06</f>
        <v>30751.19</v>
      </c>
      <c r="U25" s="288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257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24</v>
      </c>
      <c r="I26" s="210">
        <v>11</v>
      </c>
      <c r="J26" s="210">
        <v>18</v>
      </c>
      <c r="K26" s="209">
        <v>18</v>
      </c>
      <c r="L26" s="210">
        <v>18</v>
      </c>
      <c r="M26" s="273">
        <f>3777.1+6399.51+6251.64+358.88</f>
        <v>16787.13</v>
      </c>
      <c r="N26" s="273">
        <f>3777.1+6399.51+6251.64+358.88</f>
        <v>16787.13</v>
      </c>
      <c r="O26" s="292">
        <f t="shared" si="1"/>
        <v>0</v>
      </c>
      <c r="P26" s="213">
        <v>12</v>
      </c>
      <c r="Q26" s="214">
        <v>12</v>
      </c>
      <c r="R26" s="215">
        <v>12</v>
      </c>
      <c r="S26" s="288">
        <f>3386.7+2140.45</f>
        <v>5527.15</v>
      </c>
      <c r="T26" s="288">
        <f>3386.7+2140.45</f>
        <v>5527.15</v>
      </c>
      <c r="U26" s="288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257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38</v>
      </c>
      <c r="I27" s="210">
        <v>23</v>
      </c>
      <c r="J27" s="210">
        <v>40</v>
      </c>
      <c r="K27" s="209">
        <v>40</v>
      </c>
      <c r="L27" s="210">
        <v>40</v>
      </c>
      <c r="M27" s="273">
        <f>24273.31+574.2+300.99</f>
        <v>25148.500000000004</v>
      </c>
      <c r="N27" s="273">
        <f>6801.73+4254.18+3948.81+757.9+1004.85+1005.5+5240.86+1259.48+300.99</f>
        <v>24574.3</v>
      </c>
      <c r="O27" s="292">
        <f t="shared" si="1"/>
        <v>574.20000000000437</v>
      </c>
      <c r="P27" s="213">
        <v>14</v>
      </c>
      <c r="Q27" s="214">
        <v>14</v>
      </c>
      <c r="R27" s="215">
        <v>14</v>
      </c>
      <c r="S27" s="288">
        <v>13025.83</v>
      </c>
      <c r="T27" s="288">
        <f>12827.9+197.93</f>
        <v>13025.83</v>
      </c>
      <c r="U27" s="288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210"/>
      <c r="J28" s="210"/>
      <c r="K28" s="209"/>
      <c r="L28" s="210"/>
      <c r="M28" s="273"/>
      <c r="N28" s="273"/>
      <c r="O28" s="292">
        <f t="shared" si="1"/>
        <v>0</v>
      </c>
      <c r="P28" s="213"/>
      <c r="Q28" s="214"/>
      <c r="R28" s="215"/>
      <c r="S28" s="288"/>
      <c r="T28" s="288"/>
      <c r="U28" s="288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257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37</v>
      </c>
      <c r="I29" s="210">
        <v>26</v>
      </c>
      <c r="J29" s="210">
        <v>41</v>
      </c>
      <c r="K29" s="209">
        <v>40</v>
      </c>
      <c r="L29" s="210">
        <v>39</v>
      </c>
      <c r="M29" s="273">
        <f>7765.28+1107.91+3282.4+1320.23+1580.98+622.05+447.4+992.16+691.25+3323.84+3765.77+639.43+3380.83</f>
        <v>28919.53</v>
      </c>
      <c r="N29" s="273">
        <f>7765.28+1107.91+3282.4+1320.23+1580.98+622.05+447.4+992.16+6148.74+1632.12+639.43</f>
        <v>25538.7</v>
      </c>
      <c r="O29" s="292">
        <f t="shared" si="1"/>
        <v>3380.8299999999981</v>
      </c>
      <c r="P29" s="213">
        <v>14</v>
      </c>
      <c r="Q29" s="214">
        <v>14</v>
      </c>
      <c r="R29" s="215">
        <v>14</v>
      </c>
      <c r="S29" s="288">
        <f>15185.09+570.43</f>
        <v>15755.52</v>
      </c>
      <c r="T29" s="288">
        <f>15185.09+570.43</f>
        <v>15755.52</v>
      </c>
      <c r="U29" s="288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257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52</v>
      </c>
      <c r="I30" s="210">
        <v>39</v>
      </c>
      <c r="J30" s="210">
        <v>56</v>
      </c>
      <c r="K30" s="210">
        <v>56</v>
      </c>
      <c r="L30" s="210">
        <v>51</v>
      </c>
      <c r="M30" s="273">
        <v>38400.01</v>
      </c>
      <c r="N30" s="273">
        <f>5246.17+4965.96+1939.12+3762.43+2342.38+4011.61+2238.08+13894.26</f>
        <v>38400.01</v>
      </c>
      <c r="O30" s="292">
        <f t="shared" si="1"/>
        <v>0</v>
      </c>
      <c r="P30" s="213">
        <v>23</v>
      </c>
      <c r="Q30" s="215">
        <v>23</v>
      </c>
      <c r="R30" s="215">
        <v>23</v>
      </c>
      <c r="S30" s="288">
        <v>49912.160000000003</v>
      </c>
      <c r="T30" s="288">
        <f>39414.6+4786.67+1562.33+638.43+2216.93+1293.2</f>
        <v>49912.159999999996</v>
      </c>
      <c r="U30" s="288">
        <f t="shared" si="2"/>
        <v>7.2759576141834259E-12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257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210">
        <v>1</v>
      </c>
      <c r="J31" s="210">
        <v>2</v>
      </c>
      <c r="K31" s="209">
        <v>2</v>
      </c>
      <c r="L31" s="210">
        <v>2</v>
      </c>
      <c r="M31" s="273">
        <v>860.25</v>
      </c>
      <c r="N31" s="273">
        <v>860.25</v>
      </c>
      <c r="O31" s="292">
        <f t="shared" si="1"/>
        <v>0</v>
      </c>
      <c r="P31" s="213">
        <v>2</v>
      </c>
      <c r="Q31" s="214">
        <v>2</v>
      </c>
      <c r="R31" s="215">
        <v>2</v>
      </c>
      <c r="S31" s="288">
        <f>442.37+1014.7</f>
        <v>1457.0700000000002</v>
      </c>
      <c r="T31" s="288">
        <f>442.37+1014.7</f>
        <v>1457.0700000000002</v>
      </c>
      <c r="U31" s="288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>
        <v>3</v>
      </c>
      <c r="I32" s="210"/>
      <c r="J32" s="210"/>
      <c r="K32" s="209"/>
      <c r="L32" s="210"/>
      <c r="M32" s="273"/>
      <c r="N32" s="273"/>
      <c r="O32" s="292">
        <f t="shared" si="1"/>
        <v>0</v>
      </c>
      <c r="P32" s="213"/>
      <c r="Q32" s="214"/>
      <c r="R32" s="215"/>
      <c r="S32" s="288"/>
      <c r="T32" s="288"/>
      <c r="U32" s="288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2" ht="31.5" x14ac:dyDescent="0.25">
      <c r="A33" s="257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15</v>
      </c>
      <c r="I33" s="210">
        <v>10</v>
      </c>
      <c r="J33" s="210">
        <v>14</v>
      </c>
      <c r="K33" s="209">
        <v>14</v>
      </c>
      <c r="L33" s="210">
        <v>14</v>
      </c>
      <c r="M33" s="273">
        <f>4065+2226.4+2915.4+290+826.9+2392.5</f>
        <v>12716.199999999999</v>
      </c>
      <c r="N33" s="273">
        <f>4065+2226.4+2915.4+290+826.9</f>
        <v>10323.699999999999</v>
      </c>
      <c r="O33" s="292">
        <f t="shared" si="1"/>
        <v>2392.5</v>
      </c>
      <c r="P33" s="213"/>
      <c r="Q33" s="214"/>
      <c r="R33" s="215"/>
      <c r="S33" s="288"/>
      <c r="T33" s="288"/>
      <c r="U33" s="288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  <c r="AO33"/>
      <c r="AP33"/>
    </row>
    <row r="34" spans="1:42" ht="31.5" x14ac:dyDescent="0.25">
      <c r="A34" s="257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210">
        <v>14</v>
      </c>
      <c r="J34" s="210">
        <v>22</v>
      </c>
      <c r="K34" s="209">
        <v>22</v>
      </c>
      <c r="L34" s="210">
        <v>22</v>
      </c>
      <c r="M34" s="273">
        <f>8742.16+2424.59+5871.23</f>
        <v>17037.98</v>
      </c>
      <c r="N34" s="273">
        <f>8742.16+2424.59+5871.23</f>
        <v>17037.98</v>
      </c>
      <c r="O34" s="292">
        <f t="shared" si="1"/>
        <v>0</v>
      </c>
      <c r="P34" s="213">
        <v>2</v>
      </c>
      <c r="Q34" s="214">
        <v>2</v>
      </c>
      <c r="R34" s="215">
        <v>2</v>
      </c>
      <c r="S34" s="288">
        <v>872.59</v>
      </c>
      <c r="T34" s="288">
        <v>872.59</v>
      </c>
      <c r="U34" s="288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  <c r="AO34"/>
      <c r="AP34"/>
    </row>
    <row r="35" spans="1:42" ht="31.5" x14ac:dyDescent="0.25">
      <c r="A35" s="257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17</v>
      </c>
      <c r="I35" s="210">
        <v>6</v>
      </c>
      <c r="J35" s="210">
        <v>13</v>
      </c>
      <c r="K35" s="209">
        <v>13</v>
      </c>
      <c r="L35" s="210">
        <v>13</v>
      </c>
      <c r="M35" s="273">
        <f>8755.24+1745.06+1162.89</f>
        <v>11663.189999999999</v>
      </c>
      <c r="N35" s="273">
        <f>8755.24+1745.06</f>
        <v>10500.3</v>
      </c>
      <c r="O35" s="292">
        <f t="shared" si="1"/>
        <v>1162.8899999999994</v>
      </c>
      <c r="P35" s="213">
        <v>10</v>
      </c>
      <c r="Q35" s="214">
        <v>10</v>
      </c>
      <c r="R35" s="215">
        <v>10</v>
      </c>
      <c r="S35" s="288">
        <f>9249.99+1156.49</f>
        <v>10406.48</v>
      </c>
      <c r="T35" s="288">
        <f>9249.99+1156.49</f>
        <v>10406.48</v>
      </c>
      <c r="U35" s="288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  <c r="AO35"/>
      <c r="AP35"/>
    </row>
    <row r="36" spans="1:42" ht="31.5" x14ac:dyDescent="0.25">
      <c r="A36" s="257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26</v>
      </c>
      <c r="I36" s="210">
        <v>13</v>
      </c>
      <c r="J36" s="210">
        <v>16</v>
      </c>
      <c r="K36" s="209">
        <v>16</v>
      </c>
      <c r="L36" s="210">
        <v>16</v>
      </c>
      <c r="M36" s="273">
        <f>2360+2665.25+2800.06+3488.89+1050.79+1436.08</f>
        <v>13801.069999999998</v>
      </c>
      <c r="N36" s="273">
        <f>2360+2665.25+2800.06+3488.89+1050.79+1436.08</f>
        <v>13801.069999999998</v>
      </c>
      <c r="O36" s="292">
        <f t="shared" si="1"/>
        <v>0</v>
      </c>
      <c r="P36" s="213">
        <v>7</v>
      </c>
      <c r="Q36" s="214">
        <v>7</v>
      </c>
      <c r="R36" s="215">
        <v>6</v>
      </c>
      <c r="S36" s="288">
        <f>3433.93+5939.33+1723.52</f>
        <v>11096.78</v>
      </c>
      <c r="T36" s="288">
        <v>11096.78</v>
      </c>
      <c r="U36" s="288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  <c r="AO36"/>
      <c r="AP36"/>
    </row>
    <row r="37" spans="1:42" ht="31.5" x14ac:dyDescent="0.25">
      <c r="A37" s="257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24</v>
      </c>
      <c r="I37" s="210">
        <v>13</v>
      </c>
      <c r="J37" s="210">
        <v>21</v>
      </c>
      <c r="K37" s="209">
        <v>21</v>
      </c>
      <c r="L37" s="210">
        <v>21</v>
      </c>
      <c r="M37" s="273">
        <f>4126.56+990.2+862.75+145+358.88+1424.06+2121.03+508.5+1472.48</f>
        <v>12009.460000000001</v>
      </c>
      <c r="N37" s="273">
        <f>4126.56+990.2+862.75+145+358.88+1424.06+2121.03+508.5</f>
        <v>10536.980000000001</v>
      </c>
      <c r="O37" s="292">
        <f t="shared" si="1"/>
        <v>1472.4799999999996</v>
      </c>
      <c r="P37" s="213">
        <v>2</v>
      </c>
      <c r="Q37" s="214">
        <v>2</v>
      </c>
      <c r="R37" s="215">
        <v>2</v>
      </c>
      <c r="S37" s="288">
        <f>552.96+1556.69</f>
        <v>2109.65</v>
      </c>
      <c r="T37" s="288">
        <f>552.96+1556.69</f>
        <v>2109.65</v>
      </c>
      <c r="U37" s="288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  <c r="AO37"/>
      <c r="AP37"/>
    </row>
    <row r="38" spans="1:42" ht="31.5" x14ac:dyDescent="0.25">
      <c r="A38" s="257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100</v>
      </c>
      <c r="I38" s="210">
        <v>55</v>
      </c>
      <c r="J38" s="210">
        <v>78</v>
      </c>
      <c r="K38" s="209">
        <v>78</v>
      </c>
      <c r="L38" s="210">
        <v>78</v>
      </c>
      <c r="M38" s="273">
        <f>78646.37+5508.02-250.2+5288.53</f>
        <v>89192.72</v>
      </c>
      <c r="N38" s="273">
        <f>18043.85+1739.74+12219.36+4084.73+2867.69+2388.56+1377.5+2533.95+33390.93-250.14</f>
        <v>78396.17</v>
      </c>
      <c r="O38" s="292">
        <f t="shared" si="1"/>
        <v>10796.550000000003</v>
      </c>
      <c r="P38" s="213">
        <v>21</v>
      </c>
      <c r="Q38" s="214">
        <v>21</v>
      </c>
      <c r="R38" s="215">
        <v>21</v>
      </c>
      <c r="S38" s="288">
        <f>23775.77+2740.5</f>
        <v>26516.27</v>
      </c>
      <c r="T38" s="288">
        <f>22326.77+417.74+1031.26</f>
        <v>23775.77</v>
      </c>
      <c r="U38" s="288">
        <f t="shared" si="2"/>
        <v>2740.5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  <c r="AO38"/>
      <c r="AP38"/>
    </row>
    <row r="39" spans="1:42" ht="31.5" x14ac:dyDescent="0.25">
      <c r="A39" s="257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29</v>
      </c>
      <c r="I39" s="210">
        <v>17</v>
      </c>
      <c r="J39" s="210">
        <v>23</v>
      </c>
      <c r="K39" s="209">
        <v>23</v>
      </c>
      <c r="L39" s="210">
        <v>22</v>
      </c>
      <c r="M39" s="273">
        <f>16746.85+582.9</f>
        <v>17329.75</v>
      </c>
      <c r="N39" s="273">
        <v>16746.849999999999</v>
      </c>
      <c r="O39" s="292">
        <f t="shared" si="1"/>
        <v>582.90000000000146</v>
      </c>
      <c r="P39" s="213">
        <v>4</v>
      </c>
      <c r="Q39" s="214">
        <v>4</v>
      </c>
      <c r="R39" s="215">
        <v>4</v>
      </c>
      <c r="S39" s="288">
        <v>2740.5</v>
      </c>
      <c r="T39" s="288"/>
      <c r="U39" s="288">
        <f t="shared" si="2"/>
        <v>2740.5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  <c r="AO39"/>
      <c r="AP39"/>
    </row>
    <row r="40" spans="1:42" ht="31.5" x14ac:dyDescent="0.25">
      <c r="A40" s="257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13</v>
      </c>
      <c r="I40" s="210">
        <v>6</v>
      </c>
      <c r="J40" s="210">
        <v>9</v>
      </c>
      <c r="K40" s="209">
        <v>7</v>
      </c>
      <c r="L40" s="210">
        <v>7</v>
      </c>
      <c r="M40" s="273">
        <f>5430.01+288.1+942.05</f>
        <v>6660.1600000000008</v>
      </c>
      <c r="N40" s="273">
        <f>5430.01+288.1</f>
        <v>5718.1100000000006</v>
      </c>
      <c r="O40" s="292">
        <f t="shared" si="1"/>
        <v>942.05000000000018</v>
      </c>
      <c r="P40" s="213">
        <v>5</v>
      </c>
      <c r="Q40" s="214">
        <v>5</v>
      </c>
      <c r="R40" s="215">
        <v>5</v>
      </c>
      <c r="S40" s="288">
        <f>3996.7+1341.47+7404.94+502.73</f>
        <v>13245.84</v>
      </c>
      <c r="T40" s="288">
        <f>3996.7+1341.47+7404.94</f>
        <v>12743.11</v>
      </c>
      <c r="U40" s="288">
        <f t="shared" si="2"/>
        <v>502.72999999999956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  <c r="AO40"/>
      <c r="AP40"/>
    </row>
    <row r="41" spans="1:42" ht="31.5" x14ac:dyDescent="0.25">
      <c r="A41" s="257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34</v>
      </c>
      <c r="I41" s="210">
        <v>26</v>
      </c>
      <c r="J41" s="210">
        <v>28</v>
      </c>
      <c r="K41" s="209">
        <v>26</v>
      </c>
      <c r="L41" s="210">
        <v>26</v>
      </c>
      <c r="M41" s="273">
        <f>4892.78+1033.5+545.69+1551.08+3520.24+1598.15+4243.46</f>
        <v>17384.899999999998</v>
      </c>
      <c r="N41" s="273">
        <f>4892.78+1033.5+545.69+1551.08+3520.24</f>
        <v>11543.289999999999</v>
      </c>
      <c r="O41" s="292">
        <f t="shared" si="1"/>
        <v>5841.6099999999988</v>
      </c>
      <c r="P41" s="213">
        <v>4</v>
      </c>
      <c r="Q41" s="214">
        <v>4</v>
      </c>
      <c r="R41" s="215">
        <v>4</v>
      </c>
      <c r="S41" s="288">
        <f>1842.88+373.68</f>
        <v>2216.56</v>
      </c>
      <c r="T41" s="288">
        <f>1842.88+373.68</f>
        <v>2216.56</v>
      </c>
      <c r="U41" s="288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  <c r="AO41"/>
      <c r="AP41"/>
    </row>
    <row r="42" spans="1:42" ht="31.5" x14ac:dyDescent="0.25">
      <c r="A42" s="257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16</v>
      </c>
      <c r="I42" s="210">
        <v>7</v>
      </c>
      <c r="J42" s="210">
        <v>15</v>
      </c>
      <c r="K42" s="209">
        <v>15</v>
      </c>
      <c r="L42" s="210">
        <v>15</v>
      </c>
      <c r="M42" s="273">
        <f>5095.29+1605.75+430.65+529.04+145+1216.54+435</f>
        <v>9457.27</v>
      </c>
      <c r="N42" s="273">
        <f>5095.29+1605.75+430.65+529.04+1361.54</f>
        <v>9022.27</v>
      </c>
      <c r="O42" s="292">
        <f t="shared" si="1"/>
        <v>435</v>
      </c>
      <c r="P42" s="213">
        <v>5</v>
      </c>
      <c r="Q42" s="214">
        <v>5</v>
      </c>
      <c r="R42" s="215">
        <v>5</v>
      </c>
      <c r="S42" s="288">
        <v>5832.14</v>
      </c>
      <c r="T42" s="288">
        <v>5832.14</v>
      </c>
      <c r="U42" s="288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  <c r="AO42"/>
      <c r="AP42"/>
    </row>
    <row r="43" spans="1:42" ht="31.5" x14ac:dyDescent="0.25">
      <c r="A43" s="257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28</v>
      </c>
      <c r="I43" s="210">
        <v>15</v>
      </c>
      <c r="J43" s="210">
        <v>25</v>
      </c>
      <c r="K43" s="209">
        <v>25</v>
      </c>
      <c r="L43" s="210">
        <v>25</v>
      </c>
      <c r="M43" s="273">
        <f>28407.24+4596.5+580-144+2034.71</f>
        <v>35474.450000000004</v>
      </c>
      <c r="N43" s="273">
        <f>1949.94+11241.95+1670.56+979+622.78+145+551.2+2279.66+8967.15-1280.85</f>
        <v>27126.39</v>
      </c>
      <c r="O43" s="292">
        <f t="shared" si="1"/>
        <v>8348.0600000000049</v>
      </c>
      <c r="P43" s="213">
        <v>7</v>
      </c>
      <c r="Q43" s="214">
        <v>7</v>
      </c>
      <c r="R43" s="215">
        <v>7</v>
      </c>
      <c r="S43" s="288">
        <v>7539.4</v>
      </c>
      <c r="T43" s="288">
        <v>7539.4</v>
      </c>
      <c r="U43" s="288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  <c r="AO43"/>
      <c r="AP43"/>
    </row>
    <row r="44" spans="1:42" ht="31.5" x14ac:dyDescent="0.25">
      <c r="A44" s="257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15</v>
      </c>
      <c r="I44" s="210">
        <v>10</v>
      </c>
      <c r="J44" s="210">
        <v>16</v>
      </c>
      <c r="K44" s="209">
        <v>16</v>
      </c>
      <c r="L44" s="210">
        <v>16</v>
      </c>
      <c r="M44" s="273">
        <f>22500.73-141.1</f>
        <v>22359.63</v>
      </c>
      <c r="N44" s="273">
        <f>9600.95+145+2182.75+7980.88+580+287.1+1724.05-141.1</f>
        <v>22359.63</v>
      </c>
      <c r="O44" s="292">
        <f t="shared" si="1"/>
        <v>0</v>
      </c>
      <c r="P44" s="213">
        <v>11</v>
      </c>
      <c r="Q44" s="214">
        <v>11</v>
      </c>
      <c r="R44" s="215">
        <v>11</v>
      </c>
      <c r="S44" s="288">
        <f>3997.92+850.65+4367.7+2262.73+189.48+1019.96+473.69</f>
        <v>13162.13</v>
      </c>
      <c r="T44" s="288">
        <f>3997.92+850.65+4367.7+2262.73+189.48+1019.96</f>
        <v>12688.439999999999</v>
      </c>
      <c r="U44" s="288">
        <f t="shared" si="2"/>
        <v>473.69000000000051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  <c r="AO44"/>
      <c r="AP44"/>
    </row>
    <row r="45" spans="1:42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210"/>
      <c r="J45" s="210"/>
      <c r="K45" s="209"/>
      <c r="L45" s="210"/>
      <c r="M45" s="273"/>
      <c r="N45" s="273"/>
      <c r="O45" s="292">
        <f t="shared" si="1"/>
        <v>0</v>
      </c>
      <c r="P45" s="213"/>
      <c r="Q45" s="214"/>
      <c r="R45" s="215"/>
      <c r="S45" s="288"/>
      <c r="T45" s="288"/>
      <c r="U45" s="288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  <c r="AO45"/>
      <c r="AP45"/>
    </row>
    <row r="46" spans="1:42" ht="31.5" x14ac:dyDescent="0.25">
      <c r="A46" s="257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22</v>
      </c>
      <c r="I46" s="210">
        <v>16</v>
      </c>
      <c r="J46" s="210">
        <v>19</v>
      </c>
      <c r="K46" s="209">
        <v>19</v>
      </c>
      <c r="L46" s="210">
        <v>19</v>
      </c>
      <c r="M46" s="273">
        <f>7372.32+580</f>
        <v>7952.32</v>
      </c>
      <c r="N46" s="273">
        <f>1290.6+2343.84+935.25+2802.63</f>
        <v>7372.3200000000006</v>
      </c>
      <c r="O46" s="292">
        <f t="shared" si="1"/>
        <v>579.99999999999909</v>
      </c>
      <c r="P46" s="213">
        <v>2</v>
      </c>
      <c r="Q46" s="214">
        <v>2</v>
      </c>
      <c r="R46" s="215">
        <v>2</v>
      </c>
      <c r="S46" s="288">
        <v>12091.23</v>
      </c>
      <c r="T46" s="288">
        <v>12091.23</v>
      </c>
      <c r="U46" s="288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  <c r="AO46"/>
      <c r="AP46"/>
    </row>
    <row r="47" spans="1:42" ht="31.5" x14ac:dyDescent="0.25">
      <c r="A47" s="257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70</v>
      </c>
      <c r="I47" s="210">
        <v>35</v>
      </c>
      <c r="J47" s="210">
        <v>51</v>
      </c>
      <c r="K47" s="209">
        <v>49</v>
      </c>
      <c r="L47" s="210">
        <v>47</v>
      </c>
      <c r="M47" s="273">
        <f>28405.79+645.98+291.1+4099.14</f>
        <v>33442.01</v>
      </c>
      <c r="N47" s="273">
        <f>9335.56+3507.6+826.8+2284.16+1015+1378+10058.67+291.1</f>
        <v>28696.89</v>
      </c>
      <c r="O47" s="292">
        <f t="shared" si="1"/>
        <v>4745.1200000000026</v>
      </c>
      <c r="P47" s="213">
        <v>3</v>
      </c>
      <c r="Q47" s="214">
        <v>3</v>
      </c>
      <c r="R47" s="215">
        <v>3</v>
      </c>
      <c r="S47" s="288">
        <f>1209.11+1311.53</f>
        <v>2520.64</v>
      </c>
      <c r="T47" s="288">
        <v>1209.1099999999999</v>
      </c>
      <c r="U47" s="288">
        <f t="shared" si="2"/>
        <v>1311.53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  <c r="AO47"/>
      <c r="AP47"/>
    </row>
    <row r="48" spans="1:42" ht="31.5" x14ac:dyDescent="0.25">
      <c r="A48" s="257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22</v>
      </c>
      <c r="I48" s="210">
        <v>9</v>
      </c>
      <c r="J48" s="210">
        <v>12</v>
      </c>
      <c r="K48" s="209">
        <v>12</v>
      </c>
      <c r="L48" s="210">
        <v>12</v>
      </c>
      <c r="M48" s="273">
        <f>8890.84+1828.05+435+2479.5+5116.5</f>
        <v>18749.89</v>
      </c>
      <c r="N48" s="273">
        <f>8890.84+1828.05+435+2479.5</f>
        <v>13633.39</v>
      </c>
      <c r="O48" s="292">
        <f t="shared" si="1"/>
        <v>5116.5</v>
      </c>
      <c r="P48" s="213">
        <v>3</v>
      </c>
      <c r="Q48" s="214">
        <v>3</v>
      </c>
      <c r="R48" s="215">
        <v>3</v>
      </c>
      <c r="S48" s="288">
        <f>2800.4+5022.92</f>
        <v>7823.32</v>
      </c>
      <c r="T48" s="288">
        <f>2800.4+5022.92</f>
        <v>7823.32</v>
      </c>
      <c r="U48" s="288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  <c r="AO48"/>
      <c r="AP48"/>
    </row>
    <row r="49" spans="1:42" ht="31.5" x14ac:dyDescent="0.25">
      <c r="A49" s="257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23</v>
      </c>
      <c r="I49" s="210">
        <v>12</v>
      </c>
      <c r="J49" s="210">
        <v>18</v>
      </c>
      <c r="K49" s="209">
        <v>18</v>
      </c>
      <c r="L49" s="210">
        <v>17</v>
      </c>
      <c r="M49" s="273">
        <v>8028.06</v>
      </c>
      <c r="N49" s="273">
        <f>1831.71+137.8+1816.78+290+420.6+3531.17</f>
        <v>8028.06</v>
      </c>
      <c r="O49" s="292">
        <f t="shared" si="1"/>
        <v>0</v>
      </c>
      <c r="P49" s="213">
        <v>10</v>
      </c>
      <c r="Q49" s="214">
        <v>10</v>
      </c>
      <c r="R49" s="215">
        <v>10</v>
      </c>
      <c r="S49" s="288">
        <f>8296.23+1378+5368+1032.31</f>
        <v>16074.539999999999</v>
      </c>
      <c r="T49" s="288">
        <f>8296.23+1378+5368+1032.31</f>
        <v>16074.539999999999</v>
      </c>
      <c r="U49" s="288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  <c r="AO49"/>
      <c r="AP49"/>
    </row>
    <row r="50" spans="1:42" ht="31.5" x14ac:dyDescent="0.25">
      <c r="A50" s="257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47</v>
      </c>
      <c r="I50" s="210">
        <v>22</v>
      </c>
      <c r="J50" s="210">
        <v>25</v>
      </c>
      <c r="K50" s="209">
        <v>25</v>
      </c>
      <c r="L50" s="210">
        <v>25</v>
      </c>
      <c r="M50" s="273">
        <f>8308.92+786.44+453+302+1256.5+1232.5+2228.2+892.3+5116.5</f>
        <v>20576.36</v>
      </c>
      <c r="N50" s="273">
        <f>8308.92+786.44+453+302+1256.5+1232.5+893.3</f>
        <v>13232.66</v>
      </c>
      <c r="O50" s="292">
        <f t="shared" si="1"/>
        <v>7343.7000000000007</v>
      </c>
      <c r="P50" s="213">
        <v>6</v>
      </c>
      <c r="Q50" s="214">
        <v>6</v>
      </c>
      <c r="R50" s="215">
        <v>6</v>
      </c>
      <c r="S50" s="288">
        <f>2457.28+1725.6+5017.9+1584.7</f>
        <v>10785.48</v>
      </c>
      <c r="T50" s="288">
        <f>2457.28+1725.6+5017.9+1584.7</f>
        <v>10785.48</v>
      </c>
      <c r="U50" s="288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  <c r="AO50"/>
      <c r="AP50"/>
    </row>
    <row r="51" spans="1:42" ht="31.5" x14ac:dyDescent="0.25">
      <c r="A51" s="257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35</v>
      </c>
      <c r="I51" s="210">
        <v>17</v>
      </c>
      <c r="J51" s="210">
        <v>19</v>
      </c>
      <c r="K51" s="209">
        <v>19</v>
      </c>
      <c r="L51" s="210">
        <v>19</v>
      </c>
      <c r="M51" s="273">
        <f>11276.82+870</f>
        <v>12146.82</v>
      </c>
      <c r="N51" s="273">
        <f>5580.75+571.11+696.2+574.2+408.03+1234.53+1446.9+1635.1</f>
        <v>12146.82</v>
      </c>
      <c r="O51" s="292">
        <f t="shared" si="1"/>
        <v>0</v>
      </c>
      <c r="P51" s="213">
        <v>1</v>
      </c>
      <c r="Q51" s="214">
        <v>1</v>
      </c>
      <c r="R51" s="215">
        <v>1</v>
      </c>
      <c r="S51" s="288">
        <f>728.15</f>
        <v>728.15</v>
      </c>
      <c r="T51" s="288">
        <f>728.15</f>
        <v>728.15</v>
      </c>
      <c r="U51" s="288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  <c r="AO51"/>
      <c r="AP51"/>
    </row>
    <row r="52" spans="1:42" ht="31.5" x14ac:dyDescent="0.25">
      <c r="A52" s="257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26</v>
      </c>
      <c r="I52" s="210">
        <v>16</v>
      </c>
      <c r="J52" s="210">
        <v>21</v>
      </c>
      <c r="K52" s="209">
        <v>21</v>
      </c>
      <c r="L52" s="210">
        <v>18</v>
      </c>
      <c r="M52" s="273">
        <f>10557.44+145+1584.7</f>
        <v>12287.140000000001</v>
      </c>
      <c r="N52" s="273">
        <v>12287.14</v>
      </c>
      <c r="O52" s="292">
        <f t="shared" si="1"/>
        <v>1.8189894035458565E-12</v>
      </c>
      <c r="P52" s="213">
        <v>12</v>
      </c>
      <c r="Q52" s="214">
        <v>12</v>
      </c>
      <c r="R52" s="215">
        <v>12</v>
      </c>
      <c r="S52" s="288">
        <f>1535.39+1035.3+828.82+12756.45+716.22+1679.72</f>
        <v>18551.900000000001</v>
      </c>
      <c r="T52" s="288">
        <f>1535.39+1035.3+828.82+12756.45+716.22</f>
        <v>16872.18</v>
      </c>
      <c r="U52" s="288">
        <f t="shared" si="2"/>
        <v>1679.7200000000012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  <c r="AO52"/>
      <c r="AP52"/>
    </row>
    <row r="53" spans="1:42" ht="31.5" x14ac:dyDescent="0.25">
      <c r="A53" s="257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18</v>
      </c>
      <c r="I53" s="210">
        <v>4</v>
      </c>
      <c r="J53" s="210">
        <v>5</v>
      </c>
      <c r="K53" s="209">
        <v>5</v>
      </c>
      <c r="L53" s="210">
        <v>4</v>
      </c>
      <c r="M53" s="273">
        <f>1102.4+328.37+1596</f>
        <v>3026.77</v>
      </c>
      <c r="N53" s="273">
        <f>1102.4+328.37+1596</f>
        <v>3026.77</v>
      </c>
      <c r="O53" s="292">
        <f t="shared" si="1"/>
        <v>0</v>
      </c>
      <c r="P53" s="213">
        <v>2</v>
      </c>
      <c r="Q53" s="214">
        <v>2</v>
      </c>
      <c r="R53" s="215">
        <v>2</v>
      </c>
      <c r="S53" s="288">
        <v>688</v>
      </c>
      <c r="T53" s="288">
        <v>688</v>
      </c>
      <c r="U53" s="288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  <c r="AO53"/>
      <c r="AP53"/>
    </row>
    <row r="54" spans="1:42" ht="31.5" x14ac:dyDescent="0.25">
      <c r="A54" s="257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139</v>
      </c>
      <c r="I54" s="210">
        <v>120</v>
      </c>
      <c r="J54" s="210">
        <v>152</v>
      </c>
      <c r="K54" s="209">
        <v>152</v>
      </c>
      <c r="L54" s="210">
        <v>140</v>
      </c>
      <c r="M54" s="273">
        <f>12032.27+4728.85+7137.01+1218+507+4175.93+5308.12+6184.37+6281.56+3934.58+7806.06+6078.39</f>
        <v>65392.140000000007</v>
      </c>
      <c r="N54" s="273">
        <f>12031.27+4728.85+7137.01+1218+507+4175.93+5309.12+16400.51</f>
        <v>51507.69</v>
      </c>
      <c r="O54" s="292">
        <f t="shared" si="1"/>
        <v>13884.450000000004</v>
      </c>
      <c r="P54" s="213">
        <v>17</v>
      </c>
      <c r="Q54" s="214">
        <v>17</v>
      </c>
      <c r="R54" s="215">
        <v>17</v>
      </c>
      <c r="S54" s="288">
        <f>9629.72+1321.59</f>
        <v>10951.31</v>
      </c>
      <c r="T54" s="288">
        <f>9629.72+1321.59</f>
        <v>10951.31</v>
      </c>
      <c r="U54" s="288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  <c r="AO54"/>
      <c r="AP54"/>
    </row>
    <row r="55" spans="1:42" ht="31.5" x14ac:dyDescent="0.25">
      <c r="A55" s="257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8</v>
      </c>
      <c r="I55" s="210">
        <v>3</v>
      </c>
      <c r="J55" s="210">
        <v>4</v>
      </c>
      <c r="K55" s="209">
        <v>4</v>
      </c>
      <c r="L55" s="210">
        <v>4</v>
      </c>
      <c r="M55" s="273">
        <v>8188.55</v>
      </c>
      <c r="N55" s="273">
        <v>8188.55</v>
      </c>
      <c r="O55" s="292">
        <f t="shared" si="1"/>
        <v>0</v>
      </c>
      <c r="P55" s="213">
        <v>3</v>
      </c>
      <c r="Q55" s="214">
        <v>3</v>
      </c>
      <c r="R55" s="215">
        <v>3</v>
      </c>
      <c r="S55" s="288">
        <f>757.9+1321.55+620.1</f>
        <v>2699.5499999999997</v>
      </c>
      <c r="T55" s="288">
        <f>757.9+1321.55+620.1</f>
        <v>2699.5499999999997</v>
      </c>
      <c r="U55" s="288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  <c r="AO55"/>
      <c r="AP55"/>
    </row>
    <row r="56" spans="1:42" ht="31.5" x14ac:dyDescent="0.25">
      <c r="A56" s="257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75</v>
      </c>
      <c r="I56" s="210">
        <v>57</v>
      </c>
      <c r="J56" s="210">
        <v>78</v>
      </c>
      <c r="K56" s="209">
        <v>78</v>
      </c>
      <c r="L56" s="210">
        <v>76</v>
      </c>
      <c r="M56" s="273">
        <f>70230.55+4017.1+6903.23</f>
        <v>81150.880000000005</v>
      </c>
      <c r="N56" s="273">
        <f>13145.7+14183.3+726.22+3195.47+5181.98+1425.26+6804.83+1811+6356.42-6356.42+1423.76+3508.9+18824.13</f>
        <v>70230.55</v>
      </c>
      <c r="O56" s="292">
        <f t="shared" si="1"/>
        <v>10920.330000000002</v>
      </c>
      <c r="P56" s="213">
        <v>36</v>
      </c>
      <c r="Q56" s="214">
        <v>36</v>
      </c>
      <c r="R56" s="215">
        <v>33</v>
      </c>
      <c r="S56" s="288">
        <f>53733.15+4264.72+1524.74</f>
        <v>59522.61</v>
      </c>
      <c r="T56" s="288">
        <f>53733.15+4264.72</f>
        <v>57997.87</v>
      </c>
      <c r="U56" s="288">
        <f t="shared" si="2"/>
        <v>1524.739999999998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  <c r="AO56"/>
      <c r="AP56"/>
    </row>
    <row r="57" spans="1:42" ht="31.5" x14ac:dyDescent="0.25">
      <c r="A57" s="257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210">
        <v>11</v>
      </c>
      <c r="J57" s="210">
        <v>12</v>
      </c>
      <c r="K57" s="209">
        <v>11</v>
      </c>
      <c r="L57" s="210">
        <v>11</v>
      </c>
      <c r="M57" s="273">
        <f>1200.96+483.68</f>
        <v>1684.64</v>
      </c>
      <c r="N57" s="273">
        <f>1200.96+483.68</f>
        <v>1684.64</v>
      </c>
      <c r="O57" s="292">
        <f t="shared" si="1"/>
        <v>0</v>
      </c>
      <c r="P57" s="213"/>
      <c r="Q57" s="214"/>
      <c r="R57" s="215"/>
      <c r="S57" s="288"/>
      <c r="T57" s="288"/>
      <c r="U57" s="288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  <c r="AO57"/>
      <c r="AP57"/>
    </row>
    <row r="58" spans="1:42" ht="31.5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210"/>
      <c r="J58" s="210"/>
      <c r="K58" s="209"/>
      <c r="L58" s="210"/>
      <c r="M58" s="273"/>
      <c r="N58" s="273"/>
      <c r="O58" s="292">
        <f t="shared" si="1"/>
        <v>0</v>
      </c>
      <c r="P58" s="213">
        <v>1</v>
      </c>
      <c r="Q58" s="214">
        <v>1</v>
      </c>
      <c r="R58" s="215">
        <v>1</v>
      </c>
      <c r="S58" s="288">
        <v>548.1</v>
      </c>
      <c r="T58" s="288">
        <v>548.1</v>
      </c>
      <c r="U58" s="288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  <c r="AO58"/>
      <c r="AP58"/>
    </row>
    <row r="59" spans="1:42" ht="31.5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210"/>
      <c r="J59" s="210"/>
      <c r="K59" s="209"/>
      <c r="L59" s="210"/>
      <c r="M59" s="273"/>
      <c r="N59" s="273"/>
      <c r="O59" s="292">
        <f t="shared" si="1"/>
        <v>0</v>
      </c>
      <c r="P59" s="213"/>
      <c r="Q59" s="214"/>
      <c r="R59" s="215"/>
      <c r="S59" s="288"/>
      <c r="T59" s="288"/>
      <c r="U59" s="288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  <c r="AO59"/>
      <c r="AP59"/>
    </row>
    <row r="60" spans="1:42" ht="31.5" x14ac:dyDescent="0.25">
      <c r="A60" s="257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74</v>
      </c>
      <c r="I60" s="210">
        <v>45</v>
      </c>
      <c r="J60" s="210">
        <v>62</v>
      </c>
      <c r="K60" s="209">
        <v>61</v>
      </c>
      <c r="L60" s="210">
        <v>55</v>
      </c>
      <c r="M60" s="273">
        <f>55406.35+5285.07</f>
        <v>60691.42</v>
      </c>
      <c r="N60" s="273">
        <f>19658.67+3859.57+3638.88+11285.84+2356.7+1870.22+2374.32+10362.15</f>
        <v>55406.35</v>
      </c>
      <c r="O60" s="292">
        <f t="shared" si="1"/>
        <v>5285.07</v>
      </c>
      <c r="P60" s="213">
        <v>8</v>
      </c>
      <c r="Q60" s="214">
        <v>8</v>
      </c>
      <c r="R60" s="215">
        <v>7</v>
      </c>
      <c r="S60" s="288">
        <f>7737.36+1404.36</f>
        <v>9141.7199999999993</v>
      </c>
      <c r="T60" s="288">
        <f>7737.36+1404.36</f>
        <v>9141.7199999999993</v>
      </c>
      <c r="U60" s="288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  <c r="AO60"/>
      <c r="AP60"/>
    </row>
    <row r="61" spans="1:42" ht="31.5" x14ac:dyDescent="0.25">
      <c r="A61" s="257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33</v>
      </c>
      <c r="I61" s="210">
        <v>23</v>
      </c>
      <c r="J61" s="210">
        <v>33</v>
      </c>
      <c r="K61" s="209">
        <v>31</v>
      </c>
      <c r="L61" s="210">
        <v>31</v>
      </c>
      <c r="M61" s="273">
        <f>3986.21+989.8+3814.75+1492.92+2107.58+1990.86+3001.41+1940.89+2035.8+3263.5+1431.16</f>
        <v>26054.879999999997</v>
      </c>
      <c r="N61" s="273">
        <f>3987.21+989.8+3814.75+1492.92+2107.58+1990.86+6978.1</f>
        <v>21361.22</v>
      </c>
      <c r="O61" s="292">
        <f t="shared" si="1"/>
        <v>4693.6599999999962</v>
      </c>
      <c r="P61" s="213"/>
      <c r="Q61" s="214"/>
      <c r="R61" s="215"/>
      <c r="S61" s="288"/>
      <c r="T61" s="288"/>
      <c r="U61" s="288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  <c r="AO61"/>
      <c r="AP61"/>
    </row>
    <row r="62" spans="1:42" ht="31.5" x14ac:dyDescent="0.25">
      <c r="A62" s="257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20</v>
      </c>
      <c r="I62" s="210">
        <v>11</v>
      </c>
      <c r="J62" s="210">
        <v>26</v>
      </c>
      <c r="K62" s="209">
        <v>26</v>
      </c>
      <c r="L62" s="210">
        <v>22</v>
      </c>
      <c r="M62" s="273">
        <v>17435.95</v>
      </c>
      <c r="N62" s="273">
        <v>17435.95</v>
      </c>
      <c r="O62" s="292">
        <f t="shared" si="1"/>
        <v>0</v>
      </c>
      <c r="P62" s="213">
        <v>9</v>
      </c>
      <c r="Q62" s="214">
        <v>9</v>
      </c>
      <c r="R62" s="215">
        <v>9</v>
      </c>
      <c r="S62" s="288">
        <v>7582.54</v>
      </c>
      <c r="T62" s="288">
        <v>7582.54</v>
      </c>
      <c r="U62" s="288">
        <f t="shared" si="2"/>
        <v>0</v>
      </c>
      <c r="V62" s="161"/>
      <c r="AO62"/>
      <c r="AP62"/>
    </row>
    <row r="63" spans="1:42" ht="31.5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210"/>
      <c r="J63" s="210"/>
      <c r="K63" s="209"/>
      <c r="L63" s="210"/>
      <c r="M63" s="273"/>
      <c r="N63" s="273"/>
      <c r="O63" s="292">
        <f t="shared" si="1"/>
        <v>0</v>
      </c>
      <c r="P63" s="213">
        <v>29</v>
      </c>
      <c r="Q63" s="214">
        <v>29</v>
      </c>
      <c r="R63" s="215">
        <v>29</v>
      </c>
      <c r="S63" s="288">
        <f>9392.68+482.3+2027.39</f>
        <v>11902.369999999999</v>
      </c>
      <c r="T63" s="288">
        <f>9392.68+482.3+2027.39</f>
        <v>11902.369999999999</v>
      </c>
      <c r="U63" s="288">
        <f t="shared" si="2"/>
        <v>0</v>
      </c>
      <c r="V63" s="161"/>
      <c r="AO63"/>
      <c r="AP63"/>
    </row>
    <row r="64" spans="1:42" ht="31.5" x14ac:dyDescent="0.25">
      <c r="A64" s="257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92</v>
      </c>
      <c r="I64" s="210">
        <v>24</v>
      </c>
      <c r="J64" s="210">
        <v>25</v>
      </c>
      <c r="K64" s="209">
        <v>25</v>
      </c>
      <c r="L64" s="210">
        <v>25</v>
      </c>
      <c r="M64" s="273">
        <f>20271.52+2756+435</f>
        <v>23462.52</v>
      </c>
      <c r="N64" s="273">
        <f>6496.16+4335.01+2477.65+2687.1+609+3666.6</f>
        <v>20271.519999999997</v>
      </c>
      <c r="O64" s="292">
        <f t="shared" si="1"/>
        <v>3191.0000000000036</v>
      </c>
      <c r="P64" s="213">
        <v>12</v>
      </c>
      <c r="Q64" s="214">
        <v>12</v>
      </c>
      <c r="R64" s="215">
        <v>12</v>
      </c>
      <c r="S64" s="288">
        <f>6866.56+548.1</f>
        <v>7414.6600000000008</v>
      </c>
      <c r="T64" s="288">
        <f>6866.56+548.1</f>
        <v>7414.6600000000008</v>
      </c>
      <c r="U64" s="288">
        <f t="shared" si="2"/>
        <v>0</v>
      </c>
      <c r="V64" s="161"/>
      <c r="AO64"/>
      <c r="AP64"/>
    </row>
    <row r="65" spans="1:42" ht="31.5" x14ac:dyDescent="0.25">
      <c r="A65" s="257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66</v>
      </c>
      <c r="I65" s="210">
        <v>59</v>
      </c>
      <c r="J65" s="210">
        <v>73</v>
      </c>
      <c r="K65" s="209">
        <v>68</v>
      </c>
      <c r="L65" s="210">
        <v>67</v>
      </c>
      <c r="M65" s="273">
        <f>21562.61+5719.7+1305+4149.27+2397.37+5906.18+1251.03+829.55+4633.7+2607.11+652.5+3265.4+1216.55+3027.02+4762.53+494.81</f>
        <v>63780.33</v>
      </c>
      <c r="N65" s="273">
        <f>21561.61+5719.7+1305+4149.27+2397.37+5906.18+1251.03+829.55+4633.7+2607.11+7962.47</f>
        <v>58322.990000000005</v>
      </c>
      <c r="O65" s="292">
        <f t="shared" si="1"/>
        <v>5457.3399999999965</v>
      </c>
      <c r="P65" s="213">
        <v>11</v>
      </c>
      <c r="Q65" s="214">
        <v>11</v>
      </c>
      <c r="R65" s="215">
        <v>11</v>
      </c>
      <c r="S65" s="288">
        <f>7456.7+19131.63</f>
        <v>26588.33</v>
      </c>
      <c r="T65" s="288">
        <f>7456.7+19131.63</f>
        <v>26588.33</v>
      </c>
      <c r="U65" s="288">
        <f t="shared" si="2"/>
        <v>0</v>
      </c>
      <c r="V65" s="161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</row>
    <row r="66" spans="1:42" ht="31.5" x14ac:dyDescent="0.25">
      <c r="A66" s="257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210">
        <v>2</v>
      </c>
      <c r="J66" s="210">
        <v>3</v>
      </c>
      <c r="K66" s="209">
        <v>3</v>
      </c>
      <c r="L66" s="210">
        <v>3</v>
      </c>
      <c r="M66" s="273">
        <f>464.83+1653.6</f>
        <v>2118.4299999999998</v>
      </c>
      <c r="N66" s="273">
        <f>464.83+1653.6</f>
        <v>2118.4299999999998</v>
      </c>
      <c r="O66" s="292">
        <f t="shared" si="1"/>
        <v>0</v>
      </c>
      <c r="P66" s="213">
        <v>4</v>
      </c>
      <c r="Q66" s="214">
        <v>4</v>
      </c>
      <c r="R66" s="215">
        <v>4</v>
      </c>
      <c r="S66" s="288">
        <v>3148.1</v>
      </c>
      <c r="T66" s="288">
        <v>3148.1</v>
      </c>
      <c r="U66" s="288">
        <f t="shared" si="2"/>
        <v>0</v>
      </c>
      <c r="V66" s="161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</row>
    <row r="67" spans="1:42" ht="31.5" x14ac:dyDescent="0.25">
      <c r="A67" s="257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73</v>
      </c>
      <c r="I67" s="210">
        <v>59</v>
      </c>
      <c r="J67" s="210">
        <v>77</v>
      </c>
      <c r="K67" s="209">
        <v>77</v>
      </c>
      <c r="L67" s="210">
        <v>69</v>
      </c>
      <c r="M67" s="273">
        <f>57336.7+3808.64+5209.38</f>
        <v>66354.720000000001</v>
      </c>
      <c r="N67" s="273">
        <f>19710.93+7009.96+ 8900.54+165.98+1497.55+1081.95+652.5+834+3570.78+16069.46</f>
        <v>59493.65</v>
      </c>
      <c r="O67" s="292">
        <f t="shared" si="1"/>
        <v>6861.07</v>
      </c>
      <c r="P67" s="213">
        <v>11</v>
      </c>
      <c r="Q67" s="214">
        <v>11</v>
      </c>
      <c r="R67" s="215">
        <v>11</v>
      </c>
      <c r="S67" s="288">
        <f>8355.57+1548.48+8943.77</f>
        <v>18847.82</v>
      </c>
      <c r="T67" s="288">
        <f>8355.57+1548.48+8943.77</f>
        <v>18847.82</v>
      </c>
      <c r="U67" s="288">
        <f t="shared" si="2"/>
        <v>0</v>
      </c>
      <c r="V67" s="161"/>
      <c r="W67"/>
      <c r="X67"/>
      <c r="Y67"/>
      <c r="Z67"/>
      <c r="AA67"/>
      <c r="AB67"/>
      <c r="AC67"/>
      <c r="AD67"/>
      <c r="AE67"/>
      <c r="AF67" s="59"/>
      <c r="AG67"/>
      <c r="AH67"/>
      <c r="AI67"/>
      <c r="AJ67"/>
      <c r="AK67"/>
      <c r="AL67"/>
      <c r="AM67"/>
      <c r="AN67"/>
      <c r="AO67"/>
      <c r="AP67"/>
    </row>
    <row r="68" spans="1:42" ht="31.5" x14ac:dyDescent="0.25">
      <c r="A68" s="257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49</v>
      </c>
      <c r="I68" s="210">
        <v>41</v>
      </c>
      <c r="J68" s="210">
        <v>63</v>
      </c>
      <c r="K68" s="209">
        <v>63</v>
      </c>
      <c r="L68" s="210">
        <v>63</v>
      </c>
      <c r="M68" s="273">
        <v>55504.13</v>
      </c>
      <c r="N68" s="273">
        <f>18750.75+2683.13+8424.37+22481.37</f>
        <v>52339.619999999995</v>
      </c>
      <c r="O68" s="292">
        <f t="shared" si="1"/>
        <v>3164.510000000002</v>
      </c>
      <c r="P68" s="213">
        <v>11</v>
      </c>
      <c r="Q68" s="214">
        <v>11</v>
      </c>
      <c r="R68" s="215">
        <v>11</v>
      </c>
      <c r="S68" s="288">
        <v>6249.15</v>
      </c>
      <c r="T68" s="288">
        <v>6249.15</v>
      </c>
      <c r="U68" s="288">
        <f t="shared" si="2"/>
        <v>0</v>
      </c>
      <c r="V68" s="161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</row>
    <row r="69" spans="1:42" ht="31.5" x14ac:dyDescent="0.25">
      <c r="A69" s="257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24</v>
      </c>
      <c r="I69" s="210">
        <v>14</v>
      </c>
      <c r="J69" s="210">
        <v>17</v>
      </c>
      <c r="K69" s="209">
        <v>17</v>
      </c>
      <c r="L69" s="210">
        <v>12</v>
      </c>
      <c r="M69" s="273">
        <f>2756+1240.2+1305+1087.5+1232.5+2915.4+2429</f>
        <v>12965.6</v>
      </c>
      <c r="N69" s="273">
        <f>2756+1240.2+1305+1087.5+1232.5+2915.4</f>
        <v>10536.6</v>
      </c>
      <c r="O69" s="292">
        <f t="shared" si="1"/>
        <v>2429</v>
      </c>
      <c r="P69" s="213"/>
      <c r="Q69" s="214"/>
      <c r="R69" s="215"/>
      <c r="S69" s="288"/>
      <c r="T69" s="288"/>
      <c r="U69" s="288">
        <f t="shared" si="2"/>
        <v>0</v>
      </c>
      <c r="V69" s="161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</row>
    <row r="70" spans="1:42" ht="31.5" x14ac:dyDescent="0.25">
      <c r="A70" s="257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20</v>
      </c>
      <c r="I70" s="210">
        <v>15</v>
      </c>
      <c r="J70" s="210">
        <v>18</v>
      </c>
      <c r="K70" s="209">
        <v>17</v>
      </c>
      <c r="L70" s="210">
        <v>17</v>
      </c>
      <c r="M70" s="273">
        <f>15374.68+947.21+1450</f>
        <v>17771.89</v>
      </c>
      <c r="N70" s="273">
        <f>2039.44+3242.32+2027.39+3567+822.15+4538.88</f>
        <v>16237.18</v>
      </c>
      <c r="O70" s="292">
        <f t="shared" si="1"/>
        <v>1534.7099999999991</v>
      </c>
      <c r="P70" s="213">
        <v>7</v>
      </c>
      <c r="Q70" s="214">
        <v>7</v>
      </c>
      <c r="R70" s="215">
        <v>7</v>
      </c>
      <c r="S70" s="288">
        <f>3513.9+460.56+401.94</f>
        <v>4376.3999999999996</v>
      </c>
      <c r="T70" s="288">
        <v>3513.9</v>
      </c>
      <c r="U70" s="288">
        <f t="shared" si="2"/>
        <v>862.49999999999955</v>
      </c>
      <c r="V70" s="161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</row>
    <row r="71" spans="1:42" s="249" customFormat="1" ht="31.5" x14ac:dyDescent="0.25">
      <c r="A71" s="257">
        <v>57</v>
      </c>
      <c r="B71" s="291">
        <f t="shared" si="3"/>
        <v>62</v>
      </c>
      <c r="C71" s="250" t="s">
        <v>74</v>
      </c>
      <c r="D71" s="251" t="s">
        <v>124</v>
      </c>
      <c r="E71" s="252"/>
      <c r="F71" s="253" t="s">
        <v>111</v>
      </c>
      <c r="G71" s="254" t="s">
        <v>190</v>
      </c>
      <c r="H71" s="255">
        <v>34</v>
      </c>
      <c r="I71" s="210">
        <v>22</v>
      </c>
      <c r="J71" s="210">
        <v>28</v>
      </c>
      <c r="K71" s="209">
        <v>26</v>
      </c>
      <c r="L71" s="210">
        <v>26</v>
      </c>
      <c r="M71" s="273">
        <f>2383.53+3781.9+7505.17+507+5161.87+1335.02+1152.8-3276.5+5715.74+5512.93</f>
        <v>29779.46</v>
      </c>
      <c r="N71" s="273">
        <f>2383.53+3781.9+7505.17+507+5161.87+1335.02+1152.8-3276.5+5715.74</f>
        <v>24266.53</v>
      </c>
      <c r="O71" s="292">
        <f t="shared" si="1"/>
        <v>5512.93</v>
      </c>
      <c r="P71" s="213">
        <v>26</v>
      </c>
      <c r="Q71" s="214">
        <v>26</v>
      </c>
      <c r="R71" s="215">
        <v>26</v>
      </c>
      <c r="S71" s="288">
        <f>52337.46+18000.02+1926.09+5518.42+2515.16</f>
        <v>80297.149999999994</v>
      </c>
      <c r="T71" s="288">
        <f>52337.46+18000.02+1926.09+5518.42</f>
        <v>77781.989999999991</v>
      </c>
      <c r="U71" s="288">
        <f t="shared" si="2"/>
        <v>2515.1600000000035</v>
      </c>
      <c r="V71" s="161"/>
      <c r="W71" s="243"/>
      <c r="X71" s="243"/>
      <c r="Y71" s="243"/>
      <c r="Z71" s="243"/>
      <c r="AA71" s="243"/>
      <c r="AB71" s="243"/>
      <c r="AC71" s="243"/>
      <c r="AD71" s="243"/>
      <c r="AE71" s="243"/>
      <c r="AF71" s="256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</row>
    <row r="72" spans="1:42" ht="31.5" x14ac:dyDescent="0.25">
      <c r="A72" s="257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26</v>
      </c>
      <c r="I72" s="210">
        <v>16</v>
      </c>
      <c r="J72" s="210">
        <v>21</v>
      </c>
      <c r="K72" s="209">
        <v>21</v>
      </c>
      <c r="L72" s="210">
        <v>19</v>
      </c>
      <c r="M72" s="273">
        <f>4704.53+544.32+1960.26+2120.63+1914.44+822.15+4802.54</f>
        <v>16868.87</v>
      </c>
      <c r="N72" s="273">
        <f>4703.53+544.32+1960.26+2120.63+2737.59</f>
        <v>12066.33</v>
      </c>
      <c r="O72" s="292">
        <f t="shared" si="1"/>
        <v>4802.5399999999991</v>
      </c>
      <c r="P72" s="213">
        <v>7</v>
      </c>
      <c r="Q72" s="214">
        <v>7</v>
      </c>
      <c r="R72" s="215">
        <v>7</v>
      </c>
      <c r="S72" s="288">
        <f>3959.69+961.38</f>
        <v>4921.07</v>
      </c>
      <c r="T72" s="288">
        <f>3959.69+961.38</f>
        <v>4921.07</v>
      </c>
      <c r="U72" s="288">
        <f t="shared" si="2"/>
        <v>0</v>
      </c>
      <c r="V72" s="161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1:42" ht="31.5" x14ac:dyDescent="0.25">
      <c r="A73" s="257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49</v>
      </c>
      <c r="I73" s="210">
        <v>32</v>
      </c>
      <c r="J73" s="210">
        <v>33</v>
      </c>
      <c r="K73" s="209">
        <v>33</v>
      </c>
      <c r="L73" s="210">
        <v>32</v>
      </c>
      <c r="M73" s="273">
        <f>2096.52+746.9+4941.1+3310.3+2104.91+2516.25+6797.48</f>
        <v>22513.46</v>
      </c>
      <c r="N73" s="273">
        <v>22513.46</v>
      </c>
      <c r="O73" s="292">
        <f t="shared" si="1"/>
        <v>0</v>
      </c>
      <c r="P73" s="213">
        <v>8</v>
      </c>
      <c r="Q73" s="214">
        <v>8</v>
      </c>
      <c r="R73" s="215">
        <v>8</v>
      </c>
      <c r="S73" s="288">
        <f>1821.06+4580.19+1240.2+1963.25</f>
        <v>9604.7000000000007</v>
      </c>
      <c r="T73" s="288">
        <v>9604.7000000000007</v>
      </c>
      <c r="U73" s="288">
        <f t="shared" si="2"/>
        <v>0</v>
      </c>
      <c r="V73" s="161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ht="31.5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210"/>
      <c r="J74" s="210"/>
      <c r="K74" s="209"/>
      <c r="L74" s="210"/>
      <c r="M74" s="273"/>
      <c r="N74" s="273"/>
      <c r="O74" s="292">
        <f t="shared" si="1"/>
        <v>0</v>
      </c>
      <c r="P74" s="213">
        <v>1</v>
      </c>
      <c r="Q74" s="214">
        <v>1</v>
      </c>
      <c r="R74" s="215">
        <v>1</v>
      </c>
      <c r="S74" s="288">
        <v>3278.32</v>
      </c>
      <c r="T74" s="288">
        <v>3278.32</v>
      </c>
      <c r="U74" s="288">
        <f t="shared" si="2"/>
        <v>0</v>
      </c>
      <c r="V74" s="161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ht="31.5" x14ac:dyDescent="0.25">
      <c r="A75" s="257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52</v>
      </c>
      <c r="I75" s="210">
        <v>11</v>
      </c>
      <c r="J75" s="210">
        <v>21</v>
      </c>
      <c r="K75" s="209">
        <v>21</v>
      </c>
      <c r="L75" s="210">
        <v>17</v>
      </c>
      <c r="M75" s="273">
        <f>275.6+741.36+14287.26+2399.03+7204.43-12858+4132.5</f>
        <v>16182.18</v>
      </c>
      <c r="N75" s="273">
        <f>275.6+741.36+14287.26-10458.97</f>
        <v>4845.2500000000018</v>
      </c>
      <c r="O75" s="292">
        <f t="shared" ref="O75:O104" si="4" xml:space="preserve"> (M75-N75)</f>
        <v>11336.929999999998</v>
      </c>
      <c r="P75" s="213">
        <v>3</v>
      </c>
      <c r="Q75" s="214">
        <v>3</v>
      </c>
      <c r="R75" s="215">
        <v>3</v>
      </c>
      <c r="S75" s="288">
        <f>617.03+725.77</f>
        <v>1342.8</v>
      </c>
      <c r="T75" s="288">
        <f>617.03+725.77</f>
        <v>1342.8</v>
      </c>
      <c r="U75" s="288">
        <f t="shared" ref="U75:U104" si="5" xml:space="preserve"> (S75-T75)</f>
        <v>0</v>
      </c>
      <c r="V75" s="161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ht="31.5" x14ac:dyDescent="0.25">
      <c r="A76" s="257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45</v>
      </c>
      <c r="I76" s="210">
        <v>33</v>
      </c>
      <c r="J76" s="210">
        <v>48</v>
      </c>
      <c r="K76" s="209">
        <v>48</v>
      </c>
      <c r="L76" s="210">
        <v>46</v>
      </c>
      <c r="M76" s="273">
        <f>11803.63+1320.23+3132.15+12104.63+822.42+4875.99+435.02+2678.15+3594.84+4069.8-0.4</f>
        <v>44836.46</v>
      </c>
      <c r="N76" s="273">
        <f>11803.63+1320.23+3132.15+12104.63+822.42+4875.99+435.02+6734.22</f>
        <v>41228.289999999994</v>
      </c>
      <c r="O76" s="292">
        <f t="shared" si="4"/>
        <v>3608.1700000000055</v>
      </c>
      <c r="P76" s="213">
        <v>5</v>
      </c>
      <c r="Q76" s="214">
        <v>5</v>
      </c>
      <c r="R76" s="215">
        <v>5</v>
      </c>
      <c r="S76" s="288">
        <f>5751.78+461.63</f>
        <v>6213.41</v>
      </c>
      <c r="T76" s="288">
        <v>5751.78</v>
      </c>
      <c r="U76" s="288">
        <f t="shared" si="5"/>
        <v>461.63000000000011</v>
      </c>
      <c r="V76" s="161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ht="31.5" x14ac:dyDescent="0.25">
      <c r="A77" s="257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28</v>
      </c>
      <c r="I77" s="210">
        <v>16</v>
      </c>
      <c r="J77" s="210">
        <v>22</v>
      </c>
      <c r="K77" s="209">
        <v>22</v>
      </c>
      <c r="L77" s="210">
        <v>22</v>
      </c>
      <c r="M77" s="273">
        <f>20900.61+4738.34</f>
        <v>25638.95</v>
      </c>
      <c r="N77" s="273">
        <v>19015.61</v>
      </c>
      <c r="O77" s="292">
        <f t="shared" si="4"/>
        <v>6623.34</v>
      </c>
      <c r="P77" s="213"/>
      <c r="Q77" s="214"/>
      <c r="R77" s="215"/>
      <c r="S77" s="288"/>
      <c r="T77" s="288"/>
      <c r="U77" s="288">
        <f t="shared" si="5"/>
        <v>0</v>
      </c>
      <c r="V77" s="161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</row>
    <row r="78" spans="1:42" ht="31.5" x14ac:dyDescent="0.25">
      <c r="A78" s="257" t="s">
        <v>315</v>
      </c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210"/>
      <c r="J78" s="210"/>
      <c r="K78" s="209"/>
      <c r="L78" s="210"/>
      <c r="M78" s="273"/>
      <c r="N78" s="273"/>
      <c r="O78" s="292">
        <f t="shared" si="4"/>
        <v>0</v>
      </c>
      <c r="P78" s="213">
        <v>9</v>
      </c>
      <c r="Q78" s="214">
        <v>9</v>
      </c>
      <c r="R78" s="215">
        <v>9</v>
      </c>
      <c r="S78" s="288">
        <f>3889.76+778.48</f>
        <v>4668.24</v>
      </c>
      <c r="T78" s="288">
        <f>3889.76+778.48</f>
        <v>4668.24</v>
      </c>
      <c r="U78" s="288">
        <f t="shared" si="5"/>
        <v>0</v>
      </c>
      <c r="V78" s="161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1:42" ht="31.5" x14ac:dyDescent="0.25">
      <c r="A79" s="257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27</v>
      </c>
      <c r="I79" s="210">
        <v>19</v>
      </c>
      <c r="J79" s="210">
        <v>28</v>
      </c>
      <c r="K79" s="209">
        <v>28</v>
      </c>
      <c r="L79" s="210">
        <v>27</v>
      </c>
      <c r="M79" s="273">
        <f>8913.81+7027.61+1244.33+15395.91+4278.3+2683.35+2527.95</f>
        <v>42071.259999999995</v>
      </c>
      <c r="N79" s="273">
        <f>8913.81+7027.61+1244.33+15395.91+4278.3</f>
        <v>36859.96</v>
      </c>
      <c r="O79" s="292">
        <f t="shared" si="4"/>
        <v>5211.2999999999956</v>
      </c>
      <c r="P79" s="213">
        <v>4</v>
      </c>
      <c r="Q79" s="214">
        <v>4</v>
      </c>
      <c r="R79" s="215">
        <v>4</v>
      </c>
      <c r="S79" s="288">
        <f>275.6+4163.58</f>
        <v>4439.18</v>
      </c>
      <c r="T79" s="288">
        <f>275.6+4163.58</f>
        <v>4439.18</v>
      </c>
      <c r="U79" s="288">
        <f t="shared" si="5"/>
        <v>0</v>
      </c>
      <c r="V79" s="161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1:42" ht="31.5" x14ac:dyDescent="0.25">
      <c r="A80" s="257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20</v>
      </c>
      <c r="I80" s="210">
        <v>14</v>
      </c>
      <c r="J80" s="210">
        <v>23</v>
      </c>
      <c r="K80" s="209">
        <v>23</v>
      </c>
      <c r="L80" s="210">
        <v>22</v>
      </c>
      <c r="M80" s="273">
        <f>14959.64+7384.39+14758.51+362.5+822.42+1311.95-361.5</f>
        <v>39237.909999999996</v>
      </c>
      <c r="N80" s="273">
        <f>14959.64+7384.39+14758.51+362.5+822.42+1311.95-361.5</f>
        <v>39237.909999999996</v>
      </c>
      <c r="O80" s="292">
        <f t="shared" si="4"/>
        <v>0</v>
      </c>
      <c r="P80" s="213">
        <v>10</v>
      </c>
      <c r="Q80" s="214">
        <v>10</v>
      </c>
      <c r="R80" s="215">
        <v>10</v>
      </c>
      <c r="S80" s="288">
        <f>13554.7+2057.24+454.74</f>
        <v>16066.68</v>
      </c>
      <c r="T80" s="288">
        <f>13554.7+2057.24+454.74</f>
        <v>16066.68</v>
      </c>
      <c r="U80" s="288">
        <f t="shared" si="5"/>
        <v>0</v>
      </c>
      <c r="V80" s="161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1:42" ht="20.100000000000001" customHeight="1" x14ac:dyDescent="0.25">
      <c r="A81" s="257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210">
        <v>2</v>
      </c>
      <c r="J81" s="210">
        <v>4</v>
      </c>
      <c r="K81" s="209">
        <v>4</v>
      </c>
      <c r="L81" s="210">
        <v>3</v>
      </c>
      <c r="M81" s="273">
        <f>287.1+4641.98</f>
        <v>4929.08</v>
      </c>
      <c r="N81" s="273">
        <f>287.1+4641.98</f>
        <v>4929.08</v>
      </c>
      <c r="O81" s="292">
        <f t="shared" si="4"/>
        <v>0</v>
      </c>
      <c r="P81" s="213">
        <v>1</v>
      </c>
      <c r="Q81" s="214">
        <v>1</v>
      </c>
      <c r="R81" s="215">
        <v>1</v>
      </c>
      <c r="S81" s="288">
        <v>2673.24</v>
      </c>
      <c r="T81" s="288">
        <v>2673.24</v>
      </c>
      <c r="U81" s="288">
        <f t="shared" si="5"/>
        <v>0</v>
      </c>
      <c r="V81" s="161"/>
    </row>
    <row r="82" spans="1:42" ht="20.100000000000001" customHeight="1" x14ac:dyDescent="0.25">
      <c r="A82" s="257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28</v>
      </c>
      <c r="I82" s="210">
        <v>17</v>
      </c>
      <c r="J82" s="210">
        <v>19</v>
      </c>
      <c r="K82" s="209">
        <v>19</v>
      </c>
      <c r="L82" s="210">
        <v>19</v>
      </c>
      <c r="M82" s="273">
        <f>2626.75+8084.46+600.05+7445.83+942.5+668.95+1283.25+574.2</f>
        <v>22225.989999999998</v>
      </c>
      <c r="N82" s="273">
        <f>2626.75+8084.46+600.05+7445.83+942.5+668.95+1283.25</f>
        <v>21651.789999999997</v>
      </c>
      <c r="O82" s="292">
        <f t="shared" si="4"/>
        <v>574.20000000000073</v>
      </c>
      <c r="P82" s="213">
        <v>10</v>
      </c>
      <c r="Q82" s="214">
        <v>10</v>
      </c>
      <c r="R82" s="215">
        <v>10</v>
      </c>
      <c r="S82" s="288">
        <f>15935.59+881.06+1714.6+1015.59</f>
        <v>19546.84</v>
      </c>
      <c r="T82" s="288">
        <f>15935.59+881.06+1714.6+1015.59</f>
        <v>19546.84</v>
      </c>
      <c r="U82" s="288">
        <f t="shared" si="5"/>
        <v>0</v>
      </c>
      <c r="V82" s="161"/>
    </row>
    <row r="83" spans="1:42" ht="20.100000000000001" customHeight="1" x14ac:dyDescent="0.25">
      <c r="A83" s="257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29</v>
      </c>
      <c r="I83" s="210">
        <v>18</v>
      </c>
      <c r="J83" s="210">
        <v>30</v>
      </c>
      <c r="K83" s="209">
        <v>30</v>
      </c>
      <c r="L83" s="210">
        <v>30</v>
      </c>
      <c r="M83" s="273">
        <f>11233.31+3440.1+14435.12-1360.99+3088.95+2556.06+1891.38+763.69</f>
        <v>36047.619999999995</v>
      </c>
      <c r="N83" s="273">
        <f>11233.31+3440.1+14435.12-1360.99+3088.95+2556.06+1891.38+763.69</f>
        <v>36047.619999999995</v>
      </c>
      <c r="O83" s="292">
        <f t="shared" si="4"/>
        <v>0</v>
      </c>
      <c r="P83" s="213">
        <v>7</v>
      </c>
      <c r="Q83" s="214">
        <v>7</v>
      </c>
      <c r="R83" s="215">
        <v>7</v>
      </c>
      <c r="S83" s="288">
        <f>6465.89+3406.65+1360.99</f>
        <v>11233.53</v>
      </c>
      <c r="T83" s="288">
        <f>6465.89+3406.65+1360.99</f>
        <v>11233.53</v>
      </c>
      <c r="U83" s="288">
        <f t="shared" si="5"/>
        <v>0</v>
      </c>
      <c r="V83" s="161"/>
    </row>
    <row r="84" spans="1:42" ht="20.100000000000001" customHeight="1" x14ac:dyDescent="0.25">
      <c r="A84" s="257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24</v>
      </c>
      <c r="I84" s="210">
        <v>17</v>
      </c>
      <c r="J84" s="210">
        <v>29</v>
      </c>
      <c r="K84" s="209">
        <v>29</v>
      </c>
      <c r="L84" s="210">
        <v>27</v>
      </c>
      <c r="M84" s="273">
        <f>5429.56+2272.28+2029.9+2976.46+1243.6+3190.51+1864.46</f>
        <v>19006.77</v>
      </c>
      <c r="N84" s="273">
        <f>5429.56+2272.28+2029.9+2976.46+1243.6+3190.51</f>
        <v>17142.310000000001</v>
      </c>
      <c r="O84" s="292">
        <f t="shared" si="4"/>
        <v>1864.4599999999991</v>
      </c>
      <c r="P84" s="213">
        <v>1</v>
      </c>
      <c r="Q84" s="214">
        <v>1</v>
      </c>
      <c r="R84" s="215">
        <v>1</v>
      </c>
      <c r="S84" s="288">
        <v>1515.31</v>
      </c>
      <c r="T84" s="288">
        <v>1515.31</v>
      </c>
      <c r="U84" s="288">
        <f t="shared" si="5"/>
        <v>0</v>
      </c>
      <c r="V84" s="161"/>
    </row>
    <row r="85" spans="1:42" ht="20.100000000000001" customHeight="1" x14ac:dyDescent="0.25">
      <c r="A85" s="257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58</v>
      </c>
      <c r="I85" s="210">
        <v>47</v>
      </c>
      <c r="J85" s="210">
        <v>77</v>
      </c>
      <c r="K85" s="209">
        <v>74</v>
      </c>
      <c r="L85" s="210">
        <v>66</v>
      </c>
      <c r="M85" s="273">
        <f>15506.09+4089.12+1924.78+1267.55+6546.86+1962.04+654.22+1080.22+392.95+1059.68+8180.45+435+1409.81+1010.65</f>
        <v>45519.419999999991</v>
      </c>
      <c r="N85" s="273">
        <f>15506.09+4089.12+1924.78+1267.55+6546.86+1962.04+654.22+1080.22+392.95+1059.68+10025.26</f>
        <v>44508.77</v>
      </c>
      <c r="O85" s="292">
        <f t="shared" si="4"/>
        <v>1010.6499999999942</v>
      </c>
      <c r="P85" s="213">
        <v>5</v>
      </c>
      <c r="Q85" s="214">
        <v>5</v>
      </c>
      <c r="R85" s="215">
        <v>5</v>
      </c>
      <c r="S85" s="288">
        <f>2068.47+2492.49</f>
        <v>4560.9599999999991</v>
      </c>
      <c r="T85" s="288">
        <f>2068.47+2492.49</f>
        <v>4560.9599999999991</v>
      </c>
      <c r="U85" s="288">
        <f t="shared" si="5"/>
        <v>0</v>
      </c>
      <c r="V85" s="161"/>
    </row>
    <row r="86" spans="1:42" ht="20.100000000000001" customHeight="1" x14ac:dyDescent="0.25">
      <c r="A86" s="257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23</v>
      </c>
      <c r="I86" s="210">
        <v>18</v>
      </c>
      <c r="J86" s="210">
        <v>21</v>
      </c>
      <c r="K86" s="209">
        <v>21</v>
      </c>
      <c r="L86" s="210">
        <v>21</v>
      </c>
      <c r="M86" s="273">
        <f>1957.76+1128.38+1752.82+1595+1761.46+1724.05</f>
        <v>9919.4699999999993</v>
      </c>
      <c r="N86" s="273">
        <f>1956.76+1128.38+1752.82+3357.46</f>
        <v>8195.42</v>
      </c>
      <c r="O86" s="292">
        <f t="shared" si="4"/>
        <v>1724.0499999999993</v>
      </c>
      <c r="P86" s="213">
        <v>2</v>
      </c>
      <c r="Q86" s="214">
        <v>2</v>
      </c>
      <c r="R86" s="215">
        <v>2</v>
      </c>
      <c r="S86" s="288">
        <v>839.18</v>
      </c>
      <c r="T86" s="288">
        <v>839.18</v>
      </c>
      <c r="U86" s="288">
        <f t="shared" si="5"/>
        <v>0</v>
      </c>
      <c r="V86" s="161"/>
    </row>
    <row r="87" spans="1:42" ht="20.25" customHeight="1" x14ac:dyDescent="0.25">
      <c r="A87" s="257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10</v>
      </c>
      <c r="I87" s="210">
        <v>8</v>
      </c>
      <c r="J87" s="210">
        <v>13</v>
      </c>
      <c r="K87" s="209">
        <v>13</v>
      </c>
      <c r="L87" s="210">
        <v>13</v>
      </c>
      <c r="M87" s="273">
        <f>795.8+4099.92+1305+358.88+1643.65+1026.38+1265.93+430.65+21</f>
        <v>10947.210000000001</v>
      </c>
      <c r="N87" s="273">
        <f>795.8+4099.92+1305+358.88+1643.65+1026.38+1265.93+430.65+21</f>
        <v>10947.210000000001</v>
      </c>
      <c r="O87" s="292">
        <f t="shared" si="4"/>
        <v>0</v>
      </c>
      <c r="P87" s="213">
        <v>6</v>
      </c>
      <c r="Q87" s="214">
        <v>6</v>
      </c>
      <c r="R87" s="215">
        <v>6</v>
      </c>
      <c r="S87" s="288">
        <f>2723.78+3718.48+4265.16+4595.62</f>
        <v>15303.04</v>
      </c>
      <c r="T87" s="288">
        <f>2723.78+3718.48+4265.16+4595.62</f>
        <v>15303.04</v>
      </c>
      <c r="U87" s="288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210"/>
      <c r="J88" s="210"/>
      <c r="K88" s="209"/>
      <c r="L88" s="210"/>
      <c r="M88" s="273"/>
      <c r="N88" s="273"/>
      <c r="O88" s="292">
        <f t="shared" si="4"/>
        <v>0</v>
      </c>
      <c r="P88" s="213">
        <v>6</v>
      </c>
      <c r="Q88" s="214">
        <v>6</v>
      </c>
      <c r="R88" s="215">
        <v>6</v>
      </c>
      <c r="S88" s="288">
        <v>7502.29</v>
      </c>
      <c r="T88" s="288">
        <v>7502.29</v>
      </c>
      <c r="U88" s="288">
        <f t="shared" si="5"/>
        <v>0</v>
      </c>
      <c r="V88" s="161"/>
    </row>
    <row r="89" spans="1:42" ht="20.100000000000001" customHeight="1" x14ac:dyDescent="0.25">
      <c r="A89" s="257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19</v>
      </c>
      <c r="I89" s="210">
        <v>9</v>
      </c>
      <c r="J89" s="210">
        <v>13</v>
      </c>
      <c r="K89" s="209">
        <v>13</v>
      </c>
      <c r="L89" s="210">
        <v>11</v>
      </c>
      <c r="M89" s="273">
        <f>2874.33+1509.2+1943+315.81+145+874.35+533.98</f>
        <v>8195.67</v>
      </c>
      <c r="N89" s="273">
        <f>2874.33+1509.2+1943+315.81+145+874.35+533.98</f>
        <v>8195.67</v>
      </c>
      <c r="O89" s="292">
        <f t="shared" si="4"/>
        <v>0</v>
      </c>
      <c r="P89" s="213">
        <v>8</v>
      </c>
      <c r="Q89" s="214">
        <v>8</v>
      </c>
      <c r="R89" s="215">
        <v>8</v>
      </c>
      <c r="S89" s="288">
        <f>8161.92+1118.75+3779.58+1127.2+2077.34</f>
        <v>16264.79</v>
      </c>
      <c r="T89" s="288">
        <f>8161.92+1118.75+3779.58+1127.2+2077.34</f>
        <v>16264.79</v>
      </c>
      <c r="U89" s="288">
        <f t="shared" si="5"/>
        <v>0</v>
      </c>
      <c r="V89" s="161"/>
    </row>
    <row r="90" spans="1:42" ht="20.100000000000001" customHeight="1" x14ac:dyDescent="0.25">
      <c r="A90" s="257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68</v>
      </c>
      <c r="I90" s="210">
        <v>53</v>
      </c>
      <c r="J90" s="210">
        <v>93</v>
      </c>
      <c r="K90" s="209">
        <v>93</v>
      </c>
      <c r="L90" s="210">
        <v>92</v>
      </c>
      <c r="M90" s="273">
        <f>14303.46+6714.67+1828.05+13505.93+582.9+8733.75+358.88+2031-1990+16472.8+9266.84</f>
        <v>71808.28</v>
      </c>
      <c r="N90" s="273">
        <f>14303.46+6714.67+1828.05+13505.93+582.9+8733.75+358.88+2031-1990</f>
        <v>46068.639999999999</v>
      </c>
      <c r="O90" s="292">
        <f t="shared" si="4"/>
        <v>25739.64</v>
      </c>
      <c r="P90" s="213">
        <v>8</v>
      </c>
      <c r="Q90" s="214">
        <v>8</v>
      </c>
      <c r="R90" s="215">
        <v>8</v>
      </c>
      <c r="S90" s="288">
        <v>3130.8</v>
      </c>
      <c r="T90" s="288">
        <v>3130.8</v>
      </c>
      <c r="U90" s="288">
        <f t="shared" si="5"/>
        <v>0</v>
      </c>
      <c r="V90" s="161"/>
    </row>
    <row r="91" spans="1:42" ht="20.100000000000001" customHeight="1" x14ac:dyDescent="0.25">
      <c r="A91" s="257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34</v>
      </c>
      <c r="I91" s="210">
        <v>18</v>
      </c>
      <c r="J91" s="210">
        <v>33</v>
      </c>
      <c r="K91" s="209">
        <v>32</v>
      </c>
      <c r="L91" s="210">
        <v>32</v>
      </c>
      <c r="M91" s="273">
        <f>5384.83+3572.76+8100.09+725+145+1865.54-8102.05+6090.38</f>
        <v>17781.550000000003</v>
      </c>
      <c r="N91" s="273">
        <f>5384.83+3572.76+8100.09+725+145+1865.54-8102.05</f>
        <v>11691.170000000002</v>
      </c>
      <c r="O91" s="292">
        <f t="shared" si="4"/>
        <v>6090.380000000001</v>
      </c>
      <c r="P91" s="213">
        <v>8</v>
      </c>
      <c r="Q91" s="214">
        <v>8</v>
      </c>
      <c r="R91" s="215">
        <v>7</v>
      </c>
      <c r="S91" s="288">
        <f>6219.66+748.35+1502.94</f>
        <v>8470.9500000000007</v>
      </c>
      <c r="T91" s="288">
        <f>6219.66+748.35+1502.94</f>
        <v>8470.9500000000007</v>
      </c>
      <c r="U91" s="288">
        <f t="shared" si="5"/>
        <v>0</v>
      </c>
      <c r="V91" s="161"/>
    </row>
    <row r="92" spans="1:42" ht="20.100000000000001" customHeight="1" x14ac:dyDescent="0.25">
      <c r="A92" s="257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27</v>
      </c>
      <c r="I92" s="210">
        <v>20</v>
      </c>
      <c r="J92" s="210">
        <v>30</v>
      </c>
      <c r="K92" s="209">
        <v>30</v>
      </c>
      <c r="L92" s="210">
        <v>30</v>
      </c>
      <c r="M92" s="273">
        <f>2301.54+4352.56+3555.69+1798.94+1481.14+763.69+2342.6+947.21+1435.6+2658.12+788.44+3552.5+1744.93</f>
        <v>27722.959999999995</v>
      </c>
      <c r="N92" s="273">
        <f>2301.54+4352.56+3555.69+1798.94+1481.14+763.69+2342.6+947.21+4882.16</f>
        <v>22425.53</v>
      </c>
      <c r="O92" s="292">
        <f t="shared" si="4"/>
        <v>5297.4299999999967</v>
      </c>
      <c r="P92" s="213">
        <v>1</v>
      </c>
      <c r="Q92" s="214">
        <v>1</v>
      </c>
      <c r="R92" s="215">
        <v>1</v>
      </c>
      <c r="S92" s="288">
        <v>206.7</v>
      </c>
      <c r="T92" s="288">
        <v>206.7</v>
      </c>
      <c r="U92" s="288">
        <f t="shared" si="5"/>
        <v>0</v>
      </c>
      <c r="V92" s="161"/>
    </row>
    <row r="93" spans="1:42" ht="20.100000000000001" customHeight="1" x14ac:dyDescent="0.25">
      <c r="A93" s="257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125</v>
      </c>
      <c r="I93" s="210">
        <v>102</v>
      </c>
      <c r="J93" s="210">
        <v>125</v>
      </c>
      <c r="K93" s="209">
        <v>125</v>
      </c>
      <c r="L93" s="210">
        <v>109</v>
      </c>
      <c r="M93" s="273">
        <f>14656.12+3543.47+2420.25+2112.66+1299.21+2099.6+145+12320.24+7256.93+7391.73+3180.78+6298.93+4674.22+14249.72+7391.73-1965.34+2961.89-7862.9</f>
        <v>82174.239999999991</v>
      </c>
      <c r="N93" s="273">
        <f>14656.12+3543.47+2420.25+2112.66+1299.21+2099.6+145-10054.69+12320.24+13235.47+22185.39-6807.04</f>
        <v>57155.679999999993</v>
      </c>
      <c r="O93" s="292">
        <f t="shared" si="4"/>
        <v>25018.559999999998</v>
      </c>
      <c r="P93" s="213">
        <v>11</v>
      </c>
      <c r="Q93" s="214">
        <v>11</v>
      </c>
      <c r="R93" s="215">
        <v>11</v>
      </c>
      <c r="S93" s="288">
        <f>11083.64+344.5+3682.91</f>
        <v>15111.05</v>
      </c>
      <c r="T93" s="288">
        <f>11083.64+344.5</f>
        <v>11428.14</v>
      </c>
      <c r="U93" s="288">
        <f t="shared" si="5"/>
        <v>3682.91</v>
      </c>
      <c r="V93" s="161"/>
      <c r="AF93" s="145"/>
    </row>
    <row r="94" spans="1:42" s="58" customFormat="1" ht="20.100000000000001" customHeight="1" x14ac:dyDescent="0.25">
      <c r="A94" s="257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51</v>
      </c>
      <c r="I94" s="210">
        <v>29</v>
      </c>
      <c r="J94" s="210">
        <v>40</v>
      </c>
      <c r="K94" s="210">
        <v>39</v>
      </c>
      <c r="L94" s="210">
        <v>38</v>
      </c>
      <c r="M94" s="273">
        <f>6576.32+217.5+2898.52+939.6+1008.45+1200.17+3722.95+4136.2+2392.5+736.89+7024.11+3460.88+3411.85</f>
        <v>37725.94</v>
      </c>
      <c r="N94" s="273">
        <f>6576.32+217.5+2898.52+939.6+1008.45+1200.17+3722.95+14290.72</f>
        <v>30854.230000000003</v>
      </c>
      <c r="O94" s="292">
        <f t="shared" si="4"/>
        <v>6871.7099999999991</v>
      </c>
      <c r="P94" s="213">
        <v>25</v>
      </c>
      <c r="Q94" s="215">
        <v>25</v>
      </c>
      <c r="R94" s="215">
        <v>24</v>
      </c>
      <c r="S94" s="288">
        <f>18253.04+4245.2+858.65+1546.26+14802.65</f>
        <v>39705.800000000003</v>
      </c>
      <c r="T94" s="288">
        <f>18253.04+4245.2+858.65+1546.26+14802.65</f>
        <v>39705.800000000003</v>
      </c>
      <c r="U94" s="288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257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37</v>
      </c>
      <c r="I95" s="210">
        <v>17</v>
      </c>
      <c r="J95" s="210">
        <v>26</v>
      </c>
      <c r="K95" s="209">
        <v>26</v>
      </c>
      <c r="L95" s="210">
        <v>22</v>
      </c>
      <c r="M95" s="273">
        <f>2362.32+22110.36+455.21+2039.58+953.22+699.73+275.6+9654.91+1049.72+185.88+466.54-377.07+2356.1</f>
        <v>42232.1</v>
      </c>
      <c r="N95" s="273">
        <f>2362.32+22110.36+455.21+2039.58+953.22+699.73+275.6+9654.91+1049.72+185.88+466.54-377.07</f>
        <v>39876</v>
      </c>
      <c r="O95" s="292">
        <f t="shared" si="4"/>
        <v>2356.0999999999985</v>
      </c>
      <c r="P95" s="213">
        <v>16</v>
      </c>
      <c r="Q95" s="214">
        <v>16</v>
      </c>
      <c r="R95" s="215">
        <v>16</v>
      </c>
      <c r="S95" s="288">
        <f>24552.24+1001.28+122.46+1729.98-1</f>
        <v>27404.959999999999</v>
      </c>
      <c r="T95" s="288">
        <f>24552.24+1001.28+122.46+1729.98-1</f>
        <v>27404.959999999999</v>
      </c>
      <c r="U95" s="288">
        <f t="shared" si="5"/>
        <v>0</v>
      </c>
      <c r="V95" s="161"/>
    </row>
    <row r="96" spans="1:42" ht="20.100000000000001" customHeight="1" x14ac:dyDescent="0.25">
      <c r="A96" s="257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11</v>
      </c>
      <c r="I96" s="210">
        <v>9</v>
      </c>
      <c r="J96" s="210">
        <v>13</v>
      </c>
      <c r="K96" s="209">
        <v>12</v>
      </c>
      <c r="L96" s="210">
        <v>12</v>
      </c>
      <c r="M96" s="273">
        <f>826.8+2786.41+2401.3+725</f>
        <v>6739.51</v>
      </c>
      <c r="N96" s="273">
        <f>826.8+2786.41+2401.3+725</f>
        <v>6739.51</v>
      </c>
      <c r="O96" s="292">
        <f t="shared" si="4"/>
        <v>0</v>
      </c>
      <c r="P96" s="213"/>
      <c r="Q96" s="214"/>
      <c r="R96" s="215"/>
      <c r="S96" s="288"/>
      <c r="T96" s="288"/>
      <c r="U96" s="288">
        <f t="shared" si="5"/>
        <v>0</v>
      </c>
      <c r="V96" s="161"/>
    </row>
    <row r="97" spans="1:42" ht="31.5" x14ac:dyDescent="0.25">
      <c r="A97" s="257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14</v>
      </c>
      <c r="I97" s="210">
        <v>7</v>
      </c>
      <c r="J97" s="210">
        <v>8</v>
      </c>
      <c r="K97" s="209">
        <v>8</v>
      </c>
      <c r="L97" s="210">
        <v>8</v>
      </c>
      <c r="M97" s="273">
        <f>3172.93+1457.25+380.63</f>
        <v>5010.8100000000004</v>
      </c>
      <c r="N97" s="273">
        <f>3172.93+1457.25+380.63</f>
        <v>5010.8100000000004</v>
      </c>
      <c r="O97" s="292">
        <f t="shared" si="4"/>
        <v>0</v>
      </c>
      <c r="P97" s="213">
        <v>4</v>
      </c>
      <c r="Q97" s="214">
        <v>4</v>
      </c>
      <c r="R97" s="215">
        <v>4</v>
      </c>
      <c r="S97" s="288">
        <v>1744.35</v>
      </c>
      <c r="T97" s="288">
        <v>1744.35</v>
      </c>
      <c r="U97" s="288">
        <f t="shared" si="5"/>
        <v>0</v>
      </c>
      <c r="V97" s="161"/>
      <c r="AJ97"/>
      <c r="AK97"/>
      <c r="AL97"/>
      <c r="AM97"/>
      <c r="AN97"/>
      <c r="AO97"/>
      <c r="AP97"/>
    </row>
    <row r="98" spans="1:42" ht="31.5" x14ac:dyDescent="0.25">
      <c r="A98" s="257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20</v>
      </c>
      <c r="I98" s="210">
        <v>13</v>
      </c>
      <c r="J98" s="210">
        <v>15</v>
      </c>
      <c r="K98" s="209">
        <v>15</v>
      </c>
      <c r="L98" s="210">
        <v>15</v>
      </c>
      <c r="M98" s="273">
        <f>757.9+551.2+895.7+290+725+841.2+290+725+2.07+275.6</f>
        <v>5353.67</v>
      </c>
      <c r="N98" s="273">
        <f>757.9+551.2+895.7+290+725+841.2+290+725+2.07</f>
        <v>5078.07</v>
      </c>
      <c r="O98" s="292">
        <f t="shared" si="4"/>
        <v>275.60000000000036</v>
      </c>
      <c r="P98" s="213">
        <v>13</v>
      </c>
      <c r="Q98" s="214">
        <v>13</v>
      </c>
      <c r="R98" s="215">
        <v>13</v>
      </c>
      <c r="S98" s="288">
        <f>8034.56+3466.13+4060.73+413.4</f>
        <v>15974.82</v>
      </c>
      <c r="T98" s="288">
        <f>8034.56+3466.13+4060.73+413.4</f>
        <v>15974.82</v>
      </c>
      <c r="U98" s="288">
        <f t="shared" si="5"/>
        <v>0</v>
      </c>
      <c r="V98" s="161"/>
      <c r="AJ98"/>
      <c r="AK98"/>
      <c r="AL98"/>
      <c r="AM98"/>
      <c r="AN98"/>
      <c r="AO98"/>
      <c r="AP98"/>
    </row>
    <row r="99" spans="1:42" ht="31.5" x14ac:dyDescent="0.25">
      <c r="A99" s="257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30</v>
      </c>
      <c r="I99" s="210">
        <v>21</v>
      </c>
      <c r="J99" s="210">
        <v>27</v>
      </c>
      <c r="K99" s="209">
        <v>27</v>
      </c>
      <c r="L99" s="210">
        <v>26</v>
      </c>
      <c r="M99" s="273">
        <f>4783.23+1353.89+2195.41+1197.7+1340.79+681.5+699.48+1909.51+3782.49</f>
        <v>17944</v>
      </c>
      <c r="N99" s="273">
        <f>4783.23+1353.89+2195.41+1197.7+1340.79+681.5+699.48+1909.51+3782.49</f>
        <v>17944</v>
      </c>
      <c r="O99" s="292">
        <f t="shared" si="4"/>
        <v>0</v>
      </c>
      <c r="P99" s="213">
        <v>12</v>
      </c>
      <c r="Q99" s="214">
        <v>12</v>
      </c>
      <c r="R99" s="215">
        <v>12</v>
      </c>
      <c r="S99" s="288">
        <f>12321.66+1021.27+487.2+781.96</f>
        <v>14612.09</v>
      </c>
      <c r="T99" s="288">
        <f>12321.66+1021.27+487.2+781.96</f>
        <v>14612.09</v>
      </c>
      <c r="U99" s="288">
        <f t="shared" si="5"/>
        <v>0</v>
      </c>
      <c r="V99" s="161"/>
      <c r="AJ99"/>
      <c r="AK99"/>
      <c r="AL99"/>
      <c r="AM99"/>
      <c r="AN99"/>
      <c r="AO99"/>
      <c r="AP99"/>
    </row>
    <row r="100" spans="1:42" ht="31.5" x14ac:dyDescent="0.25">
      <c r="A100" s="257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61</v>
      </c>
      <c r="I100" s="210">
        <v>18</v>
      </c>
      <c r="J100" s="210">
        <v>26</v>
      </c>
      <c r="K100" s="209">
        <v>26</v>
      </c>
      <c r="L100" s="210">
        <v>26</v>
      </c>
      <c r="M100" s="273">
        <f>10862.96+2375.03+5632.11+356.47+2077.94+875.35+630.95+4495</f>
        <v>27305.809999999998</v>
      </c>
      <c r="N100" s="273">
        <f>10862.96+2375.03+5632.11+357.47+2077.94+1505.3</f>
        <v>22810.809999999998</v>
      </c>
      <c r="O100" s="292">
        <f t="shared" si="4"/>
        <v>4495</v>
      </c>
      <c r="P100" s="213">
        <v>11</v>
      </c>
      <c r="Q100" s="214">
        <v>11</v>
      </c>
      <c r="R100" s="215">
        <v>11</v>
      </c>
      <c r="S100" s="288">
        <f>4780.1+2135.9+620.1+1812.5</f>
        <v>9348.6</v>
      </c>
      <c r="T100" s="288">
        <f>4780.1+2135.9</f>
        <v>6916</v>
      </c>
      <c r="U100" s="288">
        <f t="shared" si="5"/>
        <v>2432.6000000000004</v>
      </c>
      <c r="V100" s="161"/>
      <c r="AF100" s="145"/>
      <c r="AJ100"/>
      <c r="AK100"/>
      <c r="AL100"/>
      <c r="AM100"/>
      <c r="AN100"/>
      <c r="AO100"/>
      <c r="AP100"/>
    </row>
    <row r="101" spans="1:42" ht="31.5" x14ac:dyDescent="0.25">
      <c r="A101" s="257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110</v>
      </c>
      <c r="I101" s="210">
        <v>73</v>
      </c>
      <c r="J101" s="210">
        <v>89</v>
      </c>
      <c r="K101" s="209">
        <v>89</v>
      </c>
      <c r="L101" s="210">
        <v>75</v>
      </c>
      <c r="M101" s="273">
        <f>16276.16+4466.66+1078.5+4011.53+435+1493.5+2243.15+1864.7+4804.86+840+5133.33+10737-380.89+4398.6+7811.98+1459.39+2529.16</f>
        <v>69202.63</v>
      </c>
      <c r="N101" s="273">
        <f>16276.16+4466.66+1078.5+4011.53+435+1493.5+2243.15-144.3-2415.9+5133.33+2766.9+7302.86</f>
        <v>42647.39</v>
      </c>
      <c r="O101" s="292">
        <f t="shared" si="4"/>
        <v>26555.240000000005</v>
      </c>
      <c r="P101" s="213">
        <v>38</v>
      </c>
      <c r="Q101" s="214">
        <v>38</v>
      </c>
      <c r="R101" s="215">
        <v>37</v>
      </c>
      <c r="S101" s="288">
        <f>21329.45-2252.12+532.3+345.99+26455.28+1.67+3039.85-3960.98+551.2+1658+1218+2016.16</f>
        <v>50934.799999999996</v>
      </c>
      <c r="T101" s="288">
        <f>21329.45-2252.12+532.3+345.99+26455.28+1.67+3039.85-3960.98+2209.2</f>
        <v>47700.639999999992</v>
      </c>
      <c r="U101" s="288">
        <f t="shared" si="5"/>
        <v>3234.1600000000035</v>
      </c>
      <c r="V101" s="161"/>
      <c r="AH101" s="145"/>
      <c r="AJ101"/>
      <c r="AK101"/>
      <c r="AL101"/>
      <c r="AM101"/>
      <c r="AN101"/>
      <c r="AO101"/>
      <c r="AP101"/>
    </row>
    <row r="102" spans="1:42" ht="31.5" x14ac:dyDescent="0.25">
      <c r="A102" s="257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16</v>
      </c>
      <c r="I102" s="217">
        <v>11</v>
      </c>
      <c r="J102" s="217">
        <v>15</v>
      </c>
      <c r="K102" s="216">
        <v>14</v>
      </c>
      <c r="L102" s="217">
        <v>14</v>
      </c>
      <c r="M102" s="293">
        <f>3259.83+1328.19+2964.21+8477.2+2525.13+577.1+702.39</f>
        <v>19834.05</v>
      </c>
      <c r="N102" s="293">
        <f>3259.83+1328.19+2964.21+8477.2+2525.13+577.1</f>
        <v>19131.66</v>
      </c>
      <c r="O102" s="292">
        <f t="shared" si="4"/>
        <v>702.38999999999942</v>
      </c>
      <c r="P102" s="219">
        <v>5</v>
      </c>
      <c r="Q102" s="220">
        <v>5</v>
      </c>
      <c r="R102" s="221">
        <v>5</v>
      </c>
      <c r="S102" s="290">
        <f>1193.3+5843.89</f>
        <v>7037.1900000000005</v>
      </c>
      <c r="T102" s="290">
        <f>1193.3+5843.89</f>
        <v>7037.1900000000005</v>
      </c>
      <c r="U102" s="290">
        <f t="shared" si="5"/>
        <v>0</v>
      </c>
      <c r="V102" s="161"/>
      <c r="AJ102"/>
      <c r="AK102"/>
      <c r="AL102"/>
      <c r="AM102"/>
      <c r="AN102"/>
      <c r="AO102"/>
      <c r="AP102"/>
    </row>
    <row r="103" spans="1:42" ht="31.5" x14ac:dyDescent="0.25">
      <c r="A103" s="257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29</v>
      </c>
      <c r="I103" s="210">
        <v>8</v>
      </c>
      <c r="J103" s="210">
        <v>10</v>
      </c>
      <c r="K103" s="209">
        <v>10</v>
      </c>
      <c r="L103" s="210">
        <v>10</v>
      </c>
      <c r="M103" s="273">
        <f>699.33+580+1941.55+1384.15</f>
        <v>4605.0300000000007</v>
      </c>
      <c r="N103" s="273">
        <f>699.33+580+1941.55+1384.15</f>
        <v>4605.0300000000007</v>
      </c>
      <c r="O103" s="292">
        <f t="shared" si="4"/>
        <v>0</v>
      </c>
      <c r="P103" s="215"/>
      <c r="Q103" s="214"/>
      <c r="R103" s="215"/>
      <c r="S103" s="288"/>
      <c r="T103" s="288"/>
      <c r="U103" s="290">
        <f t="shared" si="5"/>
        <v>0</v>
      </c>
      <c r="V103" s="161"/>
      <c r="AJ103"/>
      <c r="AK103"/>
      <c r="AL103"/>
      <c r="AM103"/>
      <c r="AN103"/>
      <c r="AO103"/>
      <c r="AP103"/>
    </row>
    <row r="104" spans="1:42" ht="31.5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210">
        <v>2</v>
      </c>
      <c r="J104" s="210">
        <v>2</v>
      </c>
      <c r="K104" s="209">
        <v>2</v>
      </c>
      <c r="L104" s="210">
        <v>2</v>
      </c>
      <c r="M104" s="273">
        <v>2252.12</v>
      </c>
      <c r="N104" s="273">
        <v>2252.12</v>
      </c>
      <c r="O104" s="292">
        <f t="shared" si="4"/>
        <v>0</v>
      </c>
      <c r="P104" s="215"/>
      <c r="Q104" s="214"/>
      <c r="R104" s="215"/>
      <c r="S104" s="288"/>
      <c r="T104" s="288"/>
      <c r="U104" s="288">
        <f t="shared" si="5"/>
        <v>0</v>
      </c>
      <c r="V104" s="161"/>
      <c r="W104" s="145"/>
      <c r="AF104" s="145"/>
      <c r="AH104" s="145"/>
      <c r="AJ104"/>
      <c r="AK104"/>
      <c r="AL104"/>
      <c r="AM104"/>
      <c r="AN104"/>
      <c r="AO104"/>
      <c r="AP104"/>
    </row>
    <row r="105" spans="1:42" x14ac:dyDescent="0.25">
      <c r="B105" s="362"/>
      <c r="C105" s="362"/>
      <c r="D105" s="362"/>
      <c r="E105" s="362"/>
      <c r="F105" s="362"/>
      <c r="G105" s="362"/>
      <c r="H105" s="119">
        <f t="shared" ref="H105:O105" si="7">SUM(H10:H104)</f>
        <v>3198</v>
      </c>
      <c r="I105" s="223">
        <f t="shared" si="7"/>
        <v>2008</v>
      </c>
      <c r="J105" s="223">
        <f t="shared" si="7"/>
        <v>2775</v>
      </c>
      <c r="K105" s="222">
        <f t="shared" si="7"/>
        <v>2746</v>
      </c>
      <c r="L105" s="223">
        <f t="shared" si="7"/>
        <v>2611</v>
      </c>
      <c r="M105" s="224">
        <f t="shared" si="7"/>
        <v>2220749.7999999989</v>
      </c>
      <c r="N105" s="224">
        <f t="shared" si="7"/>
        <v>1902697.8400000003</v>
      </c>
      <c r="O105" s="224">
        <f t="shared" si="7"/>
        <v>318051.95999999996</v>
      </c>
      <c r="P105" s="225">
        <f>SUM(P10:P104)</f>
        <v>785</v>
      </c>
      <c r="Q105" s="226">
        <f>SUM(Q10:Q104)</f>
        <v>785</v>
      </c>
      <c r="R105" s="225">
        <f>SUM(R11:R104)</f>
        <v>766</v>
      </c>
      <c r="S105" s="263">
        <f>SUM(S10:S104)</f>
        <v>1087008.4000000001</v>
      </c>
      <c r="T105" s="263">
        <f>SUM(T10:T104)</f>
        <v>1055537.32</v>
      </c>
      <c r="U105" s="263">
        <f>SUM(U10:U104)</f>
        <v>31471.080000000016</v>
      </c>
      <c r="V105" s="244"/>
      <c r="W105" s="245"/>
      <c r="X105" s="246"/>
      <c r="Y105" s="245"/>
      <c r="Z105" s="246"/>
      <c r="AA105" s="245"/>
      <c r="AB105" s="246"/>
      <c r="AC105" s="246"/>
      <c r="AD105" s="246"/>
      <c r="AE105" s="246"/>
      <c r="AF105" s="245"/>
      <c r="AG105" s="245"/>
      <c r="AH105" s="236"/>
      <c r="AJ105"/>
      <c r="AK105"/>
      <c r="AL105"/>
      <c r="AM105"/>
      <c r="AN105"/>
      <c r="AO105"/>
      <c r="AP105"/>
    </row>
    <row r="106" spans="1:42" x14ac:dyDescent="0.25">
      <c r="V106" s="245"/>
      <c r="W106" s="245"/>
      <c r="X106" s="246"/>
      <c r="Y106" s="245"/>
      <c r="Z106" s="246"/>
      <c r="AA106" s="246"/>
      <c r="AB106" s="246"/>
      <c r="AC106" s="246"/>
      <c r="AD106" s="246"/>
      <c r="AE106" s="246"/>
      <c r="AF106" s="245"/>
      <c r="AG106" s="246"/>
      <c r="AH106" s="235"/>
      <c r="AJ106"/>
      <c r="AK106"/>
      <c r="AL106"/>
      <c r="AM106"/>
      <c r="AN106"/>
      <c r="AO106"/>
      <c r="AP106"/>
    </row>
    <row r="107" spans="1:42" x14ac:dyDescent="0.25">
      <c r="V107" s="245"/>
      <c r="W107" s="245"/>
      <c r="X107" s="246"/>
      <c r="Y107" s="246"/>
      <c r="Z107" s="246"/>
      <c r="AA107" s="246"/>
      <c r="AB107" s="246"/>
      <c r="AC107" s="246"/>
      <c r="AD107" s="246"/>
      <c r="AE107" s="246"/>
      <c r="AF107" s="245"/>
      <c r="AG107" s="245"/>
      <c r="AH107" s="234"/>
      <c r="AI107" s="145"/>
      <c r="AJ107" s="59"/>
      <c r="AK107"/>
      <c r="AL107"/>
      <c r="AM107"/>
      <c r="AN107"/>
      <c r="AO107"/>
      <c r="AP107"/>
    </row>
    <row r="108" spans="1:42" x14ac:dyDescent="0.25">
      <c r="V108" s="145"/>
      <c r="W108" s="145"/>
      <c r="AF108" s="234"/>
      <c r="AG108" s="234"/>
      <c r="AH108" s="235"/>
      <c r="AJ108"/>
      <c r="AK108"/>
      <c r="AL108"/>
      <c r="AM108"/>
      <c r="AN108"/>
      <c r="AO108"/>
      <c r="AP108"/>
    </row>
    <row r="109" spans="1:42" x14ac:dyDescent="0.25">
      <c r="V109" s="145"/>
      <c r="AF109" s="235"/>
      <c r="AG109" s="235"/>
      <c r="AH109" s="234"/>
      <c r="AJ109"/>
      <c r="AK109"/>
      <c r="AL109"/>
      <c r="AM109"/>
      <c r="AN109"/>
      <c r="AO109"/>
      <c r="AP109"/>
    </row>
    <row r="110" spans="1:42" x14ac:dyDescent="0.25">
      <c r="V110" s="145"/>
      <c r="AF110" s="235"/>
      <c r="AG110" s="235"/>
      <c r="AH110" s="234"/>
      <c r="AJ110"/>
      <c r="AK110"/>
      <c r="AL110"/>
      <c r="AM110"/>
      <c r="AN110"/>
      <c r="AO110"/>
      <c r="AP110"/>
    </row>
    <row r="111" spans="1:42" x14ac:dyDescent="0.25">
      <c r="AF111" s="235"/>
      <c r="AG111" s="235"/>
      <c r="AH111" s="235"/>
      <c r="AJ111"/>
      <c r="AK111"/>
      <c r="AL111"/>
      <c r="AM111"/>
      <c r="AN111"/>
      <c r="AO111"/>
      <c r="AP111"/>
    </row>
    <row r="112" spans="1:42" x14ac:dyDescent="0.25">
      <c r="AF112" s="235"/>
      <c r="AG112" s="235"/>
      <c r="AH112" s="235"/>
      <c r="AJ112"/>
      <c r="AK112"/>
      <c r="AL112"/>
      <c r="AM112"/>
      <c r="AN112"/>
      <c r="AO112"/>
      <c r="AP112"/>
    </row>
    <row r="113" spans="1:42" ht="15" x14ac:dyDescent="0.25">
      <c r="A113" s="258"/>
      <c r="B113"/>
      <c r="C113"/>
      <c r="D113"/>
      <c r="E113"/>
      <c r="F113"/>
      <c r="G113"/>
      <c r="H113"/>
      <c r="I113"/>
      <c r="J113" s="243"/>
      <c r="K113" s="243"/>
      <c r="L113" s="243"/>
      <c r="M113" s="243"/>
      <c r="N113" s="243"/>
      <c r="O113" s="243"/>
      <c r="P113" s="243"/>
      <c r="Q113" s="243"/>
      <c r="R113" s="243"/>
      <c r="S113" s="265"/>
      <c r="T113" s="265"/>
      <c r="U113" s="287"/>
      <c r="V113" s="59"/>
      <c r="W113"/>
      <c r="X113"/>
      <c r="Y113"/>
      <c r="Z113"/>
      <c r="AA113"/>
      <c r="AB113"/>
      <c r="AC113"/>
      <c r="AD113"/>
      <c r="AE113"/>
      <c r="AF113" s="235"/>
      <c r="AG113" s="235"/>
      <c r="AH113" s="235"/>
      <c r="AI113"/>
      <c r="AJ113"/>
      <c r="AK113"/>
      <c r="AL113"/>
      <c r="AM113"/>
      <c r="AN113"/>
      <c r="AO113"/>
      <c r="AP113"/>
    </row>
    <row r="114" spans="1:42" ht="15" x14ac:dyDescent="0.25">
      <c r="A114" s="258"/>
      <c r="B114"/>
      <c r="C114"/>
      <c r="D114"/>
      <c r="E114"/>
      <c r="F114"/>
      <c r="G114"/>
      <c r="H114"/>
      <c r="I114"/>
      <c r="J114" s="243"/>
      <c r="K114" s="243"/>
      <c r="L114" s="243"/>
      <c r="M114" s="243"/>
      <c r="N114" s="243"/>
      <c r="O114" s="243"/>
      <c r="P114" s="243"/>
      <c r="Q114" s="243"/>
      <c r="R114" s="243"/>
      <c r="S114" s="265"/>
      <c r="T114" s="265"/>
      <c r="U114" s="265"/>
      <c r="V114"/>
      <c r="W114"/>
      <c r="X114"/>
      <c r="Y114"/>
      <c r="Z114"/>
      <c r="AA114"/>
      <c r="AB114"/>
      <c r="AC114"/>
      <c r="AD114"/>
      <c r="AE114"/>
      <c r="AF114" s="235"/>
      <c r="AG114" s="235"/>
      <c r="AH114" s="235"/>
      <c r="AI114"/>
      <c r="AJ114"/>
      <c r="AK114"/>
      <c r="AL114"/>
      <c r="AM114"/>
      <c r="AN114"/>
      <c r="AO114"/>
      <c r="AP114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conditionalFormatting sqref="S45">
    <cfRule type="cellIs" dxfId="138" priority="31" stopIfTrue="1" operator="equal">
      <formula>0</formula>
    </cfRule>
  </conditionalFormatting>
  <conditionalFormatting sqref="AL45">
    <cfRule type="cellIs" dxfId="137" priority="30" stopIfTrue="1" operator="equal">
      <formula>0</formula>
    </cfRule>
  </conditionalFormatting>
  <conditionalFormatting sqref="T45">
    <cfRule type="cellIs" dxfId="136" priority="29" stopIfTrue="1" operator="equal">
      <formula>0</formula>
    </cfRule>
  </conditionalFormatting>
  <conditionalFormatting sqref="T45">
    <cfRule type="cellIs" dxfId="135" priority="28" stopIfTrue="1" operator="equal">
      <formula>0</formula>
    </cfRule>
  </conditionalFormatting>
  <conditionalFormatting sqref="T45">
    <cfRule type="cellIs" dxfId="134" priority="27" stopIfTrue="1" operator="equal">
      <formula>0</formula>
    </cfRule>
  </conditionalFormatting>
  <conditionalFormatting sqref="T45">
    <cfRule type="cellIs" dxfId="133" priority="26" stopIfTrue="1" operator="equal">
      <formula>0</formula>
    </cfRule>
  </conditionalFormatting>
  <conditionalFormatting sqref="T45">
    <cfRule type="cellIs" dxfId="132" priority="25" stopIfTrue="1" operator="equal">
      <formula>0</formula>
    </cfRule>
  </conditionalFormatting>
  <conditionalFormatting sqref="T45">
    <cfRule type="cellIs" dxfId="131" priority="24" stopIfTrue="1" operator="equal">
      <formula>0</formula>
    </cfRule>
  </conditionalFormatting>
  <conditionalFormatting sqref="T45">
    <cfRule type="cellIs" dxfId="130" priority="23" stopIfTrue="1" operator="equal">
      <formula>0</formula>
    </cfRule>
  </conditionalFormatting>
  <conditionalFormatting sqref="T45">
    <cfRule type="cellIs" dxfId="129" priority="22" stopIfTrue="1" operator="equal">
      <formula>0</formula>
    </cfRule>
  </conditionalFormatting>
  <conditionalFormatting sqref="T45">
    <cfRule type="cellIs" dxfId="128" priority="21" stopIfTrue="1" operator="equal">
      <formula>0</formula>
    </cfRule>
  </conditionalFormatting>
  <conditionalFormatting sqref="S45">
    <cfRule type="cellIs" dxfId="127" priority="20" stopIfTrue="1" operator="equal">
      <formula>0</formula>
    </cfRule>
  </conditionalFormatting>
  <conditionalFormatting sqref="T45">
    <cfRule type="cellIs" dxfId="126" priority="19" stopIfTrue="1" operator="equal">
      <formula>0</formula>
    </cfRule>
  </conditionalFormatting>
  <conditionalFormatting sqref="T45">
    <cfRule type="cellIs" dxfId="125" priority="18" stopIfTrue="1" operator="equal">
      <formula>0</formula>
    </cfRule>
  </conditionalFormatting>
  <conditionalFormatting sqref="T45">
    <cfRule type="cellIs" dxfId="124" priority="17" stopIfTrue="1" operator="equal">
      <formula>0</formula>
    </cfRule>
  </conditionalFormatting>
  <conditionalFormatting sqref="T45">
    <cfRule type="cellIs" dxfId="123" priority="16" stopIfTrue="1" operator="equal">
      <formula>0</formula>
    </cfRule>
  </conditionalFormatting>
  <conditionalFormatting sqref="T45">
    <cfRule type="cellIs" dxfId="122" priority="15" stopIfTrue="1" operator="equal">
      <formula>0</formula>
    </cfRule>
  </conditionalFormatting>
  <conditionalFormatting sqref="T45">
    <cfRule type="cellIs" dxfId="121" priority="14" stopIfTrue="1" operator="equal">
      <formula>0</formula>
    </cfRule>
  </conditionalFormatting>
  <conditionalFormatting sqref="T45">
    <cfRule type="cellIs" dxfId="120" priority="13" stopIfTrue="1" operator="equal">
      <formula>0</formula>
    </cfRule>
  </conditionalFormatting>
  <conditionalFormatting sqref="T45">
    <cfRule type="cellIs" dxfId="119" priority="12" stopIfTrue="1" operator="equal">
      <formula>0</formula>
    </cfRule>
  </conditionalFormatting>
  <conditionalFormatting sqref="T45">
    <cfRule type="cellIs" dxfId="118" priority="11" stopIfTrue="1" operator="equal">
      <formula>0</formula>
    </cfRule>
  </conditionalFormatting>
  <conditionalFormatting sqref="S45">
    <cfRule type="cellIs" dxfId="117" priority="10" stopIfTrue="1" operator="equal">
      <formula>0</formula>
    </cfRule>
  </conditionalFormatting>
  <conditionalFormatting sqref="T45">
    <cfRule type="cellIs" dxfId="116" priority="9" stopIfTrue="1" operator="equal">
      <formula>0</formula>
    </cfRule>
  </conditionalFormatting>
  <conditionalFormatting sqref="T45">
    <cfRule type="cellIs" dxfId="115" priority="8" stopIfTrue="1" operator="equal">
      <formula>0</formula>
    </cfRule>
  </conditionalFormatting>
  <conditionalFormatting sqref="T45">
    <cfRule type="cellIs" dxfId="114" priority="7" stopIfTrue="1" operator="equal">
      <formula>0</formula>
    </cfRule>
  </conditionalFormatting>
  <conditionalFormatting sqref="T45">
    <cfRule type="cellIs" dxfId="113" priority="6" stopIfTrue="1" operator="equal">
      <formula>0</formula>
    </cfRule>
  </conditionalFormatting>
  <conditionalFormatting sqref="T45">
    <cfRule type="cellIs" dxfId="112" priority="5" stopIfTrue="1" operator="equal">
      <formula>0</formula>
    </cfRule>
  </conditionalFormatting>
  <conditionalFormatting sqref="T45">
    <cfRule type="cellIs" dxfId="111" priority="4" stopIfTrue="1" operator="equal">
      <formula>0</formula>
    </cfRule>
  </conditionalFormatting>
  <conditionalFormatting sqref="T45">
    <cfRule type="cellIs" dxfId="110" priority="3" stopIfTrue="1" operator="equal">
      <formula>0</formula>
    </cfRule>
  </conditionalFormatting>
  <conditionalFormatting sqref="T45">
    <cfRule type="cellIs" dxfId="109" priority="2" stopIfTrue="1" operator="equal">
      <formula>0</formula>
    </cfRule>
  </conditionalFormatting>
  <conditionalFormatting sqref="T45">
    <cfRule type="cellIs" dxfId="108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3"/>
  <sheetViews>
    <sheetView topLeftCell="A49" workbookViewId="0">
      <selection activeCell="C74" sqref="A74:IV74"/>
    </sheetView>
  </sheetViews>
  <sheetFormatPr defaultRowHeight="15" x14ac:dyDescent="0.25"/>
  <cols>
    <col min="2" max="2" width="40.85546875" customWidth="1"/>
    <col min="3" max="3" width="9.140625" customWidth="1"/>
    <col min="4" max="4" width="11.140625" customWidth="1"/>
    <col min="5" max="5" width="26.42578125" customWidth="1"/>
    <col min="6" max="6" width="17.5703125" customWidth="1"/>
    <col min="7" max="8" width="12.7109375" customWidth="1"/>
    <col min="9" max="10" width="13.5703125" customWidth="1"/>
    <col min="11" max="11" width="12.85546875" customWidth="1"/>
    <col min="12" max="12" width="13" style="55" customWidth="1"/>
    <col min="13" max="13" width="14.140625" style="55" customWidth="1"/>
    <col min="14" max="15" width="13" style="55" customWidth="1"/>
    <col min="16" max="16" width="13.42578125" style="55" customWidth="1"/>
    <col min="17" max="17" width="14.5703125" style="55" customWidth="1"/>
    <col min="18" max="18" width="12.5703125" style="55" customWidth="1"/>
    <col min="19" max="19" width="13.42578125" style="55" customWidth="1"/>
    <col min="20" max="20" width="14.140625" style="55" customWidth="1"/>
  </cols>
  <sheetData>
    <row r="1" spans="1:20" ht="15.75" thickBot="1" x14ac:dyDescent="0.3">
      <c r="A1" s="310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2"/>
      <c r="R1" s="313" t="s">
        <v>17</v>
      </c>
      <c r="S1" s="313"/>
      <c r="T1" s="313"/>
    </row>
    <row r="2" spans="1:20" x14ac:dyDescent="0.25">
      <c r="A2" s="295" t="s">
        <v>132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7"/>
    </row>
    <row r="3" spans="1:20" x14ac:dyDescent="0.25">
      <c r="A3" s="298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300"/>
    </row>
    <row r="4" spans="1:20" x14ac:dyDescent="0.25">
      <c r="A4" s="298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300"/>
    </row>
    <row r="5" spans="1:20" x14ac:dyDescent="0.25">
      <c r="A5" s="298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300"/>
    </row>
    <row r="6" spans="1:20" ht="15.75" thickBot="1" x14ac:dyDescent="0.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3"/>
    </row>
    <row r="7" spans="1:20" ht="84.75" customHeight="1" thickBot="1" x14ac:dyDescent="0.3">
      <c r="A7" s="305" t="s">
        <v>0</v>
      </c>
      <c r="B7" s="307" t="s">
        <v>1</v>
      </c>
      <c r="C7" s="308"/>
      <c r="D7" s="308"/>
      <c r="E7" s="308"/>
      <c r="F7" s="309"/>
      <c r="G7" s="307" t="s">
        <v>2</v>
      </c>
      <c r="H7" s="308"/>
      <c r="I7" s="308"/>
      <c r="J7" s="308"/>
      <c r="K7" s="308"/>
      <c r="L7" s="308"/>
      <c r="M7" s="308"/>
      <c r="N7" s="309"/>
      <c r="O7" s="314" t="s">
        <v>252</v>
      </c>
      <c r="P7" s="315"/>
      <c r="Q7" s="315"/>
      <c r="R7" s="315"/>
      <c r="S7" s="315"/>
      <c r="T7" s="316"/>
    </row>
    <row r="8" spans="1:20" ht="165.75" x14ac:dyDescent="0.25">
      <c r="A8" s="306"/>
      <c r="B8" s="8" t="s">
        <v>4</v>
      </c>
      <c r="C8" s="8" t="s">
        <v>5</v>
      </c>
      <c r="D8" s="8" t="s">
        <v>6</v>
      </c>
      <c r="E8" s="8" t="s">
        <v>7</v>
      </c>
      <c r="F8" s="9" t="s">
        <v>8</v>
      </c>
      <c r="G8" s="7" t="s">
        <v>9</v>
      </c>
      <c r="H8" s="8" t="s">
        <v>10</v>
      </c>
      <c r="I8" s="8" t="s">
        <v>11</v>
      </c>
      <c r="J8" s="8" t="s">
        <v>12</v>
      </c>
      <c r="K8" s="8" t="s">
        <v>13</v>
      </c>
      <c r="L8" s="40" t="s">
        <v>14</v>
      </c>
      <c r="M8" s="40" t="s">
        <v>15</v>
      </c>
      <c r="N8" s="41" t="s">
        <v>16</v>
      </c>
      <c r="O8" s="42" t="s">
        <v>11</v>
      </c>
      <c r="P8" s="40" t="s">
        <v>12</v>
      </c>
      <c r="Q8" s="40" t="s">
        <v>13</v>
      </c>
      <c r="R8" s="40" t="s">
        <v>14</v>
      </c>
      <c r="S8" s="40" t="s">
        <v>15</v>
      </c>
      <c r="T8" s="41" t="s">
        <v>16</v>
      </c>
    </row>
    <row r="9" spans="1:20" x14ac:dyDescent="0.25">
      <c r="A9" s="4">
        <v>1</v>
      </c>
      <c r="B9" s="1">
        <v>2</v>
      </c>
      <c r="C9" s="1">
        <v>3</v>
      </c>
      <c r="D9" s="1">
        <v>4</v>
      </c>
      <c r="E9" s="1">
        <v>5</v>
      </c>
      <c r="F9" s="5">
        <v>6</v>
      </c>
      <c r="G9" s="4">
        <f>F9+1</f>
        <v>7</v>
      </c>
      <c r="H9" s="1">
        <f t="shared" ref="H9:T9" si="0">G9+1</f>
        <v>8</v>
      </c>
      <c r="I9" s="1">
        <f t="shared" si="0"/>
        <v>9</v>
      </c>
      <c r="J9" s="1">
        <f t="shared" si="0"/>
        <v>10</v>
      </c>
      <c r="K9" s="1">
        <f t="shared" si="0"/>
        <v>11</v>
      </c>
      <c r="L9" s="43">
        <f t="shared" si="0"/>
        <v>12</v>
      </c>
      <c r="M9" s="43">
        <f t="shared" si="0"/>
        <v>13</v>
      </c>
      <c r="N9" s="44">
        <f t="shared" si="0"/>
        <v>14</v>
      </c>
      <c r="O9" s="45">
        <f t="shared" si="0"/>
        <v>15</v>
      </c>
      <c r="P9" s="43">
        <f t="shared" si="0"/>
        <v>16</v>
      </c>
      <c r="Q9" s="43">
        <f t="shared" si="0"/>
        <v>17</v>
      </c>
      <c r="R9" s="43">
        <f t="shared" si="0"/>
        <v>18</v>
      </c>
      <c r="S9" s="43">
        <f t="shared" si="0"/>
        <v>19</v>
      </c>
      <c r="T9" s="44">
        <f t="shared" si="0"/>
        <v>20</v>
      </c>
    </row>
    <row r="10" spans="1:20" ht="15.75" x14ac:dyDescent="0.25">
      <c r="A10" s="3">
        <v>1</v>
      </c>
      <c r="B10" s="10" t="s">
        <v>18</v>
      </c>
      <c r="C10" s="15" t="s">
        <v>124</v>
      </c>
      <c r="D10" s="2"/>
      <c r="E10" s="16" t="s">
        <v>105</v>
      </c>
      <c r="F10" s="6" t="s">
        <v>138</v>
      </c>
      <c r="G10" s="26">
        <v>5</v>
      </c>
      <c r="H10" s="24">
        <v>3</v>
      </c>
      <c r="I10" s="24">
        <v>3</v>
      </c>
      <c r="J10" s="24"/>
      <c r="K10" s="24"/>
      <c r="L10" s="46"/>
      <c r="M10" s="46"/>
      <c r="N10" s="47">
        <f xml:space="preserve"> (L10-M10)</f>
        <v>0</v>
      </c>
      <c r="O10" s="48">
        <v>2</v>
      </c>
      <c r="P10" s="46"/>
      <c r="Q10" s="46"/>
      <c r="R10" s="46"/>
      <c r="S10" s="46"/>
      <c r="T10" s="47">
        <f xml:space="preserve"> (R10-S10)</f>
        <v>0</v>
      </c>
    </row>
    <row r="11" spans="1:20" ht="15.75" x14ac:dyDescent="0.25">
      <c r="A11" s="3">
        <f>A10+1</f>
        <v>2</v>
      </c>
      <c r="B11" s="10" t="s">
        <v>19</v>
      </c>
      <c r="C11" s="15" t="s">
        <v>124</v>
      </c>
      <c r="D11" s="2"/>
      <c r="E11" s="17" t="s">
        <v>106</v>
      </c>
      <c r="F11" s="6" t="s">
        <v>139</v>
      </c>
      <c r="G11" s="26"/>
      <c r="H11" s="24"/>
      <c r="I11" s="24"/>
      <c r="J11" s="24"/>
      <c r="K11" s="24"/>
      <c r="L11" s="46"/>
      <c r="M11" s="46"/>
      <c r="N11" s="47">
        <f t="shared" ref="N11:N79" si="1" xml:space="preserve"> (L11-M11)</f>
        <v>0</v>
      </c>
      <c r="O11" s="48">
        <v>1</v>
      </c>
      <c r="P11" s="46">
        <v>1</v>
      </c>
      <c r="Q11" s="46"/>
      <c r="R11" s="46"/>
      <c r="S11" s="46"/>
      <c r="T11" s="47">
        <f t="shared" ref="T11:T79" si="2" xml:space="preserve"> (R11-S11)</f>
        <v>0</v>
      </c>
    </row>
    <row r="12" spans="1:20" ht="15.75" x14ac:dyDescent="0.25">
      <c r="A12" s="3">
        <f t="shared" ref="A12:A79" si="3">A11+1</f>
        <v>3</v>
      </c>
      <c r="B12" s="11" t="s">
        <v>20</v>
      </c>
      <c r="C12" s="15" t="s">
        <v>124</v>
      </c>
      <c r="D12" s="2"/>
      <c r="E12" s="17" t="s">
        <v>107</v>
      </c>
      <c r="F12" s="6"/>
      <c r="G12" s="26"/>
      <c r="H12" s="24"/>
      <c r="I12" s="24"/>
      <c r="J12" s="24"/>
      <c r="K12" s="24"/>
      <c r="L12" s="46"/>
      <c r="M12" s="46"/>
      <c r="N12" s="47">
        <f t="shared" si="1"/>
        <v>0</v>
      </c>
      <c r="O12" s="48"/>
      <c r="P12" s="46"/>
      <c r="Q12" s="46"/>
      <c r="R12" s="46"/>
      <c r="S12" s="46"/>
      <c r="T12" s="47">
        <f t="shared" si="2"/>
        <v>0</v>
      </c>
    </row>
    <row r="13" spans="1:20" ht="15.75" x14ac:dyDescent="0.25">
      <c r="A13" s="3">
        <f t="shared" si="3"/>
        <v>4</v>
      </c>
      <c r="B13" s="11" t="s">
        <v>21</v>
      </c>
      <c r="C13" s="15" t="s">
        <v>124</v>
      </c>
      <c r="D13" s="2"/>
      <c r="E13" s="17" t="s">
        <v>108</v>
      </c>
      <c r="F13" s="6" t="s">
        <v>140</v>
      </c>
      <c r="G13" s="26">
        <v>2</v>
      </c>
      <c r="H13" s="24">
        <v>1</v>
      </c>
      <c r="I13" s="24">
        <v>1</v>
      </c>
      <c r="J13" s="24"/>
      <c r="K13" s="24"/>
      <c r="L13" s="46"/>
      <c r="M13" s="46"/>
      <c r="N13" s="47">
        <f t="shared" si="1"/>
        <v>0</v>
      </c>
      <c r="O13" s="48">
        <v>3</v>
      </c>
      <c r="P13" s="46"/>
      <c r="Q13" s="46"/>
      <c r="R13" s="46"/>
      <c r="S13" s="46"/>
      <c r="T13" s="47">
        <f t="shared" si="2"/>
        <v>0</v>
      </c>
    </row>
    <row r="14" spans="1:20" ht="15.75" x14ac:dyDescent="0.25">
      <c r="A14" s="3">
        <f t="shared" si="3"/>
        <v>5</v>
      </c>
      <c r="B14" s="10" t="s">
        <v>22</v>
      </c>
      <c r="C14" s="15" t="s">
        <v>124</v>
      </c>
      <c r="D14" s="2"/>
      <c r="E14" s="17" t="s">
        <v>106</v>
      </c>
      <c r="F14" s="6" t="s">
        <v>141</v>
      </c>
      <c r="G14" s="26">
        <v>3</v>
      </c>
      <c r="H14" s="24"/>
      <c r="I14" s="24"/>
      <c r="J14" s="24"/>
      <c r="K14" s="24"/>
      <c r="L14" s="46"/>
      <c r="M14" s="46"/>
      <c r="N14" s="47">
        <f t="shared" si="1"/>
        <v>0</v>
      </c>
      <c r="O14" s="48"/>
      <c r="P14" s="46"/>
      <c r="Q14" s="46"/>
      <c r="R14" s="46"/>
      <c r="S14" s="46"/>
      <c r="T14" s="47">
        <f t="shared" si="2"/>
        <v>0</v>
      </c>
    </row>
    <row r="15" spans="1:20" ht="15.75" x14ac:dyDescent="0.25">
      <c r="A15" s="3">
        <f t="shared" si="3"/>
        <v>6</v>
      </c>
      <c r="B15" s="10" t="s">
        <v>23</v>
      </c>
      <c r="C15" s="15" t="s">
        <v>124</v>
      </c>
      <c r="D15" s="2"/>
      <c r="E15" s="17" t="s">
        <v>106</v>
      </c>
      <c r="F15" s="6" t="s">
        <v>142</v>
      </c>
      <c r="G15" s="26">
        <v>5</v>
      </c>
      <c r="H15" s="24"/>
      <c r="I15" s="24"/>
      <c r="J15" s="24"/>
      <c r="K15" s="24"/>
      <c r="L15" s="46"/>
      <c r="M15" s="46"/>
      <c r="N15" s="47">
        <f t="shared" si="1"/>
        <v>0</v>
      </c>
      <c r="O15" s="48">
        <v>5</v>
      </c>
      <c r="P15" s="46">
        <v>4</v>
      </c>
      <c r="Q15" s="46"/>
      <c r="R15" s="46"/>
      <c r="S15" s="46"/>
      <c r="T15" s="47">
        <f t="shared" si="2"/>
        <v>0</v>
      </c>
    </row>
    <row r="16" spans="1:20" ht="15.75" x14ac:dyDescent="0.25">
      <c r="A16" s="3">
        <f t="shared" si="3"/>
        <v>7</v>
      </c>
      <c r="B16" s="10" t="s">
        <v>133</v>
      </c>
      <c r="C16" s="15" t="s">
        <v>124</v>
      </c>
      <c r="D16" s="2"/>
      <c r="E16" s="17" t="s">
        <v>106</v>
      </c>
      <c r="F16" s="6" t="s">
        <v>143</v>
      </c>
      <c r="G16" s="26"/>
      <c r="H16" s="24"/>
      <c r="I16" s="24"/>
      <c r="J16" s="24"/>
      <c r="K16" s="24"/>
      <c r="L16" s="46"/>
      <c r="M16" s="46"/>
      <c r="N16" s="47">
        <f t="shared" si="1"/>
        <v>0</v>
      </c>
      <c r="O16" s="48"/>
      <c r="P16" s="46"/>
      <c r="Q16" s="46"/>
      <c r="R16" s="46"/>
      <c r="S16" s="46"/>
      <c r="T16" s="47">
        <f t="shared" si="2"/>
        <v>0</v>
      </c>
    </row>
    <row r="17" spans="1:20" ht="15.75" x14ac:dyDescent="0.25">
      <c r="A17" s="3">
        <f t="shared" si="3"/>
        <v>8</v>
      </c>
      <c r="B17" s="10" t="s">
        <v>24</v>
      </c>
      <c r="C17" s="15" t="s">
        <v>124</v>
      </c>
      <c r="D17" s="2"/>
      <c r="E17" s="17" t="s">
        <v>109</v>
      </c>
      <c r="F17" s="6" t="s">
        <v>144</v>
      </c>
      <c r="G17" s="26">
        <v>2</v>
      </c>
      <c r="H17" s="24"/>
      <c r="I17" s="24"/>
      <c r="J17" s="24"/>
      <c r="K17" s="24"/>
      <c r="L17" s="46"/>
      <c r="M17" s="46"/>
      <c r="N17" s="47">
        <f t="shared" si="1"/>
        <v>0</v>
      </c>
      <c r="O17" s="48"/>
      <c r="P17" s="46"/>
      <c r="Q17" s="46"/>
      <c r="R17" s="46"/>
      <c r="S17" s="46"/>
      <c r="T17" s="47">
        <f t="shared" si="2"/>
        <v>0</v>
      </c>
    </row>
    <row r="18" spans="1:20" ht="15.75" x14ac:dyDescent="0.25">
      <c r="A18" s="3">
        <f t="shared" si="3"/>
        <v>9</v>
      </c>
      <c r="B18" s="10" t="s">
        <v>25</v>
      </c>
      <c r="C18" s="15" t="s">
        <v>124</v>
      </c>
      <c r="D18" s="2"/>
      <c r="E18" s="18" t="s">
        <v>110</v>
      </c>
      <c r="F18" s="6" t="s">
        <v>145</v>
      </c>
      <c r="G18" s="26"/>
      <c r="H18" s="24"/>
      <c r="I18" s="24"/>
      <c r="J18" s="24"/>
      <c r="K18" s="24"/>
      <c r="L18" s="46"/>
      <c r="M18" s="46"/>
      <c r="N18" s="47">
        <f t="shared" si="1"/>
        <v>0</v>
      </c>
      <c r="O18" s="48">
        <v>1</v>
      </c>
      <c r="P18" s="46"/>
      <c r="Q18" s="46"/>
      <c r="R18" s="46"/>
      <c r="S18" s="46"/>
      <c r="T18" s="47">
        <f t="shared" si="2"/>
        <v>0</v>
      </c>
    </row>
    <row r="19" spans="1:20" ht="15.75" x14ac:dyDescent="0.25">
      <c r="A19" s="3">
        <f t="shared" si="3"/>
        <v>10</v>
      </c>
      <c r="B19" s="12" t="s">
        <v>26</v>
      </c>
      <c r="C19" s="15" t="s">
        <v>124</v>
      </c>
      <c r="D19" s="2"/>
      <c r="E19" s="19" t="s">
        <v>107</v>
      </c>
      <c r="F19" s="6" t="s">
        <v>146</v>
      </c>
      <c r="G19" s="26">
        <v>7</v>
      </c>
      <c r="H19" s="24">
        <v>3</v>
      </c>
      <c r="I19" s="24">
        <v>4</v>
      </c>
      <c r="J19" s="24">
        <v>1</v>
      </c>
      <c r="K19" s="24"/>
      <c r="L19" s="46"/>
      <c r="M19" s="46"/>
      <c r="N19" s="47">
        <f t="shared" si="1"/>
        <v>0</v>
      </c>
      <c r="O19" s="48">
        <v>5</v>
      </c>
      <c r="P19" s="46">
        <v>5</v>
      </c>
      <c r="Q19" s="46"/>
      <c r="R19" s="46"/>
      <c r="S19" s="46"/>
      <c r="T19" s="47">
        <f t="shared" si="2"/>
        <v>0</v>
      </c>
    </row>
    <row r="20" spans="1:20" ht="15.75" x14ac:dyDescent="0.25">
      <c r="A20" s="3">
        <f t="shared" si="3"/>
        <v>11</v>
      </c>
      <c r="B20" s="11" t="s">
        <v>27</v>
      </c>
      <c r="C20" s="15" t="s">
        <v>124</v>
      </c>
      <c r="D20" s="2"/>
      <c r="E20" s="17" t="s">
        <v>111</v>
      </c>
      <c r="F20" s="6" t="s">
        <v>147</v>
      </c>
      <c r="G20" s="26">
        <v>4</v>
      </c>
      <c r="H20" s="24"/>
      <c r="I20" s="24"/>
      <c r="J20" s="24"/>
      <c r="K20" s="24"/>
      <c r="L20" s="46"/>
      <c r="M20" s="46"/>
      <c r="N20" s="47">
        <f t="shared" si="1"/>
        <v>0</v>
      </c>
      <c r="O20" s="48">
        <v>11</v>
      </c>
      <c r="P20" s="46">
        <v>9</v>
      </c>
      <c r="Q20" s="46"/>
      <c r="R20" s="46"/>
      <c r="S20" s="46"/>
      <c r="T20" s="47">
        <f t="shared" si="2"/>
        <v>0</v>
      </c>
    </row>
    <row r="21" spans="1:20" ht="15.75" x14ac:dyDescent="0.25">
      <c r="A21" s="3">
        <f t="shared" si="3"/>
        <v>12</v>
      </c>
      <c r="B21" s="10" t="s">
        <v>28</v>
      </c>
      <c r="C21" s="15" t="s">
        <v>124</v>
      </c>
      <c r="D21" s="2"/>
      <c r="E21" s="17" t="s">
        <v>106</v>
      </c>
      <c r="F21" s="6" t="s">
        <v>148</v>
      </c>
      <c r="G21" s="26">
        <v>1</v>
      </c>
      <c r="H21" s="24"/>
      <c r="I21" s="24"/>
      <c r="J21" s="24"/>
      <c r="K21" s="24"/>
      <c r="L21" s="46"/>
      <c r="M21" s="46"/>
      <c r="N21" s="47">
        <f t="shared" si="1"/>
        <v>0</v>
      </c>
      <c r="O21" s="48">
        <v>1</v>
      </c>
      <c r="P21" s="46">
        <v>1</v>
      </c>
      <c r="Q21" s="46"/>
      <c r="R21" s="46"/>
      <c r="S21" s="46"/>
      <c r="T21" s="47">
        <f t="shared" si="2"/>
        <v>0</v>
      </c>
    </row>
    <row r="22" spans="1:20" ht="15.75" x14ac:dyDescent="0.25">
      <c r="A22" s="3">
        <f t="shared" si="3"/>
        <v>13</v>
      </c>
      <c r="B22" s="10" t="s">
        <v>29</v>
      </c>
      <c r="C22" s="15" t="s">
        <v>124</v>
      </c>
      <c r="D22" s="2"/>
      <c r="E22" s="20" t="s">
        <v>112</v>
      </c>
      <c r="F22" s="6" t="s">
        <v>149</v>
      </c>
      <c r="G22" s="26">
        <v>9</v>
      </c>
      <c r="H22" s="24">
        <v>1</v>
      </c>
      <c r="I22" s="24">
        <v>1</v>
      </c>
      <c r="J22" s="24"/>
      <c r="K22" s="24"/>
      <c r="L22" s="46"/>
      <c r="M22" s="46"/>
      <c r="N22" s="47">
        <f t="shared" si="1"/>
        <v>0</v>
      </c>
      <c r="O22" s="48">
        <v>13</v>
      </c>
      <c r="P22" s="46"/>
      <c r="Q22" s="46"/>
      <c r="R22" s="46"/>
      <c r="S22" s="46"/>
      <c r="T22" s="47">
        <f t="shared" si="2"/>
        <v>0</v>
      </c>
    </row>
    <row r="23" spans="1:20" ht="15.75" x14ac:dyDescent="0.25">
      <c r="A23" s="3">
        <f t="shared" si="3"/>
        <v>14</v>
      </c>
      <c r="B23" s="12" t="s">
        <v>30</v>
      </c>
      <c r="C23" s="15" t="s">
        <v>124</v>
      </c>
      <c r="D23" s="2"/>
      <c r="E23" s="19" t="s">
        <v>111</v>
      </c>
      <c r="F23" s="6" t="s">
        <v>150</v>
      </c>
      <c r="G23" s="26">
        <v>4</v>
      </c>
      <c r="H23" s="24">
        <v>2</v>
      </c>
      <c r="I23" s="24">
        <v>2</v>
      </c>
      <c r="J23" s="24"/>
      <c r="K23" s="24"/>
      <c r="L23" s="46"/>
      <c r="M23" s="46"/>
      <c r="N23" s="47">
        <f t="shared" si="1"/>
        <v>0</v>
      </c>
      <c r="O23" s="48">
        <v>9</v>
      </c>
      <c r="P23" s="46">
        <v>5</v>
      </c>
      <c r="Q23" s="46"/>
      <c r="R23" s="46"/>
      <c r="S23" s="46"/>
      <c r="T23" s="47">
        <f t="shared" si="2"/>
        <v>0</v>
      </c>
    </row>
    <row r="24" spans="1:20" ht="15.75" x14ac:dyDescent="0.25">
      <c r="A24" s="3">
        <f t="shared" si="3"/>
        <v>15</v>
      </c>
      <c r="B24" s="10" t="s">
        <v>31</v>
      </c>
      <c r="C24" s="15" t="s">
        <v>124</v>
      </c>
      <c r="D24" s="2"/>
      <c r="E24" s="21" t="s">
        <v>107</v>
      </c>
      <c r="F24" s="6" t="s">
        <v>151</v>
      </c>
      <c r="G24" s="26">
        <v>4</v>
      </c>
      <c r="H24" s="24"/>
      <c r="I24" s="24"/>
      <c r="J24" s="24"/>
      <c r="K24" s="24"/>
      <c r="L24" s="46"/>
      <c r="M24" s="46"/>
      <c r="N24" s="47">
        <f t="shared" si="1"/>
        <v>0</v>
      </c>
      <c r="O24" s="48">
        <v>5</v>
      </c>
      <c r="P24" s="46">
        <v>5</v>
      </c>
      <c r="Q24" s="46"/>
      <c r="R24" s="46"/>
      <c r="S24" s="46"/>
      <c r="T24" s="47">
        <f t="shared" si="2"/>
        <v>0</v>
      </c>
    </row>
    <row r="25" spans="1:20" ht="15.75" x14ac:dyDescent="0.25">
      <c r="A25" s="3">
        <f t="shared" si="3"/>
        <v>16</v>
      </c>
      <c r="B25" s="13" t="s">
        <v>32</v>
      </c>
      <c r="C25" s="15" t="s">
        <v>124</v>
      </c>
      <c r="D25" s="2"/>
      <c r="E25" s="17" t="s">
        <v>106</v>
      </c>
      <c r="F25" s="6" t="s">
        <v>152</v>
      </c>
      <c r="G25" s="26">
        <v>3</v>
      </c>
      <c r="H25" s="24">
        <v>2</v>
      </c>
      <c r="I25" s="24">
        <v>2</v>
      </c>
      <c r="J25" s="24">
        <v>2</v>
      </c>
      <c r="K25" s="24">
        <v>2</v>
      </c>
      <c r="L25" s="46">
        <v>2255.39</v>
      </c>
      <c r="M25" s="46">
        <v>2255.39</v>
      </c>
      <c r="N25" s="47">
        <f t="shared" si="1"/>
        <v>0</v>
      </c>
      <c r="O25" s="48">
        <v>9</v>
      </c>
      <c r="P25" s="46">
        <v>9</v>
      </c>
      <c r="Q25" s="46">
        <v>8</v>
      </c>
      <c r="R25" s="46">
        <v>14484.31</v>
      </c>
      <c r="S25" s="46">
        <v>14484.31</v>
      </c>
      <c r="T25" s="47">
        <f t="shared" si="2"/>
        <v>0</v>
      </c>
    </row>
    <row r="26" spans="1:20" ht="15.75" x14ac:dyDescent="0.25">
      <c r="A26" s="3">
        <f t="shared" si="3"/>
        <v>17</v>
      </c>
      <c r="B26" s="10" t="s">
        <v>33</v>
      </c>
      <c r="C26" s="15" t="s">
        <v>124</v>
      </c>
      <c r="D26" s="2"/>
      <c r="E26" s="17" t="s">
        <v>106</v>
      </c>
      <c r="F26" s="6" t="s">
        <v>153</v>
      </c>
      <c r="G26" s="26">
        <v>3</v>
      </c>
      <c r="H26" s="24"/>
      <c r="I26" s="24"/>
      <c r="J26" s="24"/>
      <c r="K26" s="24"/>
      <c r="L26" s="46"/>
      <c r="M26" s="46"/>
      <c r="N26" s="47">
        <f t="shared" si="1"/>
        <v>0</v>
      </c>
      <c r="O26" s="48"/>
      <c r="P26" s="46"/>
      <c r="Q26" s="46"/>
      <c r="R26" s="46"/>
      <c r="S26" s="46"/>
      <c r="T26" s="47">
        <f t="shared" si="2"/>
        <v>0</v>
      </c>
    </row>
    <row r="27" spans="1:20" ht="15.75" x14ac:dyDescent="0.25">
      <c r="A27" s="3">
        <f t="shared" si="3"/>
        <v>18</v>
      </c>
      <c r="B27" s="10" t="s">
        <v>34</v>
      </c>
      <c r="C27" s="15" t="s">
        <v>124</v>
      </c>
      <c r="D27" s="2"/>
      <c r="E27" s="17" t="s">
        <v>113</v>
      </c>
      <c r="F27" s="6" t="s">
        <v>154</v>
      </c>
      <c r="G27" s="26">
        <v>4</v>
      </c>
      <c r="H27" s="24"/>
      <c r="I27" s="24"/>
      <c r="J27" s="24"/>
      <c r="K27" s="24"/>
      <c r="L27" s="46"/>
      <c r="M27" s="46"/>
      <c r="N27" s="47">
        <f t="shared" si="1"/>
        <v>0</v>
      </c>
      <c r="O27" s="48">
        <v>8</v>
      </c>
      <c r="P27" s="46"/>
      <c r="Q27" s="46"/>
      <c r="R27" s="46"/>
      <c r="S27" s="46"/>
      <c r="T27" s="47">
        <f t="shared" si="2"/>
        <v>0</v>
      </c>
    </row>
    <row r="28" spans="1:20" ht="15.75" x14ac:dyDescent="0.25">
      <c r="A28" s="3">
        <f t="shared" si="3"/>
        <v>19</v>
      </c>
      <c r="B28" s="10" t="s">
        <v>35</v>
      </c>
      <c r="C28" s="15" t="s">
        <v>124</v>
      </c>
      <c r="D28" s="2"/>
      <c r="E28" s="17" t="s">
        <v>105</v>
      </c>
      <c r="F28" s="6"/>
      <c r="G28" s="26"/>
      <c r="H28" s="24"/>
      <c r="I28" s="24"/>
      <c r="J28" s="24"/>
      <c r="K28" s="24"/>
      <c r="L28" s="46"/>
      <c r="M28" s="46"/>
      <c r="N28" s="47">
        <f t="shared" si="1"/>
        <v>0</v>
      </c>
      <c r="O28" s="48"/>
      <c r="P28" s="46"/>
      <c r="Q28" s="46"/>
      <c r="R28" s="46"/>
      <c r="S28" s="46"/>
      <c r="T28" s="47">
        <f t="shared" si="2"/>
        <v>0</v>
      </c>
    </row>
    <row r="29" spans="1:20" ht="15.75" x14ac:dyDescent="0.25">
      <c r="A29" s="3">
        <f t="shared" si="3"/>
        <v>20</v>
      </c>
      <c r="B29" s="12" t="s">
        <v>36</v>
      </c>
      <c r="C29" s="15" t="s">
        <v>124</v>
      </c>
      <c r="D29" s="2"/>
      <c r="E29" s="19" t="s">
        <v>114</v>
      </c>
      <c r="F29" s="6" t="s">
        <v>155</v>
      </c>
      <c r="G29" s="26">
        <v>4</v>
      </c>
      <c r="H29" s="24">
        <v>1</v>
      </c>
      <c r="I29" s="24">
        <v>1</v>
      </c>
      <c r="J29" s="24">
        <v>1</v>
      </c>
      <c r="K29" s="24"/>
      <c r="L29" s="46"/>
      <c r="M29" s="46"/>
      <c r="N29" s="47">
        <f t="shared" si="1"/>
        <v>0</v>
      </c>
      <c r="O29" s="48">
        <v>11</v>
      </c>
      <c r="P29" s="46">
        <v>9</v>
      </c>
      <c r="Q29" s="46"/>
      <c r="R29" s="46"/>
      <c r="S29" s="46"/>
      <c r="T29" s="47">
        <f t="shared" si="2"/>
        <v>0</v>
      </c>
    </row>
    <row r="30" spans="1:20" ht="15.75" x14ac:dyDescent="0.25">
      <c r="A30" s="3">
        <f t="shared" si="3"/>
        <v>21</v>
      </c>
      <c r="B30" s="11" t="s">
        <v>37</v>
      </c>
      <c r="C30" s="15" t="s">
        <v>124</v>
      </c>
      <c r="D30" s="2"/>
      <c r="E30" s="17" t="s">
        <v>108</v>
      </c>
      <c r="F30" s="6" t="s">
        <v>156</v>
      </c>
      <c r="G30" s="26">
        <v>3</v>
      </c>
      <c r="H30" s="24"/>
      <c r="I30" s="24"/>
      <c r="J30" s="24"/>
      <c r="K30" s="24"/>
      <c r="L30" s="46"/>
      <c r="M30" s="46"/>
      <c r="N30" s="47">
        <f t="shared" si="1"/>
        <v>0</v>
      </c>
      <c r="O30" s="48">
        <v>6</v>
      </c>
      <c r="P30" s="46">
        <v>6</v>
      </c>
      <c r="Q30" s="46"/>
      <c r="R30" s="46"/>
      <c r="S30" s="46"/>
      <c r="T30" s="47">
        <f t="shared" si="2"/>
        <v>0</v>
      </c>
    </row>
    <row r="31" spans="1:20" ht="15.75" x14ac:dyDescent="0.25">
      <c r="A31" s="3">
        <f t="shared" si="3"/>
        <v>22</v>
      </c>
      <c r="B31" s="11" t="s">
        <v>38</v>
      </c>
      <c r="C31" s="15" t="s">
        <v>124</v>
      </c>
      <c r="D31" s="2"/>
      <c r="E31" s="17" t="s">
        <v>106</v>
      </c>
      <c r="F31" s="6" t="s">
        <v>157</v>
      </c>
      <c r="G31" s="26">
        <v>4</v>
      </c>
      <c r="H31" s="24"/>
      <c r="I31" s="24"/>
      <c r="J31" s="24"/>
      <c r="K31" s="24"/>
      <c r="L31" s="46"/>
      <c r="M31" s="46"/>
      <c r="N31" s="47">
        <f t="shared" si="1"/>
        <v>0</v>
      </c>
      <c r="O31" s="48">
        <v>1</v>
      </c>
      <c r="P31" s="46">
        <v>1</v>
      </c>
      <c r="Q31" s="46"/>
      <c r="R31" s="46"/>
      <c r="S31" s="46"/>
      <c r="T31" s="47">
        <f t="shared" si="2"/>
        <v>0</v>
      </c>
    </row>
    <row r="32" spans="1:20" ht="15.75" x14ac:dyDescent="0.25">
      <c r="A32" s="3">
        <f t="shared" si="3"/>
        <v>23</v>
      </c>
      <c r="B32" s="10" t="s">
        <v>39</v>
      </c>
      <c r="C32" s="15" t="s">
        <v>124</v>
      </c>
      <c r="D32" s="2"/>
      <c r="E32" s="10" t="s">
        <v>105</v>
      </c>
      <c r="F32" s="6"/>
      <c r="G32" s="26"/>
      <c r="H32" s="24"/>
      <c r="I32" s="24"/>
      <c r="J32" s="24"/>
      <c r="K32" s="24"/>
      <c r="L32" s="46"/>
      <c r="M32" s="46"/>
      <c r="N32" s="47">
        <f t="shared" si="1"/>
        <v>0</v>
      </c>
      <c r="O32" s="48"/>
      <c r="P32" s="46"/>
      <c r="Q32" s="46"/>
      <c r="R32" s="46"/>
      <c r="S32" s="46"/>
      <c r="T32" s="47">
        <f t="shared" si="2"/>
        <v>0</v>
      </c>
    </row>
    <row r="33" spans="1:20" ht="15.75" x14ac:dyDescent="0.25">
      <c r="A33" s="3">
        <f t="shared" si="3"/>
        <v>24</v>
      </c>
      <c r="B33" s="10" t="s">
        <v>137</v>
      </c>
      <c r="C33" s="15" t="s">
        <v>124</v>
      </c>
      <c r="D33" s="2"/>
      <c r="E33" s="17" t="s">
        <v>106</v>
      </c>
      <c r="F33" s="6" t="s">
        <v>158</v>
      </c>
      <c r="G33" s="26"/>
      <c r="H33" s="24"/>
      <c r="I33" s="24"/>
      <c r="J33" s="24"/>
      <c r="K33" s="24"/>
      <c r="L33" s="46"/>
      <c r="M33" s="46"/>
      <c r="N33" s="47"/>
      <c r="O33" s="48"/>
      <c r="P33" s="46"/>
      <c r="Q33" s="46"/>
      <c r="R33" s="46"/>
      <c r="S33" s="46"/>
      <c r="T33" s="47"/>
    </row>
    <row r="34" spans="1:20" ht="15.75" x14ac:dyDescent="0.25">
      <c r="A34" s="3">
        <f t="shared" si="3"/>
        <v>25</v>
      </c>
      <c r="B34" s="12" t="s">
        <v>40</v>
      </c>
      <c r="C34" s="15" t="s">
        <v>124</v>
      </c>
      <c r="D34" s="2"/>
      <c r="E34" s="19" t="s">
        <v>115</v>
      </c>
      <c r="F34" s="6" t="s">
        <v>159</v>
      </c>
      <c r="G34" s="26">
        <v>3</v>
      </c>
      <c r="H34" s="24">
        <v>2</v>
      </c>
      <c r="I34" s="24">
        <v>3</v>
      </c>
      <c r="J34" s="24">
        <v>3</v>
      </c>
      <c r="K34" s="24"/>
      <c r="L34" s="46"/>
      <c r="M34" s="46"/>
      <c r="N34" s="47">
        <f t="shared" si="1"/>
        <v>0</v>
      </c>
      <c r="O34" s="48">
        <v>2</v>
      </c>
      <c r="P34" s="46">
        <v>2</v>
      </c>
      <c r="Q34" s="46"/>
      <c r="R34" s="46"/>
      <c r="S34" s="46"/>
      <c r="T34" s="47">
        <f t="shared" si="2"/>
        <v>0</v>
      </c>
    </row>
    <row r="35" spans="1:20" ht="15.75" x14ac:dyDescent="0.25">
      <c r="A35" s="3">
        <f t="shared" si="3"/>
        <v>26</v>
      </c>
      <c r="B35" s="11" t="s">
        <v>41</v>
      </c>
      <c r="C35" s="15" t="s">
        <v>124</v>
      </c>
      <c r="D35" s="2"/>
      <c r="E35" s="17" t="s">
        <v>106</v>
      </c>
      <c r="F35" s="6" t="s">
        <v>160</v>
      </c>
      <c r="G35" s="26">
        <v>1</v>
      </c>
      <c r="H35" s="24"/>
      <c r="I35" s="24"/>
      <c r="J35" s="24"/>
      <c r="K35" s="24"/>
      <c r="L35" s="46"/>
      <c r="M35" s="46"/>
      <c r="N35" s="47">
        <f t="shared" si="1"/>
        <v>0</v>
      </c>
      <c r="O35" s="48"/>
      <c r="P35" s="46"/>
      <c r="Q35" s="46"/>
      <c r="R35" s="46"/>
      <c r="S35" s="46"/>
      <c r="T35" s="47">
        <f t="shared" si="2"/>
        <v>0</v>
      </c>
    </row>
    <row r="36" spans="1:20" ht="15.75" x14ac:dyDescent="0.25">
      <c r="A36" s="3">
        <f t="shared" si="3"/>
        <v>27</v>
      </c>
      <c r="B36" s="13" t="s">
        <v>42</v>
      </c>
      <c r="C36" s="15" t="s">
        <v>124</v>
      </c>
      <c r="D36" s="2"/>
      <c r="E36" s="17" t="s">
        <v>106</v>
      </c>
      <c r="F36" s="6"/>
      <c r="G36" s="26"/>
      <c r="H36" s="24"/>
      <c r="I36" s="24"/>
      <c r="J36" s="24"/>
      <c r="K36" s="24"/>
      <c r="L36" s="46"/>
      <c r="M36" s="46"/>
      <c r="N36" s="47">
        <f t="shared" si="1"/>
        <v>0</v>
      </c>
      <c r="O36" s="48">
        <v>3</v>
      </c>
      <c r="P36" s="46">
        <v>3</v>
      </c>
      <c r="Q36" s="46"/>
      <c r="R36" s="46"/>
      <c r="S36" s="46"/>
      <c r="T36" s="47">
        <f t="shared" si="2"/>
        <v>0</v>
      </c>
    </row>
    <row r="37" spans="1:20" ht="15.75" x14ac:dyDescent="0.25">
      <c r="A37" s="3">
        <f t="shared" si="3"/>
        <v>28</v>
      </c>
      <c r="B37" s="13" t="s">
        <v>43</v>
      </c>
      <c r="C37" s="15" t="s">
        <v>124</v>
      </c>
      <c r="D37" s="2"/>
      <c r="E37" s="17" t="s">
        <v>106</v>
      </c>
      <c r="F37" s="6" t="s">
        <v>161</v>
      </c>
      <c r="G37" s="26">
        <v>1</v>
      </c>
      <c r="H37" s="24"/>
      <c r="I37" s="24"/>
      <c r="J37" s="24"/>
      <c r="K37" s="24"/>
      <c r="L37" s="46"/>
      <c r="M37" s="46"/>
      <c r="N37" s="47">
        <f t="shared" si="1"/>
        <v>0</v>
      </c>
      <c r="O37" s="48">
        <v>1</v>
      </c>
      <c r="P37" s="46">
        <v>1</v>
      </c>
      <c r="Q37" s="46"/>
      <c r="R37" s="46"/>
      <c r="S37" s="46"/>
      <c r="T37" s="47">
        <f t="shared" si="2"/>
        <v>0</v>
      </c>
    </row>
    <row r="38" spans="1:20" ht="15.75" x14ac:dyDescent="0.25">
      <c r="A38" s="3">
        <f t="shared" si="3"/>
        <v>29</v>
      </c>
      <c r="B38" s="11" t="s">
        <v>44</v>
      </c>
      <c r="C38" s="15" t="s">
        <v>124</v>
      </c>
      <c r="D38" s="2"/>
      <c r="E38" s="17" t="s">
        <v>105</v>
      </c>
      <c r="F38" s="6" t="s">
        <v>162</v>
      </c>
      <c r="G38" s="26">
        <v>6</v>
      </c>
      <c r="H38" s="24"/>
      <c r="I38" s="24"/>
      <c r="J38" s="24"/>
      <c r="K38" s="24"/>
      <c r="L38" s="46"/>
      <c r="M38" s="46"/>
      <c r="N38" s="47">
        <f t="shared" si="1"/>
        <v>0</v>
      </c>
      <c r="O38" s="48">
        <v>11</v>
      </c>
      <c r="P38" s="46">
        <v>11</v>
      </c>
      <c r="Q38" s="46"/>
      <c r="R38" s="46"/>
      <c r="S38" s="46"/>
      <c r="T38" s="47">
        <f t="shared" si="2"/>
        <v>0</v>
      </c>
    </row>
    <row r="39" spans="1:20" ht="15.75" x14ac:dyDescent="0.25">
      <c r="A39" s="3">
        <f t="shared" si="3"/>
        <v>30</v>
      </c>
      <c r="B39" s="11" t="s">
        <v>45</v>
      </c>
      <c r="C39" s="15" t="s">
        <v>124</v>
      </c>
      <c r="D39" s="2"/>
      <c r="E39" s="17" t="s">
        <v>111</v>
      </c>
      <c r="F39" s="6" t="s">
        <v>163</v>
      </c>
      <c r="G39" s="26">
        <v>2</v>
      </c>
      <c r="H39" s="24"/>
      <c r="I39" s="24"/>
      <c r="J39" s="24"/>
      <c r="K39" s="24"/>
      <c r="L39" s="46"/>
      <c r="M39" s="46"/>
      <c r="N39" s="47">
        <f t="shared" si="1"/>
        <v>0</v>
      </c>
      <c r="O39" s="48"/>
      <c r="P39" s="46"/>
      <c r="Q39" s="46"/>
      <c r="R39" s="46"/>
      <c r="S39" s="46"/>
      <c r="T39" s="47">
        <f t="shared" si="2"/>
        <v>0</v>
      </c>
    </row>
    <row r="40" spans="1:20" ht="15.75" x14ac:dyDescent="0.25">
      <c r="A40" s="3">
        <f>A39+1</f>
        <v>31</v>
      </c>
      <c r="B40" s="10" t="s">
        <v>46</v>
      </c>
      <c r="C40" s="15" t="s">
        <v>124</v>
      </c>
      <c r="D40" s="2"/>
      <c r="E40" s="17" t="s">
        <v>106</v>
      </c>
      <c r="F40" s="6" t="s">
        <v>164</v>
      </c>
      <c r="G40" s="26">
        <v>1</v>
      </c>
      <c r="H40" s="24"/>
      <c r="I40" s="24"/>
      <c r="J40" s="24"/>
      <c r="K40" s="24"/>
      <c r="L40" s="46"/>
      <c r="M40" s="46"/>
      <c r="N40" s="47">
        <f t="shared" si="1"/>
        <v>0</v>
      </c>
      <c r="O40" s="48">
        <v>2</v>
      </c>
      <c r="P40" s="46">
        <v>2</v>
      </c>
      <c r="Q40" s="46"/>
      <c r="R40" s="46"/>
      <c r="S40" s="46"/>
      <c r="T40" s="47">
        <f t="shared" si="2"/>
        <v>0</v>
      </c>
    </row>
    <row r="41" spans="1:20" ht="15.75" x14ac:dyDescent="0.25">
      <c r="A41" s="3">
        <f t="shared" si="3"/>
        <v>32</v>
      </c>
      <c r="B41" s="10" t="s">
        <v>47</v>
      </c>
      <c r="C41" s="15" t="s">
        <v>124</v>
      </c>
      <c r="D41" s="2"/>
      <c r="E41" s="17" t="s">
        <v>116</v>
      </c>
      <c r="F41" s="6" t="s">
        <v>165</v>
      </c>
      <c r="G41" s="26">
        <v>3</v>
      </c>
      <c r="H41" s="24">
        <v>1</v>
      </c>
      <c r="I41" s="24">
        <v>1</v>
      </c>
      <c r="J41" s="24"/>
      <c r="K41" s="24"/>
      <c r="L41" s="46"/>
      <c r="M41" s="46"/>
      <c r="N41" s="47">
        <f t="shared" si="1"/>
        <v>0</v>
      </c>
      <c r="O41" s="48">
        <v>2</v>
      </c>
      <c r="P41" s="46"/>
      <c r="Q41" s="46"/>
      <c r="R41" s="46"/>
      <c r="S41" s="46"/>
      <c r="T41" s="47">
        <f t="shared" si="2"/>
        <v>0</v>
      </c>
    </row>
    <row r="42" spans="1:20" ht="15.75" customHeight="1" x14ac:dyDescent="0.25">
      <c r="A42" s="3">
        <f t="shared" si="3"/>
        <v>33</v>
      </c>
      <c r="B42" s="13" t="s">
        <v>48</v>
      </c>
      <c r="C42" s="15" t="s">
        <v>124</v>
      </c>
      <c r="D42" s="2"/>
      <c r="E42" s="17" t="s">
        <v>106</v>
      </c>
      <c r="F42" s="6" t="s">
        <v>166</v>
      </c>
      <c r="G42" s="26">
        <v>1</v>
      </c>
      <c r="H42" s="24"/>
      <c r="I42" s="24"/>
      <c r="J42" s="24"/>
      <c r="K42" s="24"/>
      <c r="L42" s="46"/>
      <c r="M42" s="46"/>
      <c r="N42" s="47">
        <f t="shared" si="1"/>
        <v>0</v>
      </c>
      <c r="O42" s="48">
        <v>1</v>
      </c>
      <c r="P42" s="46">
        <v>1</v>
      </c>
      <c r="Q42" s="46"/>
      <c r="R42" s="46"/>
      <c r="S42" s="46"/>
      <c r="T42" s="47">
        <f t="shared" si="2"/>
        <v>0</v>
      </c>
    </row>
    <row r="43" spans="1:20" ht="15.75" x14ac:dyDescent="0.25">
      <c r="A43" s="3">
        <f t="shared" si="3"/>
        <v>34</v>
      </c>
      <c r="B43" s="10" t="s">
        <v>49</v>
      </c>
      <c r="C43" s="15" t="s">
        <v>124</v>
      </c>
      <c r="D43" s="2"/>
      <c r="E43" s="17" t="s">
        <v>106</v>
      </c>
      <c r="F43" s="6" t="s">
        <v>167</v>
      </c>
      <c r="G43" s="26">
        <v>1</v>
      </c>
      <c r="H43" s="24"/>
      <c r="I43" s="24"/>
      <c r="J43" s="24"/>
      <c r="K43" s="24"/>
      <c r="L43" s="46"/>
      <c r="M43" s="46"/>
      <c r="N43" s="47">
        <f t="shared" si="1"/>
        <v>0</v>
      </c>
      <c r="O43" s="48">
        <v>3</v>
      </c>
      <c r="P43" s="46">
        <v>3</v>
      </c>
      <c r="Q43" s="46"/>
      <c r="R43" s="46"/>
      <c r="S43" s="46"/>
      <c r="T43" s="47">
        <f t="shared" si="2"/>
        <v>0</v>
      </c>
    </row>
    <row r="44" spans="1:20" ht="15.75" x14ac:dyDescent="0.25">
      <c r="A44" s="3">
        <f t="shared" si="3"/>
        <v>35</v>
      </c>
      <c r="B44" s="13" t="s">
        <v>50</v>
      </c>
      <c r="C44" s="15" t="s">
        <v>124</v>
      </c>
      <c r="D44" s="2"/>
      <c r="E44" s="17" t="s">
        <v>106</v>
      </c>
      <c r="F44" s="6" t="s">
        <v>168</v>
      </c>
      <c r="G44" s="26">
        <v>2</v>
      </c>
      <c r="H44" s="24"/>
      <c r="I44" s="24"/>
      <c r="J44" s="24"/>
      <c r="K44" s="24"/>
      <c r="L44" s="46"/>
      <c r="M44" s="46"/>
      <c r="N44" s="47">
        <f t="shared" si="1"/>
        <v>0</v>
      </c>
      <c r="O44" s="48"/>
      <c r="P44" s="46"/>
      <c r="Q44" s="46"/>
      <c r="R44" s="46"/>
      <c r="S44" s="46"/>
      <c r="T44" s="47">
        <f t="shared" si="2"/>
        <v>0</v>
      </c>
    </row>
    <row r="45" spans="1:20" ht="15.75" x14ac:dyDescent="0.25">
      <c r="A45" s="3">
        <f t="shared" si="3"/>
        <v>36</v>
      </c>
      <c r="B45" s="11" t="s">
        <v>51</v>
      </c>
      <c r="C45" s="15" t="s">
        <v>124</v>
      </c>
      <c r="D45" s="2"/>
      <c r="E45" s="22" t="s">
        <v>112</v>
      </c>
      <c r="F45" s="6" t="s">
        <v>169</v>
      </c>
      <c r="G45" s="26"/>
      <c r="H45" s="24"/>
      <c r="I45" s="24"/>
      <c r="J45" s="24"/>
      <c r="K45" s="24"/>
      <c r="L45" s="46"/>
      <c r="M45" s="46"/>
      <c r="N45" s="47">
        <f t="shared" si="1"/>
        <v>0</v>
      </c>
      <c r="O45" s="48"/>
      <c r="P45" s="46"/>
      <c r="Q45" s="46"/>
      <c r="R45" s="46"/>
      <c r="S45" s="46"/>
      <c r="T45" s="47">
        <f t="shared" si="2"/>
        <v>0</v>
      </c>
    </row>
    <row r="46" spans="1:20" ht="15.75" x14ac:dyDescent="0.25">
      <c r="A46" s="3">
        <f t="shared" si="3"/>
        <v>37</v>
      </c>
      <c r="B46" s="11" t="s">
        <v>131</v>
      </c>
      <c r="C46" s="15" t="s">
        <v>124</v>
      </c>
      <c r="D46" s="2"/>
      <c r="E46" s="22" t="s">
        <v>106</v>
      </c>
      <c r="F46" s="6"/>
      <c r="G46" s="26"/>
      <c r="H46" s="24"/>
      <c r="I46" s="24"/>
      <c r="J46" s="24"/>
      <c r="K46" s="24"/>
      <c r="L46" s="46"/>
      <c r="M46" s="46"/>
      <c r="N46" s="47">
        <f t="shared" si="1"/>
        <v>0</v>
      </c>
      <c r="O46" s="48">
        <v>1</v>
      </c>
      <c r="P46" s="46">
        <v>1</v>
      </c>
      <c r="Q46" s="46">
        <v>1</v>
      </c>
      <c r="R46" s="49">
        <v>11787.49</v>
      </c>
      <c r="S46" s="49">
        <v>11787.49</v>
      </c>
      <c r="T46" s="47">
        <f t="shared" si="2"/>
        <v>0</v>
      </c>
    </row>
    <row r="47" spans="1:20" ht="15.75" x14ac:dyDescent="0.25">
      <c r="A47" s="3">
        <f t="shared" si="3"/>
        <v>38</v>
      </c>
      <c r="B47" s="13" t="s">
        <v>52</v>
      </c>
      <c r="C47" s="15" t="s">
        <v>124</v>
      </c>
      <c r="D47" s="2"/>
      <c r="E47" s="17" t="s">
        <v>106</v>
      </c>
      <c r="F47" s="6" t="s">
        <v>170</v>
      </c>
      <c r="G47" s="26">
        <v>2</v>
      </c>
      <c r="H47" s="24">
        <v>2</v>
      </c>
      <c r="I47" s="24">
        <v>2</v>
      </c>
      <c r="J47" s="24">
        <v>2</v>
      </c>
      <c r="K47" s="24"/>
      <c r="L47" s="46"/>
      <c r="M47" s="46"/>
      <c r="N47" s="47">
        <f t="shared" si="1"/>
        <v>0</v>
      </c>
      <c r="O47" s="48"/>
      <c r="P47" s="46"/>
      <c r="Q47" s="46"/>
      <c r="R47" s="46"/>
      <c r="S47" s="46"/>
      <c r="T47" s="47">
        <f t="shared" si="2"/>
        <v>0</v>
      </c>
    </row>
    <row r="48" spans="1:20" ht="15.75" x14ac:dyDescent="0.25">
      <c r="A48" s="3">
        <f t="shared" si="3"/>
        <v>39</v>
      </c>
      <c r="B48" s="10" t="s">
        <v>53</v>
      </c>
      <c r="C48" s="15" t="s">
        <v>124</v>
      </c>
      <c r="D48" s="2"/>
      <c r="E48" s="17" t="s">
        <v>105</v>
      </c>
      <c r="F48" s="6" t="s">
        <v>171</v>
      </c>
      <c r="G48" s="26">
        <v>4</v>
      </c>
      <c r="H48" s="24"/>
      <c r="I48" s="24"/>
      <c r="J48" s="24"/>
      <c r="K48" s="24"/>
      <c r="L48" s="46"/>
      <c r="M48" s="46"/>
      <c r="N48" s="47">
        <f t="shared" si="1"/>
        <v>0</v>
      </c>
      <c r="O48" s="48">
        <v>1</v>
      </c>
      <c r="P48" s="46">
        <v>1</v>
      </c>
      <c r="Q48" s="46"/>
      <c r="R48" s="46"/>
      <c r="S48" s="46"/>
      <c r="T48" s="47">
        <f t="shared" si="2"/>
        <v>0</v>
      </c>
    </row>
    <row r="49" spans="1:20" ht="15.75" x14ac:dyDescent="0.25">
      <c r="A49" s="3">
        <f t="shared" si="3"/>
        <v>40</v>
      </c>
      <c r="B49" s="10" t="s">
        <v>54</v>
      </c>
      <c r="C49" s="15" t="s">
        <v>124</v>
      </c>
      <c r="D49" s="2"/>
      <c r="E49" s="17" t="s">
        <v>106</v>
      </c>
      <c r="F49" s="6" t="s">
        <v>172</v>
      </c>
      <c r="G49" s="26">
        <v>1</v>
      </c>
      <c r="H49" s="24"/>
      <c r="I49" s="24"/>
      <c r="J49" s="24"/>
      <c r="K49" s="24"/>
      <c r="L49" s="46"/>
      <c r="M49" s="46"/>
      <c r="N49" s="47">
        <f t="shared" si="1"/>
        <v>0</v>
      </c>
      <c r="O49" s="48">
        <v>3</v>
      </c>
      <c r="P49" s="46">
        <v>2</v>
      </c>
      <c r="Q49" s="46"/>
      <c r="R49" s="46"/>
      <c r="S49" s="46"/>
      <c r="T49" s="47">
        <f t="shared" si="2"/>
        <v>0</v>
      </c>
    </row>
    <row r="50" spans="1:20" ht="15.75" x14ac:dyDescent="0.25">
      <c r="A50" s="3">
        <f t="shared" si="3"/>
        <v>41</v>
      </c>
      <c r="B50" s="10" t="s">
        <v>55</v>
      </c>
      <c r="C50" s="15" t="s">
        <v>124</v>
      </c>
      <c r="D50" s="2"/>
      <c r="E50" s="17" t="s">
        <v>106</v>
      </c>
      <c r="F50" s="6" t="s">
        <v>173</v>
      </c>
      <c r="G50" s="26">
        <v>4</v>
      </c>
      <c r="H50" s="24"/>
      <c r="I50" s="24"/>
      <c r="J50" s="24"/>
      <c r="K50" s="24"/>
      <c r="L50" s="46"/>
      <c r="M50" s="46"/>
      <c r="N50" s="47">
        <f t="shared" si="1"/>
        <v>0</v>
      </c>
      <c r="O50" s="48">
        <v>4</v>
      </c>
      <c r="P50" s="46">
        <v>4</v>
      </c>
      <c r="Q50" s="46"/>
      <c r="R50" s="46"/>
      <c r="S50" s="46"/>
      <c r="T50" s="47">
        <f t="shared" si="2"/>
        <v>0</v>
      </c>
    </row>
    <row r="51" spans="1:20" ht="15.75" x14ac:dyDescent="0.25">
      <c r="A51" s="3">
        <f t="shared" si="3"/>
        <v>42</v>
      </c>
      <c r="B51" s="10" t="s">
        <v>56</v>
      </c>
      <c r="C51" s="15" t="s">
        <v>124</v>
      </c>
      <c r="D51" s="2"/>
      <c r="E51" s="17" t="s">
        <v>106</v>
      </c>
      <c r="F51" s="6" t="s">
        <v>174</v>
      </c>
      <c r="G51" s="26">
        <v>2</v>
      </c>
      <c r="H51" s="24">
        <v>2</v>
      </c>
      <c r="I51" s="24">
        <v>2</v>
      </c>
      <c r="J51" s="24">
        <v>2</v>
      </c>
      <c r="K51" s="24"/>
      <c r="L51" s="46"/>
      <c r="M51" s="46"/>
      <c r="N51" s="47">
        <f t="shared" si="1"/>
        <v>0</v>
      </c>
      <c r="O51" s="48">
        <v>1</v>
      </c>
      <c r="P51" s="46">
        <v>1</v>
      </c>
      <c r="Q51" s="46"/>
      <c r="R51" s="46"/>
      <c r="S51" s="46"/>
      <c r="T51" s="47">
        <f t="shared" si="2"/>
        <v>0</v>
      </c>
    </row>
    <row r="52" spans="1:20" ht="15.75" x14ac:dyDescent="0.25">
      <c r="A52" s="3">
        <f t="shared" si="3"/>
        <v>43</v>
      </c>
      <c r="B52" s="13" t="s">
        <v>57</v>
      </c>
      <c r="C52" s="15" t="s">
        <v>124</v>
      </c>
      <c r="D52" s="2"/>
      <c r="E52" s="17" t="s">
        <v>106</v>
      </c>
      <c r="F52" s="6" t="s">
        <v>175</v>
      </c>
      <c r="G52" s="26">
        <v>1</v>
      </c>
      <c r="H52" s="24">
        <v>1</v>
      </c>
      <c r="I52" s="24">
        <v>1</v>
      </c>
      <c r="J52" s="24">
        <v>1</v>
      </c>
      <c r="K52" s="24"/>
      <c r="L52" s="46"/>
      <c r="M52" s="46"/>
      <c r="N52" s="47">
        <f t="shared" si="1"/>
        <v>0</v>
      </c>
      <c r="O52" s="48">
        <v>1</v>
      </c>
      <c r="P52" s="46">
        <v>1</v>
      </c>
      <c r="Q52" s="46"/>
      <c r="R52" s="46"/>
      <c r="S52" s="46"/>
      <c r="T52" s="47">
        <f t="shared" si="2"/>
        <v>0</v>
      </c>
    </row>
    <row r="53" spans="1:20" ht="15.75" x14ac:dyDescent="0.25">
      <c r="A53" s="3">
        <f t="shared" si="3"/>
        <v>44</v>
      </c>
      <c r="B53" s="13" t="s">
        <v>58</v>
      </c>
      <c r="C53" s="15" t="s">
        <v>124</v>
      </c>
      <c r="D53" s="2"/>
      <c r="E53" s="17" t="s">
        <v>106</v>
      </c>
      <c r="F53" s="6"/>
      <c r="G53" s="26"/>
      <c r="H53" s="24"/>
      <c r="I53" s="24"/>
      <c r="J53" s="24"/>
      <c r="K53" s="24"/>
      <c r="L53" s="46"/>
      <c r="M53" s="46"/>
      <c r="N53" s="47">
        <f t="shared" si="1"/>
        <v>0</v>
      </c>
      <c r="O53" s="48"/>
      <c r="P53" s="46"/>
      <c r="Q53" s="46"/>
      <c r="R53" s="46"/>
      <c r="S53" s="46"/>
      <c r="T53" s="47">
        <f t="shared" si="2"/>
        <v>0</v>
      </c>
    </row>
    <row r="54" spans="1:20" ht="15.75" x14ac:dyDescent="0.25">
      <c r="A54" s="3">
        <f t="shared" si="3"/>
        <v>45</v>
      </c>
      <c r="B54" s="13" t="s">
        <v>59</v>
      </c>
      <c r="C54" s="15" t="s">
        <v>124</v>
      </c>
      <c r="D54" s="2"/>
      <c r="E54" s="17" t="s">
        <v>112</v>
      </c>
      <c r="F54" s="6" t="s">
        <v>176</v>
      </c>
      <c r="G54" s="26">
        <v>9</v>
      </c>
      <c r="H54" s="24">
        <v>2</v>
      </c>
      <c r="I54" s="24">
        <v>2</v>
      </c>
      <c r="J54" s="24"/>
      <c r="K54" s="24"/>
      <c r="L54" s="46"/>
      <c r="M54" s="46"/>
      <c r="N54" s="47">
        <f t="shared" si="1"/>
        <v>0</v>
      </c>
      <c r="O54" s="48">
        <v>15</v>
      </c>
      <c r="P54" s="46">
        <v>6</v>
      </c>
      <c r="Q54" s="46">
        <v>6</v>
      </c>
      <c r="R54" s="46">
        <v>2632.7</v>
      </c>
      <c r="S54" s="46">
        <v>2632.7</v>
      </c>
      <c r="T54" s="47">
        <f t="shared" si="2"/>
        <v>0</v>
      </c>
    </row>
    <row r="55" spans="1:20" ht="15.75" x14ac:dyDescent="0.25">
      <c r="A55" s="3">
        <f t="shared" si="3"/>
        <v>46</v>
      </c>
      <c r="B55" s="13" t="s">
        <v>60</v>
      </c>
      <c r="C55" s="15" t="s">
        <v>125</v>
      </c>
      <c r="D55" s="38" t="s">
        <v>126</v>
      </c>
      <c r="E55" s="17" t="s">
        <v>106</v>
      </c>
      <c r="F55" s="6" t="s">
        <v>177</v>
      </c>
      <c r="G55" s="26">
        <v>1</v>
      </c>
      <c r="H55" s="24"/>
      <c r="I55" s="24"/>
      <c r="J55" s="24"/>
      <c r="K55" s="24"/>
      <c r="L55" s="46"/>
      <c r="M55" s="46"/>
      <c r="N55" s="47">
        <f t="shared" si="1"/>
        <v>0</v>
      </c>
      <c r="O55" s="48"/>
      <c r="P55" s="46"/>
      <c r="Q55" s="46"/>
      <c r="R55" s="46"/>
      <c r="S55" s="46"/>
      <c r="T55" s="47">
        <f t="shared" si="2"/>
        <v>0</v>
      </c>
    </row>
    <row r="56" spans="1:20" ht="15.75" x14ac:dyDescent="0.25">
      <c r="A56" s="3">
        <f t="shared" si="3"/>
        <v>47</v>
      </c>
      <c r="B56" s="11" t="s">
        <v>61</v>
      </c>
      <c r="C56" s="15" t="s">
        <v>124</v>
      </c>
      <c r="D56" s="2"/>
      <c r="E56" s="17" t="s">
        <v>107</v>
      </c>
      <c r="F56" s="6" t="s">
        <v>178</v>
      </c>
      <c r="G56" s="26">
        <v>7</v>
      </c>
      <c r="H56" s="24">
        <v>1</v>
      </c>
      <c r="I56" s="24">
        <v>1</v>
      </c>
      <c r="J56" s="24">
        <v>1</v>
      </c>
      <c r="K56" s="24"/>
      <c r="L56" s="46"/>
      <c r="M56" s="46"/>
      <c r="N56" s="47">
        <f t="shared" si="1"/>
        <v>0</v>
      </c>
      <c r="O56" s="48">
        <v>8</v>
      </c>
      <c r="P56" s="46">
        <v>8</v>
      </c>
      <c r="Q56" s="46"/>
      <c r="R56" s="46"/>
      <c r="S56" s="46"/>
      <c r="T56" s="47">
        <f t="shared" si="2"/>
        <v>0</v>
      </c>
    </row>
    <row r="57" spans="1:20" ht="15.75" x14ac:dyDescent="0.25">
      <c r="A57" s="3">
        <f t="shared" si="3"/>
        <v>48</v>
      </c>
      <c r="B57" s="11" t="s">
        <v>134</v>
      </c>
      <c r="C57" s="15" t="s">
        <v>124</v>
      </c>
      <c r="D57" s="2"/>
      <c r="E57" s="17" t="s">
        <v>112</v>
      </c>
      <c r="F57" s="6" t="s">
        <v>179</v>
      </c>
      <c r="G57" s="26"/>
      <c r="H57" s="24"/>
      <c r="I57" s="24"/>
      <c r="J57" s="24"/>
      <c r="K57" s="24"/>
      <c r="L57" s="46"/>
      <c r="M57" s="46"/>
      <c r="N57" s="47"/>
      <c r="O57" s="48"/>
      <c r="P57" s="46"/>
      <c r="Q57" s="46"/>
      <c r="R57" s="46"/>
      <c r="S57" s="46"/>
      <c r="T57" s="47"/>
    </row>
    <row r="58" spans="1:20" ht="15.75" x14ac:dyDescent="0.25">
      <c r="A58" s="3">
        <f t="shared" si="3"/>
        <v>49</v>
      </c>
      <c r="B58" s="11" t="s">
        <v>62</v>
      </c>
      <c r="C58" s="15" t="s">
        <v>124</v>
      </c>
      <c r="D58" s="2"/>
      <c r="E58" s="17" t="s">
        <v>106</v>
      </c>
      <c r="F58" s="6"/>
      <c r="G58" s="26"/>
      <c r="H58" s="24"/>
      <c r="I58" s="24"/>
      <c r="J58" s="24"/>
      <c r="K58" s="24"/>
      <c r="L58" s="46"/>
      <c r="M58" s="46"/>
      <c r="N58" s="47">
        <f t="shared" si="1"/>
        <v>0</v>
      </c>
      <c r="O58" s="48"/>
      <c r="P58" s="46"/>
      <c r="Q58" s="46"/>
      <c r="R58" s="46"/>
      <c r="S58" s="46"/>
      <c r="T58" s="47">
        <f t="shared" si="2"/>
        <v>0</v>
      </c>
    </row>
    <row r="59" spans="1:20" ht="15.75" x14ac:dyDescent="0.25">
      <c r="A59" s="3">
        <f t="shared" si="3"/>
        <v>50</v>
      </c>
      <c r="B59" s="11" t="s">
        <v>63</v>
      </c>
      <c r="C59" s="15" t="s">
        <v>124</v>
      </c>
      <c r="D59" s="2"/>
      <c r="E59" s="22" t="s">
        <v>112</v>
      </c>
      <c r="F59" s="6"/>
      <c r="G59" s="26"/>
      <c r="H59" s="24"/>
      <c r="I59" s="24"/>
      <c r="J59" s="24"/>
      <c r="K59" s="24"/>
      <c r="L59" s="46"/>
      <c r="M59" s="46"/>
      <c r="N59" s="47">
        <f t="shared" si="1"/>
        <v>0</v>
      </c>
      <c r="O59" s="48"/>
      <c r="P59" s="46"/>
      <c r="Q59" s="46"/>
      <c r="R59" s="46"/>
      <c r="S59" s="46"/>
      <c r="T59" s="47">
        <f t="shared" si="2"/>
        <v>0</v>
      </c>
    </row>
    <row r="60" spans="1:20" ht="15.75" x14ac:dyDescent="0.25">
      <c r="A60" s="3">
        <f t="shared" si="3"/>
        <v>51</v>
      </c>
      <c r="B60" s="11" t="s">
        <v>64</v>
      </c>
      <c r="C60" s="15" t="s">
        <v>124</v>
      </c>
      <c r="D60" s="2"/>
      <c r="E60" s="22" t="s">
        <v>107</v>
      </c>
      <c r="F60" s="6" t="s">
        <v>180</v>
      </c>
      <c r="G60" s="26">
        <v>12</v>
      </c>
      <c r="H60" s="24"/>
      <c r="I60" s="24"/>
      <c r="J60" s="24"/>
      <c r="K60" s="24"/>
      <c r="L60" s="46"/>
      <c r="M60" s="46"/>
      <c r="N60" s="47">
        <f t="shared" si="1"/>
        <v>0</v>
      </c>
      <c r="O60" s="48">
        <v>3</v>
      </c>
      <c r="P60" s="46">
        <v>3</v>
      </c>
      <c r="Q60" s="46"/>
      <c r="R60" s="46"/>
      <c r="S60" s="46"/>
      <c r="T60" s="47">
        <f t="shared" si="2"/>
        <v>0</v>
      </c>
    </row>
    <row r="61" spans="1:20" ht="15.75" x14ac:dyDescent="0.25">
      <c r="A61" s="3">
        <f t="shared" si="3"/>
        <v>52</v>
      </c>
      <c r="B61" s="11" t="s">
        <v>135</v>
      </c>
      <c r="C61" s="15" t="s">
        <v>124</v>
      </c>
      <c r="D61" s="2"/>
      <c r="E61" s="22" t="s">
        <v>136</v>
      </c>
      <c r="F61" s="6" t="s">
        <v>181</v>
      </c>
      <c r="G61" s="26"/>
      <c r="H61" s="24"/>
      <c r="I61" s="24"/>
      <c r="J61" s="24"/>
      <c r="K61" s="24"/>
      <c r="L61" s="46"/>
      <c r="M61" s="46"/>
      <c r="N61" s="47"/>
      <c r="O61" s="48"/>
      <c r="P61" s="46"/>
      <c r="Q61" s="46"/>
      <c r="R61" s="46"/>
      <c r="S61" s="46"/>
      <c r="T61" s="47"/>
    </row>
    <row r="62" spans="1:20" ht="16.5" customHeight="1" x14ac:dyDescent="0.25">
      <c r="A62" s="3">
        <f t="shared" si="3"/>
        <v>53</v>
      </c>
      <c r="B62" s="13" t="s">
        <v>65</v>
      </c>
      <c r="C62" s="15" t="s">
        <v>124</v>
      </c>
      <c r="D62" s="2"/>
      <c r="E62" s="17" t="s">
        <v>106</v>
      </c>
      <c r="F62" s="6" t="s">
        <v>182</v>
      </c>
      <c r="G62" s="26">
        <v>2</v>
      </c>
      <c r="H62" s="24"/>
      <c r="I62" s="24"/>
      <c r="J62" s="24"/>
      <c r="K62" s="24"/>
      <c r="L62" s="46"/>
      <c r="M62" s="46"/>
      <c r="N62" s="47">
        <f t="shared" si="1"/>
        <v>0</v>
      </c>
      <c r="O62" s="48"/>
      <c r="P62" s="46"/>
      <c r="Q62" s="46"/>
      <c r="R62" s="46"/>
      <c r="S62" s="46"/>
      <c r="T62" s="47">
        <f t="shared" si="2"/>
        <v>0</v>
      </c>
    </row>
    <row r="63" spans="1:20" ht="15.75" x14ac:dyDescent="0.25">
      <c r="A63" s="3">
        <f t="shared" si="3"/>
        <v>54</v>
      </c>
      <c r="B63" s="13" t="s">
        <v>66</v>
      </c>
      <c r="C63" s="15" t="s">
        <v>124</v>
      </c>
      <c r="D63" s="2"/>
      <c r="E63" s="17" t="s">
        <v>112</v>
      </c>
      <c r="F63" s="6"/>
      <c r="G63" s="26"/>
      <c r="H63" s="24"/>
      <c r="I63" s="24"/>
      <c r="J63" s="24"/>
      <c r="K63" s="24"/>
      <c r="L63" s="46"/>
      <c r="M63" s="46"/>
      <c r="N63" s="47">
        <f t="shared" si="1"/>
        <v>0</v>
      </c>
      <c r="O63" s="48">
        <v>8</v>
      </c>
      <c r="P63" s="46">
        <v>6</v>
      </c>
      <c r="Q63" s="46"/>
      <c r="R63" s="46"/>
      <c r="S63" s="46"/>
      <c r="T63" s="47">
        <f t="shared" si="2"/>
        <v>0</v>
      </c>
    </row>
    <row r="64" spans="1:20" ht="15.75" x14ac:dyDescent="0.25">
      <c r="A64" s="3">
        <f t="shared" si="3"/>
        <v>55</v>
      </c>
      <c r="B64" s="10" t="s">
        <v>67</v>
      </c>
      <c r="C64" s="15" t="s">
        <v>124</v>
      </c>
      <c r="D64" s="2"/>
      <c r="E64" s="17" t="s">
        <v>106</v>
      </c>
      <c r="F64" s="6" t="s">
        <v>183</v>
      </c>
      <c r="G64" s="26">
        <v>4</v>
      </c>
      <c r="H64" s="24"/>
      <c r="I64" s="24"/>
      <c r="J64" s="24"/>
      <c r="K64" s="24"/>
      <c r="L64" s="46"/>
      <c r="M64" s="46"/>
      <c r="N64" s="47">
        <f t="shared" si="1"/>
        <v>0</v>
      </c>
      <c r="O64" s="48"/>
      <c r="P64" s="46"/>
      <c r="Q64" s="46"/>
      <c r="R64" s="46"/>
      <c r="S64" s="46"/>
      <c r="T64" s="47">
        <f t="shared" si="2"/>
        <v>0</v>
      </c>
    </row>
    <row r="65" spans="1:20" ht="15.75" x14ac:dyDescent="0.25">
      <c r="A65" s="3">
        <f t="shared" si="3"/>
        <v>56</v>
      </c>
      <c r="B65" s="10" t="s">
        <v>68</v>
      </c>
      <c r="C65" s="15" t="s">
        <v>124</v>
      </c>
      <c r="D65" s="2"/>
      <c r="E65" s="17" t="s">
        <v>111</v>
      </c>
      <c r="F65" s="6" t="s">
        <v>184</v>
      </c>
      <c r="G65" s="26">
        <v>5</v>
      </c>
      <c r="H65" s="24"/>
      <c r="I65" s="24"/>
      <c r="J65" s="24"/>
      <c r="K65" s="24"/>
      <c r="L65" s="46"/>
      <c r="M65" s="46"/>
      <c r="N65" s="47">
        <f t="shared" si="1"/>
        <v>0</v>
      </c>
      <c r="O65" s="48">
        <v>5</v>
      </c>
      <c r="P65" s="46">
        <v>3</v>
      </c>
      <c r="Q65" s="46"/>
      <c r="R65" s="46"/>
      <c r="S65" s="46"/>
      <c r="T65" s="47">
        <f t="shared" si="2"/>
        <v>0</v>
      </c>
    </row>
    <row r="66" spans="1:20" ht="15.75" x14ac:dyDescent="0.25">
      <c r="A66" s="3">
        <f t="shared" si="3"/>
        <v>57</v>
      </c>
      <c r="B66" s="13" t="s">
        <v>69</v>
      </c>
      <c r="C66" s="15" t="s">
        <v>124</v>
      </c>
      <c r="D66" s="2"/>
      <c r="E66" s="17" t="s">
        <v>106</v>
      </c>
      <c r="F66" s="6" t="s">
        <v>185</v>
      </c>
      <c r="G66" s="26">
        <v>1</v>
      </c>
      <c r="H66" s="24"/>
      <c r="I66" s="24"/>
      <c r="J66" s="24"/>
      <c r="K66" s="24"/>
      <c r="L66" s="46"/>
      <c r="M66" s="46"/>
      <c r="N66" s="47">
        <f t="shared" si="1"/>
        <v>0</v>
      </c>
      <c r="O66" s="48">
        <v>3</v>
      </c>
      <c r="P66" s="46">
        <v>3</v>
      </c>
      <c r="Q66" s="46"/>
      <c r="R66" s="46"/>
      <c r="S66" s="46"/>
      <c r="T66" s="47">
        <f t="shared" si="2"/>
        <v>0</v>
      </c>
    </row>
    <row r="67" spans="1:20" ht="15.75" x14ac:dyDescent="0.25">
      <c r="A67" s="3">
        <f t="shared" si="3"/>
        <v>58</v>
      </c>
      <c r="B67" s="11" t="s">
        <v>70</v>
      </c>
      <c r="C67" s="15" t="s">
        <v>124</v>
      </c>
      <c r="D67" s="2"/>
      <c r="E67" s="17" t="s">
        <v>107</v>
      </c>
      <c r="F67" s="6" t="s">
        <v>186</v>
      </c>
      <c r="G67" s="26">
        <v>9</v>
      </c>
      <c r="H67" s="24">
        <v>2</v>
      </c>
      <c r="I67" s="24">
        <v>2</v>
      </c>
      <c r="J67" s="24">
        <v>2</v>
      </c>
      <c r="K67" s="24"/>
      <c r="L67" s="46"/>
      <c r="M67" s="46"/>
      <c r="N67" s="47">
        <f t="shared" si="1"/>
        <v>0</v>
      </c>
      <c r="O67" s="48">
        <v>3</v>
      </c>
      <c r="P67" s="46">
        <v>3</v>
      </c>
      <c r="Q67" s="46"/>
      <c r="R67" s="46"/>
      <c r="S67" s="46"/>
      <c r="T67" s="47">
        <f t="shared" si="2"/>
        <v>0</v>
      </c>
    </row>
    <row r="68" spans="1:20" ht="15.75" x14ac:dyDescent="0.25">
      <c r="A68" s="3">
        <f t="shared" si="3"/>
        <v>59</v>
      </c>
      <c r="B68" s="11" t="s">
        <v>71</v>
      </c>
      <c r="C68" s="15" t="s">
        <v>124</v>
      </c>
      <c r="D68" s="2"/>
      <c r="E68" s="17" t="s">
        <v>117</v>
      </c>
      <c r="F68" s="6" t="s">
        <v>187</v>
      </c>
      <c r="G68" s="26">
        <v>5</v>
      </c>
      <c r="H68" s="24">
        <v>1</v>
      </c>
      <c r="I68" s="24">
        <v>1</v>
      </c>
      <c r="J68" s="24">
        <v>1</v>
      </c>
      <c r="K68" s="24">
        <v>1</v>
      </c>
      <c r="L68" s="46">
        <v>992.16</v>
      </c>
      <c r="M68" s="46">
        <v>992.16</v>
      </c>
      <c r="N68" s="47">
        <f t="shared" si="1"/>
        <v>0</v>
      </c>
      <c r="O68" s="48">
        <v>6</v>
      </c>
      <c r="P68" s="46">
        <v>6</v>
      </c>
      <c r="Q68" s="46">
        <v>6</v>
      </c>
      <c r="R68" s="46">
        <v>2992.76</v>
      </c>
      <c r="S68" s="46">
        <v>2992.76</v>
      </c>
      <c r="T68" s="47">
        <f t="shared" si="2"/>
        <v>0</v>
      </c>
    </row>
    <row r="69" spans="1:20" ht="15.75" x14ac:dyDescent="0.25">
      <c r="A69" s="3">
        <f t="shared" si="3"/>
        <v>60</v>
      </c>
      <c r="B69" s="11" t="s">
        <v>72</v>
      </c>
      <c r="C69" s="15" t="s">
        <v>125</v>
      </c>
      <c r="D69" s="38" t="s">
        <v>126</v>
      </c>
      <c r="E69" s="17" t="s">
        <v>106</v>
      </c>
      <c r="F69" s="6" t="s">
        <v>188</v>
      </c>
      <c r="G69" s="26">
        <v>1</v>
      </c>
      <c r="H69" s="24"/>
      <c r="I69" s="24"/>
      <c r="J69" s="24"/>
      <c r="K69" s="24"/>
      <c r="L69" s="46"/>
      <c r="M69" s="46"/>
      <c r="N69" s="47">
        <f t="shared" si="1"/>
        <v>0</v>
      </c>
      <c r="O69" s="48"/>
      <c r="P69" s="46"/>
      <c r="Q69" s="46"/>
      <c r="R69" s="46"/>
      <c r="S69" s="46"/>
      <c r="T69" s="47">
        <f t="shared" si="2"/>
        <v>0</v>
      </c>
    </row>
    <row r="70" spans="1:20" ht="15.75" x14ac:dyDescent="0.25">
      <c r="A70" s="3">
        <f t="shared" si="3"/>
        <v>61</v>
      </c>
      <c r="B70" s="10" t="s">
        <v>73</v>
      </c>
      <c r="C70" s="15" t="s">
        <v>124</v>
      </c>
      <c r="D70" s="2"/>
      <c r="E70" s="17" t="s">
        <v>106</v>
      </c>
      <c r="F70" s="6" t="s">
        <v>189</v>
      </c>
      <c r="G70" s="26"/>
      <c r="H70" s="24"/>
      <c r="I70" s="24"/>
      <c r="J70" s="24"/>
      <c r="K70" s="24"/>
      <c r="L70" s="46"/>
      <c r="M70" s="46"/>
      <c r="N70" s="47">
        <f t="shared" si="1"/>
        <v>0</v>
      </c>
      <c r="O70" s="48"/>
      <c r="P70" s="46"/>
      <c r="Q70" s="46"/>
      <c r="R70" s="46"/>
      <c r="S70" s="46"/>
      <c r="T70" s="47">
        <f t="shared" si="2"/>
        <v>0</v>
      </c>
    </row>
    <row r="71" spans="1:20" ht="15.75" x14ac:dyDescent="0.25">
      <c r="A71" s="3">
        <f t="shared" si="3"/>
        <v>62</v>
      </c>
      <c r="B71" s="11" t="s">
        <v>74</v>
      </c>
      <c r="C71" s="15" t="s">
        <v>124</v>
      </c>
      <c r="D71" s="2"/>
      <c r="E71" s="17" t="s">
        <v>111</v>
      </c>
      <c r="F71" s="6" t="s">
        <v>190</v>
      </c>
      <c r="G71" s="26">
        <v>3</v>
      </c>
      <c r="H71" s="24"/>
      <c r="I71" s="24"/>
      <c r="J71" s="24"/>
      <c r="K71" s="24"/>
      <c r="L71" s="46"/>
      <c r="M71" s="46"/>
      <c r="N71" s="47">
        <f t="shared" si="1"/>
        <v>0</v>
      </c>
      <c r="O71" s="48">
        <v>9</v>
      </c>
      <c r="P71" s="46">
        <v>9</v>
      </c>
      <c r="Q71" s="46"/>
      <c r="R71" s="46"/>
      <c r="S71" s="46"/>
      <c r="T71" s="47">
        <f t="shared" si="2"/>
        <v>0</v>
      </c>
    </row>
    <row r="72" spans="1:20" ht="15.75" x14ac:dyDescent="0.25">
      <c r="A72" s="3">
        <f t="shared" si="3"/>
        <v>63</v>
      </c>
      <c r="B72" s="11" t="s">
        <v>75</v>
      </c>
      <c r="C72" s="15" t="s">
        <v>124</v>
      </c>
      <c r="D72" s="2"/>
      <c r="E72" s="17" t="s">
        <v>118</v>
      </c>
      <c r="F72" s="6" t="s">
        <v>191</v>
      </c>
      <c r="G72" s="26">
        <v>3</v>
      </c>
      <c r="H72" s="24"/>
      <c r="I72" s="24"/>
      <c r="J72" s="24"/>
      <c r="K72" s="24"/>
      <c r="L72" s="46"/>
      <c r="M72" s="46"/>
      <c r="N72" s="47">
        <f t="shared" si="1"/>
        <v>0</v>
      </c>
      <c r="O72" s="48">
        <v>3</v>
      </c>
      <c r="P72" s="46">
        <v>3</v>
      </c>
      <c r="Q72" s="46"/>
      <c r="R72" s="46"/>
      <c r="S72" s="46"/>
      <c r="T72" s="47">
        <f t="shared" si="2"/>
        <v>0</v>
      </c>
    </row>
    <row r="73" spans="1:20" ht="15.75" x14ac:dyDescent="0.25">
      <c r="A73" s="3">
        <f t="shared" si="3"/>
        <v>64</v>
      </c>
      <c r="B73" s="10" t="s">
        <v>76</v>
      </c>
      <c r="C73" s="15" t="s">
        <v>124</v>
      </c>
      <c r="D73" s="2"/>
      <c r="E73" s="10" t="s">
        <v>105</v>
      </c>
      <c r="F73" s="6" t="s">
        <v>192</v>
      </c>
      <c r="G73" s="26">
        <v>2</v>
      </c>
      <c r="H73" s="24"/>
      <c r="I73" s="24"/>
      <c r="J73" s="24"/>
      <c r="K73" s="24"/>
      <c r="L73" s="46"/>
      <c r="M73" s="46"/>
      <c r="N73" s="47">
        <f t="shared" si="1"/>
        <v>0</v>
      </c>
      <c r="O73" s="48">
        <v>2</v>
      </c>
      <c r="P73" s="46">
        <v>2</v>
      </c>
      <c r="Q73" s="46"/>
      <c r="R73" s="46"/>
      <c r="S73" s="46"/>
      <c r="T73" s="47">
        <f t="shared" si="2"/>
        <v>0</v>
      </c>
    </row>
    <row r="74" spans="1:20" ht="15.75" x14ac:dyDescent="0.25">
      <c r="A74" s="3">
        <f t="shared" si="3"/>
        <v>65</v>
      </c>
      <c r="B74" s="11" t="s">
        <v>77</v>
      </c>
      <c r="C74" s="15" t="s">
        <v>124</v>
      </c>
      <c r="D74" s="2"/>
      <c r="E74" s="10" t="s">
        <v>111</v>
      </c>
      <c r="F74" s="6"/>
      <c r="G74" s="26"/>
      <c r="H74" s="24"/>
      <c r="I74" s="24"/>
      <c r="J74" s="24"/>
      <c r="K74" s="24"/>
      <c r="L74" s="46"/>
      <c r="M74" s="46"/>
      <c r="N74" s="47">
        <f t="shared" si="1"/>
        <v>0</v>
      </c>
      <c r="O74" s="48">
        <v>1</v>
      </c>
      <c r="P74" s="46">
        <v>1</v>
      </c>
      <c r="Q74" s="46"/>
      <c r="R74" s="46"/>
      <c r="S74" s="46"/>
      <c r="T74" s="47">
        <f t="shared" si="2"/>
        <v>0</v>
      </c>
    </row>
    <row r="75" spans="1:20" ht="15.75" x14ac:dyDescent="0.25">
      <c r="A75" s="3">
        <f t="shared" si="3"/>
        <v>66</v>
      </c>
      <c r="B75" s="10" t="s">
        <v>78</v>
      </c>
      <c r="C75" s="15" t="s">
        <v>124</v>
      </c>
      <c r="D75" s="2"/>
      <c r="E75" s="23" t="s">
        <v>119</v>
      </c>
      <c r="F75" s="6" t="s">
        <v>193</v>
      </c>
      <c r="G75" s="26"/>
      <c r="H75" s="24"/>
      <c r="I75" s="24"/>
      <c r="J75" s="24"/>
      <c r="K75" s="24"/>
      <c r="L75" s="46"/>
      <c r="M75" s="46"/>
      <c r="N75" s="47">
        <f t="shared" si="1"/>
        <v>0</v>
      </c>
      <c r="O75" s="48"/>
      <c r="P75" s="46"/>
      <c r="Q75" s="46"/>
      <c r="R75" s="46"/>
      <c r="S75" s="46"/>
      <c r="T75" s="47">
        <f t="shared" si="2"/>
        <v>0</v>
      </c>
    </row>
    <row r="76" spans="1:20" ht="15.75" x14ac:dyDescent="0.25">
      <c r="A76" s="3">
        <f t="shared" si="3"/>
        <v>67</v>
      </c>
      <c r="B76" s="11" t="s">
        <v>79</v>
      </c>
      <c r="C76" s="15" t="s">
        <v>124</v>
      </c>
      <c r="D76" s="2"/>
      <c r="E76" s="17" t="s">
        <v>106</v>
      </c>
      <c r="F76" s="6" t="s">
        <v>194</v>
      </c>
      <c r="G76" s="26">
        <v>2</v>
      </c>
      <c r="H76" s="24">
        <v>1</v>
      </c>
      <c r="I76" s="24">
        <v>1</v>
      </c>
      <c r="J76" s="24">
        <v>1</v>
      </c>
      <c r="K76" s="24"/>
      <c r="L76" s="46"/>
      <c r="M76" s="46"/>
      <c r="N76" s="47">
        <f t="shared" si="1"/>
        <v>0</v>
      </c>
      <c r="O76" s="48">
        <v>1</v>
      </c>
      <c r="P76" s="46">
        <v>1</v>
      </c>
      <c r="Q76" s="46"/>
      <c r="R76" s="46"/>
      <c r="S76" s="46"/>
      <c r="T76" s="47">
        <f t="shared" si="2"/>
        <v>0</v>
      </c>
    </row>
    <row r="77" spans="1:20" ht="15.75" x14ac:dyDescent="0.25">
      <c r="A77" s="3">
        <f t="shared" si="3"/>
        <v>68</v>
      </c>
      <c r="B77" s="11" t="s">
        <v>80</v>
      </c>
      <c r="C77" s="15" t="s">
        <v>124</v>
      </c>
      <c r="D77" s="2"/>
      <c r="E77" s="17" t="s">
        <v>106</v>
      </c>
      <c r="F77" s="6" t="s">
        <v>195</v>
      </c>
      <c r="G77" s="26">
        <v>1</v>
      </c>
      <c r="H77" s="24"/>
      <c r="I77" s="24"/>
      <c r="J77" s="24"/>
      <c r="K77" s="24"/>
      <c r="L77" s="46"/>
      <c r="M77" s="46"/>
      <c r="N77" s="47">
        <f t="shared" si="1"/>
        <v>0</v>
      </c>
      <c r="O77" s="48"/>
      <c r="P77" s="46"/>
      <c r="Q77" s="46"/>
      <c r="R77" s="46"/>
      <c r="S77" s="46"/>
      <c r="T77" s="47">
        <f t="shared" si="2"/>
        <v>0</v>
      </c>
    </row>
    <row r="78" spans="1:20" ht="15.75" x14ac:dyDescent="0.25">
      <c r="A78" s="3">
        <f t="shared" si="3"/>
        <v>69</v>
      </c>
      <c r="B78" s="14" t="s">
        <v>81</v>
      </c>
      <c r="C78" s="15" t="s">
        <v>124</v>
      </c>
      <c r="D78" s="2"/>
      <c r="E78" s="10" t="s">
        <v>106</v>
      </c>
      <c r="F78" s="6"/>
      <c r="G78" s="26"/>
      <c r="H78" s="24"/>
      <c r="I78" s="24"/>
      <c r="J78" s="24"/>
      <c r="K78" s="24"/>
      <c r="L78" s="46"/>
      <c r="M78" s="46"/>
      <c r="N78" s="47">
        <f t="shared" si="1"/>
        <v>0</v>
      </c>
      <c r="O78" s="48">
        <v>4</v>
      </c>
      <c r="P78" s="46">
        <v>4</v>
      </c>
      <c r="Q78" s="46"/>
      <c r="R78" s="46"/>
      <c r="S78" s="46"/>
      <c r="T78" s="47">
        <f t="shared" si="2"/>
        <v>0</v>
      </c>
    </row>
    <row r="79" spans="1:20" ht="15.75" x14ac:dyDescent="0.25">
      <c r="A79" s="3">
        <f t="shared" si="3"/>
        <v>70</v>
      </c>
      <c r="B79" s="14" t="s">
        <v>82</v>
      </c>
      <c r="C79" s="15" t="s">
        <v>124</v>
      </c>
      <c r="D79" s="2"/>
      <c r="E79" s="10" t="s">
        <v>106</v>
      </c>
      <c r="F79" s="6" t="s">
        <v>196</v>
      </c>
      <c r="G79" s="26">
        <v>2</v>
      </c>
      <c r="H79" s="24"/>
      <c r="I79" s="24"/>
      <c r="J79" s="24"/>
      <c r="K79" s="24"/>
      <c r="L79" s="46"/>
      <c r="M79" s="46"/>
      <c r="N79" s="47">
        <f t="shared" si="1"/>
        <v>0</v>
      </c>
      <c r="O79" s="48"/>
      <c r="P79" s="46"/>
      <c r="Q79" s="46"/>
      <c r="R79" s="46"/>
      <c r="S79" s="46"/>
      <c r="T79" s="47">
        <f t="shared" si="2"/>
        <v>0</v>
      </c>
    </row>
    <row r="80" spans="1:20" ht="15.75" x14ac:dyDescent="0.25">
      <c r="A80" s="3">
        <f t="shared" ref="A80:A102" si="4">A79+1</f>
        <v>71</v>
      </c>
      <c r="B80" s="14" t="s">
        <v>83</v>
      </c>
      <c r="C80" s="15" t="s">
        <v>124</v>
      </c>
      <c r="D80" s="2"/>
      <c r="E80" s="10" t="s">
        <v>106</v>
      </c>
      <c r="F80" s="6" t="s">
        <v>197</v>
      </c>
      <c r="G80" s="26">
        <v>3</v>
      </c>
      <c r="H80" s="24">
        <v>1</v>
      </c>
      <c r="I80" s="24">
        <v>1</v>
      </c>
      <c r="J80" s="24">
        <v>1</v>
      </c>
      <c r="K80" s="24"/>
      <c r="L80" s="46"/>
      <c r="M80" s="46"/>
      <c r="N80" s="47">
        <f t="shared" ref="N80:N102" si="5" xml:space="preserve"> (L80-M80)</f>
        <v>0</v>
      </c>
      <c r="O80" s="48">
        <v>5</v>
      </c>
      <c r="P80" s="46">
        <v>5</v>
      </c>
      <c r="Q80" s="46"/>
      <c r="R80" s="46"/>
      <c r="S80" s="46"/>
      <c r="T80" s="47">
        <f t="shared" ref="T80:T102" si="6" xml:space="preserve"> (R80-S80)</f>
        <v>0</v>
      </c>
    </row>
    <row r="81" spans="1:20" ht="15.75" x14ac:dyDescent="0.25">
      <c r="A81" s="3">
        <f t="shared" si="4"/>
        <v>72</v>
      </c>
      <c r="B81" s="11" t="s">
        <v>84</v>
      </c>
      <c r="C81" s="15" t="s">
        <v>124</v>
      </c>
      <c r="D81" s="2"/>
      <c r="E81" s="10" t="s">
        <v>120</v>
      </c>
      <c r="F81" s="6" t="s">
        <v>198</v>
      </c>
      <c r="G81" s="26"/>
      <c r="H81" s="24"/>
      <c r="I81" s="24"/>
      <c r="J81" s="24"/>
      <c r="K81" s="24"/>
      <c r="L81" s="46"/>
      <c r="M81" s="46"/>
      <c r="N81" s="47">
        <f t="shared" si="5"/>
        <v>0</v>
      </c>
      <c r="O81" s="48"/>
      <c r="P81" s="46"/>
      <c r="Q81" s="46"/>
      <c r="R81" s="46"/>
      <c r="S81" s="46"/>
      <c r="T81" s="47">
        <f t="shared" si="6"/>
        <v>0</v>
      </c>
    </row>
    <row r="82" spans="1:20" ht="15.75" x14ac:dyDescent="0.25">
      <c r="A82" s="3">
        <f t="shared" si="4"/>
        <v>73</v>
      </c>
      <c r="B82" s="13" t="s">
        <v>85</v>
      </c>
      <c r="C82" s="15" t="s">
        <v>124</v>
      </c>
      <c r="D82" s="2"/>
      <c r="E82" s="19" t="s">
        <v>106</v>
      </c>
      <c r="F82" s="6" t="s">
        <v>199</v>
      </c>
      <c r="G82" s="26">
        <v>4</v>
      </c>
      <c r="H82" s="24">
        <v>1</v>
      </c>
      <c r="I82" s="24">
        <v>1</v>
      </c>
      <c r="J82" s="24">
        <v>1</v>
      </c>
      <c r="K82" s="24"/>
      <c r="L82" s="46"/>
      <c r="M82" s="46"/>
      <c r="N82" s="47">
        <f t="shared" si="5"/>
        <v>0</v>
      </c>
      <c r="O82" s="48">
        <v>3</v>
      </c>
      <c r="P82" s="46">
        <v>3</v>
      </c>
      <c r="Q82" s="46"/>
      <c r="R82" s="46"/>
      <c r="S82" s="46"/>
      <c r="T82" s="47">
        <f t="shared" si="6"/>
        <v>0</v>
      </c>
    </row>
    <row r="83" spans="1:20" ht="15.75" x14ac:dyDescent="0.25">
      <c r="A83" s="3">
        <f t="shared" si="4"/>
        <v>74</v>
      </c>
      <c r="B83" s="10" t="s">
        <v>86</v>
      </c>
      <c r="C83" s="15" t="s">
        <v>124</v>
      </c>
      <c r="D83" s="2"/>
      <c r="E83" s="22" t="s">
        <v>118</v>
      </c>
      <c r="F83" s="6" t="s">
        <v>200</v>
      </c>
      <c r="G83" s="26">
        <v>4</v>
      </c>
      <c r="H83" s="24"/>
      <c r="I83" s="24"/>
      <c r="J83" s="24"/>
      <c r="K83" s="24"/>
      <c r="L83" s="46"/>
      <c r="M83" s="46"/>
      <c r="N83" s="47">
        <f t="shared" si="5"/>
        <v>0</v>
      </c>
      <c r="O83" s="48"/>
      <c r="P83" s="46"/>
      <c r="Q83" s="46"/>
      <c r="R83" s="46"/>
      <c r="S83" s="46"/>
      <c r="T83" s="47">
        <f t="shared" si="6"/>
        <v>0</v>
      </c>
    </row>
    <row r="84" spans="1:20" ht="15.75" x14ac:dyDescent="0.25">
      <c r="A84" s="3">
        <f t="shared" si="4"/>
        <v>75</v>
      </c>
      <c r="B84" s="10" t="s">
        <v>87</v>
      </c>
      <c r="C84" s="15" t="s">
        <v>124</v>
      </c>
      <c r="D84" s="2"/>
      <c r="E84" s="22" t="s">
        <v>115</v>
      </c>
      <c r="F84" s="6" t="s">
        <v>201</v>
      </c>
      <c r="G84" s="26">
        <v>3</v>
      </c>
      <c r="H84" s="24"/>
      <c r="I84" s="24"/>
      <c r="J84" s="24"/>
      <c r="K84" s="24"/>
      <c r="L84" s="46"/>
      <c r="M84" s="46"/>
      <c r="N84" s="47">
        <f t="shared" si="5"/>
        <v>0</v>
      </c>
      <c r="O84" s="48"/>
      <c r="P84" s="46"/>
      <c r="Q84" s="46"/>
      <c r="R84" s="46"/>
      <c r="S84" s="46"/>
      <c r="T84" s="47">
        <f t="shared" si="6"/>
        <v>0</v>
      </c>
    </row>
    <row r="85" spans="1:20" ht="15.75" x14ac:dyDescent="0.25">
      <c r="A85" s="3">
        <f t="shared" si="4"/>
        <v>76</v>
      </c>
      <c r="B85" s="11" t="s">
        <v>88</v>
      </c>
      <c r="C85" s="15" t="s">
        <v>124</v>
      </c>
      <c r="D85" s="2"/>
      <c r="E85" s="17" t="s">
        <v>121</v>
      </c>
      <c r="F85" s="6" t="s">
        <v>202</v>
      </c>
      <c r="G85" s="26">
        <v>8</v>
      </c>
      <c r="H85" s="24"/>
      <c r="I85" s="24"/>
      <c r="J85" s="24"/>
      <c r="K85" s="24"/>
      <c r="L85" s="46"/>
      <c r="M85" s="46"/>
      <c r="N85" s="47">
        <f t="shared" si="5"/>
        <v>0</v>
      </c>
      <c r="O85" s="48">
        <v>4</v>
      </c>
      <c r="P85" s="46">
        <v>3</v>
      </c>
      <c r="Q85" s="46"/>
      <c r="R85" s="46"/>
      <c r="S85" s="46"/>
      <c r="T85" s="47">
        <f t="shared" si="6"/>
        <v>0</v>
      </c>
    </row>
    <row r="86" spans="1:20" ht="15.75" x14ac:dyDescent="0.25">
      <c r="A86" s="3">
        <f t="shared" si="4"/>
        <v>77</v>
      </c>
      <c r="B86" s="14" t="s">
        <v>89</v>
      </c>
      <c r="C86" s="15" t="s">
        <v>124</v>
      </c>
      <c r="D86" s="2"/>
      <c r="E86" s="19" t="s">
        <v>106</v>
      </c>
      <c r="F86" s="6" t="s">
        <v>203</v>
      </c>
      <c r="G86" s="26"/>
      <c r="H86" s="24"/>
      <c r="I86" s="24"/>
      <c r="J86" s="24"/>
      <c r="K86" s="24"/>
      <c r="L86" s="46"/>
      <c r="M86" s="46"/>
      <c r="N86" s="47">
        <f t="shared" si="5"/>
        <v>0</v>
      </c>
      <c r="O86" s="48"/>
      <c r="P86" s="46"/>
      <c r="Q86" s="46"/>
      <c r="R86" s="46"/>
      <c r="S86" s="46"/>
      <c r="T86" s="47">
        <f t="shared" si="6"/>
        <v>0</v>
      </c>
    </row>
    <row r="87" spans="1:20" ht="15.75" x14ac:dyDescent="0.25">
      <c r="A87" s="3">
        <f t="shared" si="4"/>
        <v>78</v>
      </c>
      <c r="B87" s="14" t="s">
        <v>90</v>
      </c>
      <c r="C87" s="15" t="s">
        <v>124</v>
      </c>
      <c r="D87" s="2"/>
      <c r="E87" s="19" t="s">
        <v>106</v>
      </c>
      <c r="F87" s="6" t="s">
        <v>204</v>
      </c>
      <c r="G87" s="26">
        <v>1</v>
      </c>
      <c r="H87" s="24"/>
      <c r="I87" s="24"/>
      <c r="J87" s="24"/>
      <c r="K87" s="24"/>
      <c r="L87" s="46"/>
      <c r="M87" s="46"/>
      <c r="N87" s="47">
        <f t="shared" si="5"/>
        <v>0</v>
      </c>
      <c r="O87" s="48"/>
      <c r="P87" s="46"/>
      <c r="Q87" s="46"/>
      <c r="R87" s="46"/>
      <c r="S87" s="46"/>
      <c r="T87" s="47">
        <f t="shared" si="6"/>
        <v>0</v>
      </c>
    </row>
    <row r="88" spans="1:20" ht="15.75" x14ac:dyDescent="0.25">
      <c r="A88" s="3">
        <f t="shared" si="4"/>
        <v>79</v>
      </c>
      <c r="B88" s="10" t="s">
        <v>91</v>
      </c>
      <c r="C88" s="15" t="s">
        <v>124</v>
      </c>
      <c r="D88" s="2"/>
      <c r="E88" s="17" t="s">
        <v>111</v>
      </c>
      <c r="F88" s="6"/>
      <c r="G88" s="26">
        <v>1</v>
      </c>
      <c r="H88" s="24"/>
      <c r="I88" s="24"/>
      <c r="J88" s="24"/>
      <c r="K88" s="24"/>
      <c r="L88" s="46"/>
      <c r="M88" s="46"/>
      <c r="N88" s="47">
        <f t="shared" si="5"/>
        <v>0</v>
      </c>
      <c r="O88" s="48">
        <v>4</v>
      </c>
      <c r="P88" s="46">
        <v>3</v>
      </c>
      <c r="Q88" s="46"/>
      <c r="R88" s="46"/>
      <c r="S88" s="46"/>
      <c r="T88" s="47">
        <f t="shared" si="6"/>
        <v>0</v>
      </c>
    </row>
    <row r="89" spans="1:20" ht="15.75" x14ac:dyDescent="0.25">
      <c r="A89" s="3">
        <f t="shared" si="4"/>
        <v>80</v>
      </c>
      <c r="B89" s="10" t="s">
        <v>92</v>
      </c>
      <c r="C89" s="15" t="s">
        <v>124</v>
      </c>
      <c r="D89" s="2"/>
      <c r="E89" s="19" t="s">
        <v>106</v>
      </c>
      <c r="F89" s="6" t="s">
        <v>205</v>
      </c>
      <c r="G89" s="26">
        <v>1</v>
      </c>
      <c r="H89" s="24"/>
      <c r="I89" s="24"/>
      <c r="J89" s="24"/>
      <c r="K89" s="24"/>
      <c r="L89" s="46"/>
      <c r="M89" s="46"/>
      <c r="N89" s="47">
        <f t="shared" si="5"/>
        <v>0</v>
      </c>
      <c r="O89" s="48">
        <v>1</v>
      </c>
      <c r="P89" s="46">
        <v>1</v>
      </c>
      <c r="Q89" s="46"/>
      <c r="R89" s="46"/>
      <c r="S89" s="46"/>
      <c r="T89" s="47">
        <f t="shared" si="6"/>
        <v>0</v>
      </c>
    </row>
    <row r="90" spans="1:20" ht="15.75" x14ac:dyDescent="0.25">
      <c r="A90" s="3">
        <f t="shared" si="4"/>
        <v>81</v>
      </c>
      <c r="B90" s="11" t="s">
        <v>93</v>
      </c>
      <c r="C90" s="15" t="s">
        <v>124</v>
      </c>
      <c r="D90" s="2"/>
      <c r="E90" s="17" t="s">
        <v>122</v>
      </c>
      <c r="F90" s="6" t="s">
        <v>206</v>
      </c>
      <c r="G90" s="26">
        <v>3</v>
      </c>
      <c r="H90" s="24"/>
      <c r="I90" s="24"/>
      <c r="J90" s="24"/>
      <c r="K90" s="24"/>
      <c r="L90" s="46"/>
      <c r="M90" s="46"/>
      <c r="N90" s="47">
        <f t="shared" si="5"/>
        <v>0</v>
      </c>
      <c r="O90" s="48"/>
      <c r="P90" s="46"/>
      <c r="Q90" s="46"/>
      <c r="R90" s="46"/>
      <c r="S90" s="46"/>
      <c r="T90" s="47">
        <f t="shared" si="6"/>
        <v>0</v>
      </c>
    </row>
    <row r="91" spans="1:20" ht="15.75" x14ac:dyDescent="0.25">
      <c r="A91" s="3">
        <f t="shared" si="4"/>
        <v>82</v>
      </c>
      <c r="B91" s="11" t="s">
        <v>94</v>
      </c>
      <c r="C91" s="15" t="s">
        <v>124</v>
      </c>
      <c r="D91" s="2"/>
      <c r="E91" s="19" t="s">
        <v>106</v>
      </c>
      <c r="F91" s="6" t="s">
        <v>218</v>
      </c>
      <c r="G91" s="26">
        <v>1</v>
      </c>
      <c r="H91" s="24"/>
      <c r="I91" s="24"/>
      <c r="J91" s="24"/>
      <c r="K91" s="24"/>
      <c r="L91" s="46"/>
      <c r="M91" s="46"/>
      <c r="N91" s="47">
        <f t="shared" si="5"/>
        <v>0</v>
      </c>
      <c r="O91" s="48"/>
      <c r="P91" s="46"/>
      <c r="Q91" s="46"/>
      <c r="R91" s="46"/>
      <c r="S91" s="46"/>
      <c r="T91" s="47">
        <f t="shared" si="6"/>
        <v>0</v>
      </c>
    </row>
    <row r="92" spans="1:20" ht="15.75" x14ac:dyDescent="0.25">
      <c r="A92" s="3">
        <f t="shared" si="4"/>
        <v>83</v>
      </c>
      <c r="B92" s="11" t="s">
        <v>95</v>
      </c>
      <c r="C92" s="15" t="s">
        <v>124</v>
      </c>
      <c r="D92" s="2"/>
      <c r="E92" s="19" t="s">
        <v>123</v>
      </c>
      <c r="F92" s="6" t="s">
        <v>217</v>
      </c>
      <c r="G92" s="26">
        <v>3</v>
      </c>
      <c r="H92" s="24"/>
      <c r="I92" s="24"/>
      <c r="J92" s="24"/>
      <c r="K92" s="24"/>
      <c r="L92" s="46"/>
      <c r="M92" s="46"/>
      <c r="N92" s="47">
        <f t="shared" si="5"/>
        <v>0</v>
      </c>
      <c r="O92" s="48">
        <v>1</v>
      </c>
      <c r="P92" s="46">
        <v>1</v>
      </c>
      <c r="Q92" s="46"/>
      <c r="R92" s="46"/>
      <c r="S92" s="46"/>
      <c r="T92" s="47">
        <f t="shared" si="6"/>
        <v>0</v>
      </c>
    </row>
    <row r="93" spans="1:20" ht="15.75" x14ac:dyDescent="0.25">
      <c r="A93" s="3">
        <f t="shared" si="4"/>
        <v>84</v>
      </c>
      <c r="B93" s="11" t="s">
        <v>96</v>
      </c>
      <c r="C93" s="15" t="s">
        <v>124</v>
      </c>
      <c r="D93" s="2"/>
      <c r="E93" s="22" t="s">
        <v>112</v>
      </c>
      <c r="F93" s="6" t="s">
        <v>216</v>
      </c>
      <c r="G93" s="26">
        <v>8</v>
      </c>
      <c r="H93" s="24"/>
      <c r="I93" s="24"/>
      <c r="J93" s="24"/>
      <c r="K93" s="24"/>
      <c r="L93" s="46"/>
      <c r="M93" s="46"/>
      <c r="N93" s="47">
        <f t="shared" si="5"/>
        <v>0</v>
      </c>
      <c r="O93" s="48">
        <v>3</v>
      </c>
      <c r="P93" s="46"/>
      <c r="Q93" s="46"/>
      <c r="R93" s="46"/>
      <c r="S93" s="46"/>
      <c r="T93" s="47">
        <f t="shared" si="6"/>
        <v>0</v>
      </c>
    </row>
    <row r="94" spans="1:20" ht="15.75" x14ac:dyDescent="0.25">
      <c r="A94" s="3">
        <f t="shared" si="4"/>
        <v>85</v>
      </c>
      <c r="B94" s="11" t="s">
        <v>97</v>
      </c>
      <c r="C94" s="15" t="s">
        <v>124</v>
      </c>
      <c r="D94" s="2"/>
      <c r="E94" s="17" t="s">
        <v>111</v>
      </c>
      <c r="F94" s="6" t="s">
        <v>215</v>
      </c>
      <c r="G94" s="26">
        <v>3</v>
      </c>
      <c r="H94" s="24"/>
      <c r="I94" s="24"/>
      <c r="J94" s="24"/>
      <c r="K94" s="24"/>
      <c r="L94" s="46"/>
      <c r="M94" s="46"/>
      <c r="N94" s="47">
        <f t="shared" si="5"/>
        <v>0</v>
      </c>
      <c r="O94" s="48">
        <v>11</v>
      </c>
      <c r="P94" s="46">
        <v>7</v>
      </c>
      <c r="Q94" s="46"/>
      <c r="R94" s="46"/>
      <c r="S94" s="46"/>
      <c r="T94" s="47">
        <f t="shared" si="6"/>
        <v>0</v>
      </c>
    </row>
    <row r="95" spans="1:20" ht="15.75" x14ac:dyDescent="0.25">
      <c r="A95" s="3">
        <f t="shared" si="4"/>
        <v>86</v>
      </c>
      <c r="B95" s="10" t="s">
        <v>98</v>
      </c>
      <c r="C95" s="15" t="s">
        <v>124</v>
      </c>
      <c r="D95" s="2"/>
      <c r="E95" s="19" t="s">
        <v>106</v>
      </c>
      <c r="F95" s="6" t="s">
        <v>214</v>
      </c>
      <c r="G95" s="26">
        <v>5</v>
      </c>
      <c r="H95" s="24"/>
      <c r="I95" s="24"/>
      <c r="J95" s="24"/>
      <c r="K95" s="24"/>
      <c r="L95" s="46"/>
      <c r="M95" s="46"/>
      <c r="N95" s="47">
        <f t="shared" si="5"/>
        <v>0</v>
      </c>
      <c r="O95" s="48">
        <v>1</v>
      </c>
      <c r="P95" s="46">
        <v>1</v>
      </c>
      <c r="Q95" s="46"/>
      <c r="R95" s="46"/>
      <c r="S95" s="46"/>
      <c r="T95" s="47">
        <f t="shared" si="6"/>
        <v>0</v>
      </c>
    </row>
    <row r="96" spans="1:20" ht="15.75" x14ac:dyDescent="0.25">
      <c r="A96" s="3">
        <f t="shared" si="4"/>
        <v>87</v>
      </c>
      <c r="B96" s="10" t="s">
        <v>129</v>
      </c>
      <c r="C96" s="15" t="s">
        <v>124</v>
      </c>
      <c r="D96" s="2"/>
      <c r="E96" s="19" t="s">
        <v>106</v>
      </c>
      <c r="F96" s="6" t="s">
        <v>213</v>
      </c>
      <c r="G96" s="26">
        <v>1</v>
      </c>
      <c r="H96" s="24"/>
      <c r="I96" s="24"/>
      <c r="J96" s="24"/>
      <c r="K96" s="24"/>
      <c r="L96" s="46"/>
      <c r="M96" s="46"/>
      <c r="N96" s="47">
        <f t="shared" si="5"/>
        <v>0</v>
      </c>
      <c r="O96" s="48"/>
      <c r="P96" s="46"/>
      <c r="Q96" s="46"/>
      <c r="R96" s="46"/>
      <c r="S96" s="46"/>
      <c r="T96" s="47">
        <f t="shared" si="6"/>
        <v>0</v>
      </c>
    </row>
    <row r="97" spans="1:20" ht="15.75" x14ac:dyDescent="0.25">
      <c r="A97" s="3">
        <f t="shared" si="4"/>
        <v>88</v>
      </c>
      <c r="B97" s="10" t="s">
        <v>99</v>
      </c>
      <c r="C97" s="15" t="s">
        <v>124</v>
      </c>
      <c r="D97" s="2"/>
      <c r="E97" s="19" t="s">
        <v>106</v>
      </c>
      <c r="F97" s="6" t="s">
        <v>212</v>
      </c>
      <c r="G97" s="26">
        <v>3</v>
      </c>
      <c r="H97" s="24">
        <v>1</v>
      </c>
      <c r="I97" s="24">
        <v>1</v>
      </c>
      <c r="J97" s="24">
        <v>1</v>
      </c>
      <c r="K97" s="24"/>
      <c r="L97" s="46"/>
      <c r="M97" s="46"/>
      <c r="N97" s="47">
        <f t="shared" si="5"/>
        <v>0</v>
      </c>
      <c r="O97" s="48">
        <v>2</v>
      </c>
      <c r="P97" s="46">
        <v>2</v>
      </c>
      <c r="Q97" s="46"/>
      <c r="R97" s="46"/>
      <c r="S97" s="46"/>
      <c r="T97" s="47">
        <f t="shared" si="6"/>
        <v>0</v>
      </c>
    </row>
    <row r="98" spans="1:20" ht="15.75" x14ac:dyDescent="0.25">
      <c r="A98" s="3">
        <f t="shared" si="4"/>
        <v>89</v>
      </c>
      <c r="B98" s="13" t="s">
        <v>100</v>
      </c>
      <c r="C98" s="15" t="s">
        <v>124</v>
      </c>
      <c r="D98" s="2"/>
      <c r="E98" s="19" t="s">
        <v>106</v>
      </c>
      <c r="F98" s="6" t="s">
        <v>211</v>
      </c>
      <c r="G98" s="26">
        <v>3</v>
      </c>
      <c r="H98" s="24"/>
      <c r="I98" s="24"/>
      <c r="J98" s="24"/>
      <c r="K98" s="24"/>
      <c r="L98" s="46"/>
      <c r="M98" s="46"/>
      <c r="N98" s="47">
        <f t="shared" si="5"/>
        <v>0</v>
      </c>
      <c r="O98" s="48">
        <v>4</v>
      </c>
      <c r="P98" s="46">
        <v>3</v>
      </c>
      <c r="Q98" s="46"/>
      <c r="R98" s="46"/>
      <c r="S98" s="46"/>
      <c r="T98" s="47">
        <f t="shared" si="6"/>
        <v>0</v>
      </c>
    </row>
    <row r="99" spans="1:20" ht="15.75" x14ac:dyDescent="0.25">
      <c r="A99" s="3">
        <f t="shared" si="4"/>
        <v>90</v>
      </c>
      <c r="B99" s="13" t="s">
        <v>101</v>
      </c>
      <c r="C99" s="15" t="s">
        <v>124</v>
      </c>
      <c r="D99" s="2"/>
      <c r="E99" s="17" t="s">
        <v>106</v>
      </c>
      <c r="F99" s="6" t="s">
        <v>210</v>
      </c>
      <c r="G99" s="26">
        <v>1</v>
      </c>
      <c r="H99" s="24"/>
      <c r="I99" s="24"/>
      <c r="J99" s="24"/>
      <c r="K99" s="24"/>
      <c r="L99" s="46"/>
      <c r="M99" s="46"/>
      <c r="N99" s="47">
        <f t="shared" si="5"/>
        <v>0</v>
      </c>
      <c r="O99" s="48">
        <v>3</v>
      </c>
      <c r="P99" s="46">
        <v>3</v>
      </c>
      <c r="Q99" s="46"/>
      <c r="R99" s="46"/>
      <c r="S99" s="46"/>
      <c r="T99" s="47">
        <f t="shared" si="6"/>
        <v>0</v>
      </c>
    </row>
    <row r="100" spans="1:20" ht="15.75" x14ac:dyDescent="0.25">
      <c r="A100" s="3">
        <f t="shared" si="4"/>
        <v>91</v>
      </c>
      <c r="B100" s="13" t="s">
        <v>102</v>
      </c>
      <c r="C100" s="15" t="s">
        <v>124</v>
      </c>
      <c r="D100" s="2"/>
      <c r="E100" s="17" t="s">
        <v>106</v>
      </c>
      <c r="F100" s="6" t="s">
        <v>209</v>
      </c>
      <c r="G100" s="26">
        <v>5</v>
      </c>
      <c r="H100" s="24">
        <v>1</v>
      </c>
      <c r="I100" s="24">
        <v>1</v>
      </c>
      <c r="J100" s="24">
        <v>1</v>
      </c>
      <c r="K100" s="24"/>
      <c r="L100" s="46"/>
      <c r="M100" s="46"/>
      <c r="N100" s="47">
        <f t="shared" si="5"/>
        <v>0</v>
      </c>
      <c r="O100" s="48">
        <v>5</v>
      </c>
      <c r="P100" s="46">
        <v>5</v>
      </c>
      <c r="Q100" s="46"/>
      <c r="R100" s="46"/>
      <c r="S100" s="46"/>
      <c r="T100" s="47">
        <f t="shared" si="6"/>
        <v>0</v>
      </c>
    </row>
    <row r="101" spans="1:20" ht="15.75" x14ac:dyDescent="0.25">
      <c r="A101" s="3">
        <f t="shared" si="4"/>
        <v>92</v>
      </c>
      <c r="B101" s="11" t="s">
        <v>103</v>
      </c>
      <c r="C101" s="15" t="s">
        <v>124</v>
      </c>
      <c r="D101" s="2"/>
      <c r="E101" s="22" t="s">
        <v>112</v>
      </c>
      <c r="F101" s="6" t="s">
        <v>208</v>
      </c>
      <c r="G101" s="26">
        <v>6</v>
      </c>
      <c r="H101" s="24"/>
      <c r="I101" s="24"/>
      <c r="J101" s="24"/>
      <c r="K101" s="24"/>
      <c r="L101" s="46"/>
      <c r="M101" s="46"/>
      <c r="N101" s="47">
        <f t="shared" si="5"/>
        <v>0</v>
      </c>
      <c r="O101" s="48">
        <v>9</v>
      </c>
      <c r="P101" s="46"/>
      <c r="Q101" s="46"/>
      <c r="R101" s="46"/>
      <c r="S101" s="46"/>
      <c r="T101" s="47">
        <f t="shared" si="6"/>
        <v>0</v>
      </c>
    </row>
    <row r="102" spans="1:20" ht="16.5" thickBot="1" x14ac:dyDescent="0.3">
      <c r="A102" s="3">
        <f t="shared" si="4"/>
        <v>93</v>
      </c>
      <c r="B102" s="30" t="s">
        <v>104</v>
      </c>
      <c r="C102" s="31" t="s">
        <v>124</v>
      </c>
      <c r="D102" s="32"/>
      <c r="E102" s="33" t="s">
        <v>106</v>
      </c>
      <c r="F102" s="6" t="s">
        <v>207</v>
      </c>
      <c r="G102" s="35">
        <v>2</v>
      </c>
      <c r="H102" s="36"/>
      <c r="I102" s="36"/>
      <c r="J102" s="36"/>
      <c r="K102" s="36"/>
      <c r="L102" s="50"/>
      <c r="M102" s="50"/>
      <c r="N102" s="51">
        <f t="shared" si="5"/>
        <v>0</v>
      </c>
      <c r="O102" s="52"/>
      <c r="P102" s="50"/>
      <c r="Q102" s="50"/>
      <c r="R102" s="50"/>
      <c r="S102" s="50"/>
      <c r="T102" s="51">
        <f t="shared" si="6"/>
        <v>0</v>
      </c>
    </row>
    <row r="103" spans="1:20" x14ac:dyDescent="0.25">
      <c r="A103" s="294"/>
      <c r="B103" s="294"/>
      <c r="C103" s="294"/>
      <c r="D103" s="294"/>
      <c r="E103" s="294"/>
      <c r="F103" s="294"/>
      <c r="G103" s="27">
        <f>SUM(G10:G102)</f>
        <v>240</v>
      </c>
      <c r="H103" s="27">
        <f>SUM(H10:H102)</f>
        <v>32</v>
      </c>
      <c r="I103" s="27">
        <f>SUM(I10:I102)</f>
        <v>34</v>
      </c>
      <c r="J103" s="27">
        <f>SUM(J19:J102)</f>
        <v>21</v>
      </c>
      <c r="K103" s="27">
        <f>SUM(K10:K102)</f>
        <v>3</v>
      </c>
      <c r="L103" s="53">
        <f>SUM(L10:L102)</f>
        <v>3247.5499999999997</v>
      </c>
      <c r="M103" s="53">
        <f>SUM(M10:M102)</f>
        <v>3247.5499999999997</v>
      </c>
      <c r="N103" s="53"/>
      <c r="O103" s="53">
        <f>SUM(O10:O102)</f>
        <v>254</v>
      </c>
      <c r="P103" s="53">
        <f>SUM(P10:P102)</f>
        <v>183</v>
      </c>
      <c r="Q103" s="53">
        <f>SUM(Q11:Q102)</f>
        <v>21</v>
      </c>
      <c r="R103" s="53">
        <f>SUM(R11:R102)</f>
        <v>31897.260000000002</v>
      </c>
      <c r="S103" s="53">
        <f>SUM(S11:S102)</f>
        <v>31897.260000000002</v>
      </c>
      <c r="T103" s="54"/>
    </row>
  </sheetData>
  <mergeCells count="8">
    <mergeCell ref="A103:F103"/>
    <mergeCell ref="A1:Q1"/>
    <mergeCell ref="R1:T1"/>
    <mergeCell ref="A2:T6"/>
    <mergeCell ref="A7:A8"/>
    <mergeCell ref="B7:F7"/>
    <mergeCell ref="G7:N7"/>
    <mergeCell ref="O7:T7"/>
  </mergeCells>
  <phoneticPr fontId="0" type="noConversion"/>
  <conditionalFormatting sqref="R46:S46">
    <cfRule type="cellIs" dxfId="446" priority="2" stopIfTrue="1" operator="equal">
      <formula>0</formula>
    </cfRule>
  </conditionalFormatting>
  <pageMargins left="0.31496062992125984" right="0.19685039370078741" top="0.35433070866141736" bottom="0.35433070866141736" header="0" footer="0"/>
  <pageSetup paperSize="9" scale="3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B94" zoomScale="80" zoomScaleNormal="80" workbookViewId="0">
      <selection activeCell="B97" sqref="A1:IV65536"/>
    </sheetView>
  </sheetViews>
  <sheetFormatPr defaultRowHeight="15.75" x14ac:dyDescent="0.25"/>
  <cols>
    <col min="1" max="1" width="6.28515625" style="257" hidden="1" customWidth="1"/>
    <col min="2" max="2" width="7.425781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0" style="184" customWidth="1"/>
    <col min="7" max="7" width="18.5703125" style="184" customWidth="1"/>
    <col min="8" max="8" width="10.7109375" style="184" customWidth="1"/>
    <col min="9" max="9" width="9.140625" style="184" customWidth="1"/>
    <col min="10" max="12" width="9.140625" style="227" customWidth="1"/>
    <col min="13" max="13" width="16.5703125" style="228" customWidth="1"/>
    <col min="14" max="14" width="15.140625" style="228" customWidth="1"/>
    <col min="15" max="15" width="19.5703125" style="228" customWidth="1"/>
    <col min="16" max="17" width="11.85546875" style="228" customWidth="1"/>
    <col min="18" max="18" width="11.7109375" style="228" customWidth="1"/>
    <col min="19" max="19" width="16.7109375" style="264" customWidth="1"/>
    <col min="20" max="20" width="17.140625" style="264" customWidth="1"/>
    <col min="21" max="21" width="17.85546875" style="286" customWidth="1"/>
    <col min="22" max="22" width="15" style="134" customWidth="1"/>
    <col min="23" max="23" width="14" style="134" customWidth="1"/>
    <col min="24" max="24" width="9.140625" style="134" customWidth="1"/>
    <col min="25" max="25" width="18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3" style="134" customWidth="1"/>
    <col min="35" max="35" width="9.140625" style="134" customWidth="1"/>
    <col min="36" max="36" width="11.7109375" style="134" customWidth="1"/>
    <col min="37" max="42" width="9.140625" style="134" customWidth="1"/>
  </cols>
  <sheetData>
    <row r="1" spans="1:42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63" t="s">
        <v>17</v>
      </c>
      <c r="T1" s="363"/>
      <c r="U1" s="363"/>
      <c r="AO1"/>
      <c r="AP1"/>
    </row>
    <row r="2" spans="1:42" x14ac:dyDescent="0.25">
      <c r="B2" s="348" t="s">
        <v>333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  <c r="AO2"/>
      <c r="AP2"/>
    </row>
    <row r="3" spans="1:42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  <c r="AO3"/>
      <c r="AP3"/>
    </row>
    <row r="4" spans="1:42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  <c r="AO4"/>
      <c r="AP4"/>
    </row>
    <row r="5" spans="1:42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  <c r="AO5"/>
      <c r="AP5"/>
    </row>
    <row r="6" spans="1:42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  <c r="AO6"/>
      <c r="AP6"/>
    </row>
    <row r="7" spans="1:42" ht="16.5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64" t="s">
        <v>334</v>
      </c>
      <c r="Q7" s="365"/>
      <c r="R7" s="365"/>
      <c r="S7" s="365"/>
      <c r="T7" s="365"/>
      <c r="U7" s="366"/>
      <c r="AO7"/>
      <c r="AP7"/>
    </row>
    <row r="8" spans="1:42" ht="299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259" t="s">
        <v>14</v>
      </c>
      <c r="T8" s="259" t="s">
        <v>15</v>
      </c>
      <c r="U8" s="259" t="s">
        <v>16</v>
      </c>
      <c r="AO8"/>
      <c r="AP8"/>
    </row>
    <row r="9" spans="1:42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>L9+1</f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260">
        <f t="shared" si="0"/>
        <v>18</v>
      </c>
      <c r="T9" s="280">
        <f t="shared" si="0"/>
        <v>19</v>
      </c>
      <c r="U9" s="260">
        <f t="shared" si="0"/>
        <v>20</v>
      </c>
      <c r="AO9"/>
      <c r="AP9"/>
    </row>
    <row r="10" spans="1:42" ht="31.5" x14ac:dyDescent="0.25">
      <c r="A10" s="257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47</v>
      </c>
      <c r="I10" s="210">
        <v>30</v>
      </c>
      <c r="J10" s="210">
        <v>35</v>
      </c>
      <c r="K10" s="209">
        <v>35</v>
      </c>
      <c r="L10" s="210">
        <v>33</v>
      </c>
      <c r="M10" s="273">
        <f>14941.14+3757.24</f>
        <v>18698.379999999997</v>
      </c>
      <c r="N10" s="273">
        <v>14941.14</v>
      </c>
      <c r="O10" s="292">
        <f xml:space="preserve"> (M10-N10)</f>
        <v>3757.239999999998</v>
      </c>
      <c r="P10" s="213">
        <v>8</v>
      </c>
      <c r="Q10" s="214">
        <v>8</v>
      </c>
      <c r="R10" s="215">
        <v>8</v>
      </c>
      <c r="S10" s="288">
        <f>4246.75+895.7+2557.8</f>
        <v>7700.25</v>
      </c>
      <c r="T10" s="288">
        <f>4246.75+895.7+2557.8</f>
        <v>7700.25</v>
      </c>
      <c r="U10" s="288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  <c r="AO10"/>
      <c r="AP10"/>
    </row>
    <row r="11" spans="1:42" ht="31.5" x14ac:dyDescent="0.25">
      <c r="A11" s="257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20</v>
      </c>
      <c r="I11" s="210">
        <v>13</v>
      </c>
      <c r="J11" s="210">
        <v>18</v>
      </c>
      <c r="K11" s="209">
        <v>18</v>
      </c>
      <c r="L11" s="210">
        <v>15</v>
      </c>
      <c r="M11" s="273">
        <f>5772.86+960.63</f>
        <v>6733.49</v>
      </c>
      <c r="N11" s="273">
        <v>5772.86</v>
      </c>
      <c r="O11" s="292">
        <f t="shared" ref="O11:O74" si="1" xml:space="preserve"> (M11-N11)</f>
        <v>960.63000000000011</v>
      </c>
      <c r="P11" s="213">
        <v>2</v>
      </c>
      <c r="Q11" s="214">
        <v>2</v>
      </c>
      <c r="R11" s="215">
        <v>2</v>
      </c>
      <c r="S11" s="288">
        <f>234.26+1035.3</f>
        <v>1269.56</v>
      </c>
      <c r="T11" s="288">
        <f>234.26+1035.3</f>
        <v>1269.56</v>
      </c>
      <c r="U11" s="288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  <c r="AO11"/>
      <c r="AP11"/>
    </row>
    <row r="12" spans="1:42" x14ac:dyDescent="0.25">
      <c r="A12" s="257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210"/>
      <c r="J12" s="210"/>
      <c r="K12" s="209"/>
      <c r="L12" s="210"/>
      <c r="M12" s="273"/>
      <c r="N12" s="273"/>
      <c r="O12" s="292">
        <f t="shared" si="1"/>
        <v>0</v>
      </c>
      <c r="P12" s="213">
        <v>3</v>
      </c>
      <c r="Q12" s="214">
        <v>3</v>
      </c>
      <c r="R12" s="215">
        <v>3</v>
      </c>
      <c r="S12" s="288">
        <v>8035.44</v>
      </c>
      <c r="T12" s="288">
        <v>8035.44</v>
      </c>
      <c r="U12" s="288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  <c r="AO12"/>
      <c r="AP12"/>
    </row>
    <row r="13" spans="1:42" ht="31.5" x14ac:dyDescent="0.25">
      <c r="A13" s="257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46</v>
      </c>
      <c r="I13" s="210">
        <v>27</v>
      </c>
      <c r="J13" s="210">
        <v>38</v>
      </c>
      <c r="K13" s="209">
        <v>37</v>
      </c>
      <c r="L13" s="210">
        <v>37</v>
      </c>
      <c r="M13" s="273">
        <v>20604.96</v>
      </c>
      <c r="N13" s="273">
        <f>272.84+2699.54+4096.17+939.54+5290.74-937.1</f>
        <v>12361.73</v>
      </c>
      <c r="O13" s="292">
        <f t="shared" si="1"/>
        <v>8243.23</v>
      </c>
      <c r="P13" s="213">
        <v>8</v>
      </c>
      <c r="Q13" s="214">
        <v>8</v>
      </c>
      <c r="R13" s="215">
        <v>8</v>
      </c>
      <c r="S13" s="288">
        <f>7385.53+1228.66+7042.2+301.46+2403.86</f>
        <v>18361.71</v>
      </c>
      <c r="T13" s="288">
        <f>7385.53+1228.66+7042.2+301.46</f>
        <v>15957.849999999999</v>
      </c>
      <c r="U13" s="288">
        <f t="shared" si="2"/>
        <v>2403.8600000000006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  <c r="AO13"/>
      <c r="AP13"/>
    </row>
    <row r="14" spans="1:42" ht="31.5" x14ac:dyDescent="0.25">
      <c r="A14" s="257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40</v>
      </c>
      <c r="I14" s="210">
        <v>25</v>
      </c>
      <c r="J14" s="210">
        <v>33</v>
      </c>
      <c r="K14" s="209">
        <v>33</v>
      </c>
      <c r="L14" s="210">
        <v>31</v>
      </c>
      <c r="M14" s="273">
        <f>4932.74+3257.04+137+2487.39+344.5+725+7097.92+895.7+6261.98+0.8+1911.61</f>
        <v>28051.679999999997</v>
      </c>
      <c r="N14" s="273">
        <f>4932.74+3257.04+137+2487.39+344.5+725+14255.6+0.8</f>
        <v>26140.069999999996</v>
      </c>
      <c r="O14" s="292">
        <f t="shared" si="1"/>
        <v>1911.6100000000006</v>
      </c>
      <c r="P14" s="213">
        <v>7</v>
      </c>
      <c r="Q14" s="214">
        <v>7</v>
      </c>
      <c r="R14" s="215">
        <v>6</v>
      </c>
      <c r="S14" s="288">
        <f>2847.1+1515.8</f>
        <v>4362.8999999999996</v>
      </c>
      <c r="T14" s="288">
        <f>2847.1+1515.8</f>
        <v>4362.8999999999996</v>
      </c>
      <c r="U14" s="288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  <c r="AO14"/>
      <c r="AP14"/>
    </row>
    <row r="15" spans="1:42" ht="31.5" x14ac:dyDescent="0.25">
      <c r="A15" s="257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41</v>
      </c>
      <c r="I15" s="210">
        <v>27</v>
      </c>
      <c r="J15" s="210">
        <v>34</v>
      </c>
      <c r="K15" s="209">
        <v>34</v>
      </c>
      <c r="L15" s="210">
        <v>32</v>
      </c>
      <c r="M15" s="273">
        <v>25965.08</v>
      </c>
      <c r="N15" s="273">
        <f>16942.87+1278.76+580+108.75+1413.75+2629.64</f>
        <v>22953.769999999997</v>
      </c>
      <c r="O15" s="292">
        <f t="shared" si="1"/>
        <v>3011.3100000000049</v>
      </c>
      <c r="P15" s="213">
        <v>16</v>
      </c>
      <c r="Q15" s="214">
        <v>16</v>
      </c>
      <c r="R15" s="215">
        <v>16</v>
      </c>
      <c r="S15" s="288">
        <f>13813.9+1491.1+372.78+454.21</f>
        <v>16131.99</v>
      </c>
      <c r="T15" s="288">
        <f>13813.9+1491.1+372.78</f>
        <v>15677.78</v>
      </c>
      <c r="U15" s="288">
        <f t="shared" si="2"/>
        <v>454.20999999999913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  <c r="AO15"/>
      <c r="AP15"/>
    </row>
    <row r="16" spans="1:42" ht="31.5" x14ac:dyDescent="0.25">
      <c r="A16" s="257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210"/>
      <c r="J16" s="210"/>
      <c r="K16" s="209"/>
      <c r="L16" s="210"/>
      <c r="M16" s="273"/>
      <c r="N16" s="273"/>
      <c r="O16" s="292">
        <f t="shared" si="1"/>
        <v>0</v>
      </c>
      <c r="P16" s="213"/>
      <c r="Q16" s="214"/>
      <c r="R16" s="215"/>
      <c r="S16" s="288"/>
      <c r="T16" s="288"/>
      <c r="U16" s="288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  <c r="AO16"/>
      <c r="AP16"/>
    </row>
    <row r="17" spans="1:42" ht="20.100000000000001" customHeight="1" x14ac:dyDescent="0.25">
      <c r="A17" s="257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56</v>
      </c>
      <c r="I17" s="210">
        <v>30</v>
      </c>
      <c r="J17" s="210">
        <v>38</v>
      </c>
      <c r="K17" s="209">
        <v>37</v>
      </c>
      <c r="L17" s="210">
        <v>36</v>
      </c>
      <c r="M17" s="273">
        <f>7235.14+4416.12+1559.66+658.56+1087.5+652.5+1377.5+1615.75+2829.41+7208.27+5247.45+1087.5</f>
        <v>34975.360000000001</v>
      </c>
      <c r="N17" s="273">
        <f>7235.14+4416.12+1559.66+658.56+1087.5+6475.16</f>
        <v>21432.14</v>
      </c>
      <c r="O17" s="292">
        <f t="shared" si="1"/>
        <v>13543.220000000001</v>
      </c>
      <c r="P17" s="213">
        <v>1</v>
      </c>
      <c r="Q17" s="214">
        <v>1</v>
      </c>
      <c r="R17" s="215">
        <v>1</v>
      </c>
      <c r="S17" s="288">
        <v>1033.5</v>
      </c>
      <c r="T17" s="288">
        <v>1033.5</v>
      </c>
      <c r="U17" s="288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257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39</v>
      </c>
      <c r="I18" s="210">
        <v>28</v>
      </c>
      <c r="J18" s="210">
        <v>37</v>
      </c>
      <c r="K18" s="210">
        <v>37</v>
      </c>
      <c r="L18" s="210">
        <v>34</v>
      </c>
      <c r="M18" s="273">
        <f>2118.92+12936.58+4403.89+2411.49+2972.12+403.47+2654.68+806.94+1188.45+2382.18</f>
        <v>32278.719999999998</v>
      </c>
      <c r="N18" s="273">
        <f>2118.92+12936.58+4403.89+2411.49+2972.12+403.4+4651.07</f>
        <v>29897.469999999998</v>
      </c>
      <c r="O18" s="292">
        <f t="shared" si="1"/>
        <v>2381.25</v>
      </c>
      <c r="P18" s="213">
        <v>7</v>
      </c>
      <c r="Q18" s="215">
        <v>7</v>
      </c>
      <c r="R18" s="215">
        <v>6</v>
      </c>
      <c r="S18" s="288">
        <f>14748.55+934.31</f>
        <v>15682.859999999999</v>
      </c>
      <c r="T18" s="288">
        <f>14748.55+934.31</f>
        <v>15682.859999999999</v>
      </c>
      <c r="U18" s="288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257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43</v>
      </c>
      <c r="I19" s="210">
        <v>24</v>
      </c>
      <c r="J19" s="210">
        <v>41</v>
      </c>
      <c r="K19" s="209">
        <v>41</v>
      </c>
      <c r="L19" s="210">
        <v>37</v>
      </c>
      <c r="M19" s="273">
        <f>28952.05+4575.15</f>
        <v>33527.199999999997</v>
      </c>
      <c r="N19" s="273">
        <f>5345.36+3385.2+4242.79+7468.83+387.77+8122.09</f>
        <v>28952.04</v>
      </c>
      <c r="O19" s="292">
        <f t="shared" si="1"/>
        <v>4575.1599999999962</v>
      </c>
      <c r="P19" s="213">
        <v>16</v>
      </c>
      <c r="Q19" s="214">
        <v>16</v>
      </c>
      <c r="R19" s="215">
        <v>16</v>
      </c>
      <c r="S19" s="288">
        <f>33206.03+1234.29</f>
        <v>34440.32</v>
      </c>
      <c r="T19" s="288">
        <f>12589.36+4299.58+3922.41+8458.25+3936.43</f>
        <v>33206.03</v>
      </c>
      <c r="U19" s="288">
        <f t="shared" si="2"/>
        <v>1234.2900000000009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257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56</v>
      </c>
      <c r="I20" s="210">
        <v>31</v>
      </c>
      <c r="J20" s="210">
        <v>45</v>
      </c>
      <c r="K20" s="210">
        <v>45</v>
      </c>
      <c r="L20" s="210">
        <v>41</v>
      </c>
      <c r="M20" s="273">
        <f>5728.14+3727.02+315.94+2507.59+652.5+2191.47+1855.28+358.88+2503.15+5297.67+1579.05+5739.83+1713.14+145</f>
        <v>34314.659999999996</v>
      </c>
      <c r="N20" s="273">
        <f>5728.14+3727.02+315.94+2507.59+652.5+2191.47+1855.28+2371.7+15119.7-299.68</f>
        <v>34169.659999999996</v>
      </c>
      <c r="O20" s="292">
        <f t="shared" si="1"/>
        <v>145</v>
      </c>
      <c r="P20" s="213">
        <v>28</v>
      </c>
      <c r="Q20" s="215">
        <v>28</v>
      </c>
      <c r="R20" s="215">
        <v>28</v>
      </c>
      <c r="S20" s="288">
        <f>36404.57+1488.24+1902.09+2012.82</f>
        <v>41807.719999999994</v>
      </c>
      <c r="T20" s="288">
        <f>36404.57+1488.24+1902.09+299.68</f>
        <v>40094.579999999994</v>
      </c>
      <c r="U20" s="288">
        <f t="shared" si="2"/>
        <v>1713.1399999999994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257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28</v>
      </c>
      <c r="I21" s="210">
        <v>18</v>
      </c>
      <c r="J21" s="210">
        <v>23</v>
      </c>
      <c r="K21" s="209">
        <v>22</v>
      </c>
      <c r="L21" s="210">
        <v>22</v>
      </c>
      <c r="M21" s="273">
        <f>17955.67+413.4+5.9+2225.9</f>
        <v>20600.870000000003</v>
      </c>
      <c r="N21" s="273">
        <f>3586.84+1791.4+1337.88+413.4+1061.35+942.5+2425.9+6396.4</f>
        <v>17955.669999999998</v>
      </c>
      <c r="O21" s="292">
        <f t="shared" si="1"/>
        <v>2645.2000000000044</v>
      </c>
      <c r="P21" s="213">
        <v>10</v>
      </c>
      <c r="Q21" s="214">
        <v>10</v>
      </c>
      <c r="R21" s="215">
        <v>10</v>
      </c>
      <c r="S21" s="288">
        <f>10636.43+413.4</f>
        <v>11049.83</v>
      </c>
      <c r="T21" s="288">
        <f>7288.02+447.62+2487.39+413.4</f>
        <v>10636.43</v>
      </c>
      <c r="U21" s="288">
        <f t="shared" si="2"/>
        <v>413.39999999999964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257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135</v>
      </c>
      <c r="I22" s="210">
        <v>97</v>
      </c>
      <c r="J22" s="210">
        <v>117</v>
      </c>
      <c r="K22" s="210">
        <v>117</v>
      </c>
      <c r="L22" s="210">
        <v>117</v>
      </c>
      <c r="M22" s="273">
        <f>19787.02+2513.73+2255.05+12081.39+6786.96+4545.76+7112.29+9234.79+3303.99+8291.91</f>
        <v>75912.890000000014</v>
      </c>
      <c r="N22" s="273">
        <f>19787.02+2513.73+2255.05+12081.39+6786.96+4545.76+19651.57</f>
        <v>67621.48000000001</v>
      </c>
      <c r="O22" s="292">
        <f t="shared" si="1"/>
        <v>8291.4100000000035</v>
      </c>
      <c r="P22" s="213">
        <v>26</v>
      </c>
      <c r="Q22" s="215">
        <v>26</v>
      </c>
      <c r="R22" s="215">
        <v>25</v>
      </c>
      <c r="S22" s="288">
        <f>24103.23+3334.5+1378+3155.14+1090.31</f>
        <v>33061.18</v>
      </c>
      <c r="T22" s="288">
        <f>24103.23+3334.5+1378+3155.64</f>
        <v>31971.37</v>
      </c>
      <c r="U22" s="288">
        <f t="shared" si="2"/>
        <v>1089.8100000000013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257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22</v>
      </c>
      <c r="I23" s="210">
        <v>16</v>
      </c>
      <c r="J23" s="210">
        <v>26</v>
      </c>
      <c r="K23" s="209">
        <v>26</v>
      </c>
      <c r="L23" s="210">
        <v>24</v>
      </c>
      <c r="M23" s="273">
        <f>5739.04+1828.05+1440.72+631.62+564.05+641.19+793.15+2475.51+1311.53+5430.51+1513.04-3246.27+942.5</f>
        <v>20064.640000000003</v>
      </c>
      <c r="N23" s="273">
        <f>5739.04+1828.05+1440.72+631.62+564.05+641.19+793.15+3787.04-3246.27</f>
        <v>12178.59</v>
      </c>
      <c r="O23" s="292">
        <f t="shared" si="1"/>
        <v>7886.0500000000029</v>
      </c>
      <c r="P23" s="213">
        <v>12</v>
      </c>
      <c r="Q23" s="214">
        <v>12</v>
      </c>
      <c r="R23" s="215">
        <v>12</v>
      </c>
      <c r="S23" s="288">
        <f>26607.02+6387.23</f>
        <v>32994.25</v>
      </c>
      <c r="T23" s="288">
        <f>26607.02+6387.23</f>
        <v>32994.25</v>
      </c>
      <c r="U23" s="288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257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24</v>
      </c>
      <c r="I24" s="210">
        <v>19</v>
      </c>
      <c r="J24" s="210">
        <v>22</v>
      </c>
      <c r="K24" s="209">
        <v>22</v>
      </c>
      <c r="L24" s="210">
        <v>22</v>
      </c>
      <c r="M24" s="273">
        <f>1515.11+3525.12+1811.05+3675.45</f>
        <v>10526.73</v>
      </c>
      <c r="N24" s="273">
        <f>1515.11+3525.12+1811.05+3675.45</f>
        <v>10526.73</v>
      </c>
      <c r="O24" s="292">
        <f t="shared" si="1"/>
        <v>0</v>
      </c>
      <c r="P24" s="213">
        <v>7</v>
      </c>
      <c r="Q24" s="214">
        <v>7</v>
      </c>
      <c r="R24" s="215">
        <v>7</v>
      </c>
      <c r="S24" s="288">
        <v>6720.87</v>
      </c>
      <c r="T24" s="288">
        <v>6720.87</v>
      </c>
      <c r="U24" s="288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257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48</v>
      </c>
      <c r="I25" s="210">
        <v>16</v>
      </c>
      <c r="J25" s="210">
        <v>46</v>
      </c>
      <c r="K25" s="210">
        <v>46</v>
      </c>
      <c r="L25" s="210">
        <v>37</v>
      </c>
      <c r="M25" s="273">
        <f>9005.69+15068.32+3714.72+1200.78+3057.6+836.9+31</f>
        <v>32915.01</v>
      </c>
      <c r="N25" s="273">
        <f>9005.69+15068.32+3714.72+1200.78+31</f>
        <v>29020.510000000002</v>
      </c>
      <c r="O25" s="292">
        <f t="shared" si="1"/>
        <v>3894.5</v>
      </c>
      <c r="P25" s="213">
        <v>22</v>
      </c>
      <c r="Q25" s="215">
        <v>22</v>
      </c>
      <c r="R25" s="215">
        <v>22</v>
      </c>
      <c r="S25" s="288">
        <f>24213.05+6197.08+341.06</f>
        <v>30751.19</v>
      </c>
      <c r="T25" s="288">
        <f>24213.05+6197.08+341.06</f>
        <v>30751.19</v>
      </c>
      <c r="U25" s="288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257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26</v>
      </c>
      <c r="I26" s="210">
        <v>11</v>
      </c>
      <c r="J26" s="210">
        <v>18</v>
      </c>
      <c r="K26" s="209">
        <v>18</v>
      </c>
      <c r="L26" s="210">
        <v>18</v>
      </c>
      <c r="M26" s="273">
        <f>3777.1+6399.51+6251.64+358.88</f>
        <v>16787.13</v>
      </c>
      <c r="N26" s="273">
        <f>3777.1+6399.51+6251.64+358.88</f>
        <v>16787.13</v>
      </c>
      <c r="O26" s="292">
        <f t="shared" si="1"/>
        <v>0</v>
      </c>
      <c r="P26" s="213">
        <v>12</v>
      </c>
      <c r="Q26" s="214">
        <v>12</v>
      </c>
      <c r="R26" s="215">
        <v>12</v>
      </c>
      <c r="S26" s="288">
        <f>3386.7+2140.45</f>
        <v>5527.15</v>
      </c>
      <c r="T26" s="288">
        <f>3386.7+2140.45</f>
        <v>5527.15</v>
      </c>
      <c r="U26" s="288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257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38</v>
      </c>
      <c r="I27" s="210">
        <v>23</v>
      </c>
      <c r="J27" s="210">
        <v>43</v>
      </c>
      <c r="K27" s="209">
        <v>43</v>
      </c>
      <c r="L27" s="210">
        <v>40</v>
      </c>
      <c r="M27" s="273">
        <f>24273.31+574.2+300.99</f>
        <v>25148.500000000004</v>
      </c>
      <c r="N27" s="273">
        <f>6801.73+4254.18+3948.81+757.9+1004.85+1005.5+5240.86+1259.48+300.99</f>
        <v>24574.3</v>
      </c>
      <c r="O27" s="292">
        <f t="shared" si="1"/>
        <v>574.20000000000437</v>
      </c>
      <c r="P27" s="213">
        <v>14</v>
      </c>
      <c r="Q27" s="214">
        <v>14</v>
      </c>
      <c r="R27" s="215">
        <v>14</v>
      </c>
      <c r="S27" s="288">
        <v>13025.83</v>
      </c>
      <c r="T27" s="288">
        <f>12827.9+197.93</f>
        <v>13025.83</v>
      </c>
      <c r="U27" s="288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210"/>
      <c r="J28" s="210"/>
      <c r="K28" s="209"/>
      <c r="L28" s="210"/>
      <c r="M28" s="273"/>
      <c r="N28" s="273"/>
      <c r="O28" s="292">
        <f t="shared" si="1"/>
        <v>0</v>
      </c>
      <c r="P28" s="213"/>
      <c r="Q28" s="214"/>
      <c r="R28" s="215"/>
      <c r="S28" s="288"/>
      <c r="T28" s="288"/>
      <c r="U28" s="288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257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37</v>
      </c>
      <c r="I29" s="210">
        <v>26</v>
      </c>
      <c r="J29" s="210">
        <v>49</v>
      </c>
      <c r="K29" s="209">
        <v>49</v>
      </c>
      <c r="L29" s="210">
        <v>39</v>
      </c>
      <c r="M29" s="273">
        <f>7765.28+1107.91+3282.4+1320.23+1580.98+622.05+447.4+992.16+691.25+3323.84+3765.77+639.43+3380.83</f>
        <v>28919.53</v>
      </c>
      <c r="N29" s="273">
        <f>7765.28+1107.91+3282.4+1320.23+1580.98+622.05+447.4+992.16+6148.74+1632.12+639.43</f>
        <v>25538.7</v>
      </c>
      <c r="O29" s="292">
        <f t="shared" si="1"/>
        <v>3380.8299999999981</v>
      </c>
      <c r="P29" s="213">
        <v>14</v>
      </c>
      <c r="Q29" s="214">
        <v>14</v>
      </c>
      <c r="R29" s="215">
        <v>14</v>
      </c>
      <c r="S29" s="288">
        <f>15185.09+570.43</f>
        <v>15755.52</v>
      </c>
      <c r="T29" s="288">
        <f>15185.09+570.43</f>
        <v>15755.52</v>
      </c>
      <c r="U29" s="288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257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56</v>
      </c>
      <c r="I30" s="210">
        <v>39</v>
      </c>
      <c r="J30" s="210">
        <v>56</v>
      </c>
      <c r="K30" s="210">
        <v>56</v>
      </c>
      <c r="L30" s="210">
        <v>51</v>
      </c>
      <c r="M30" s="273">
        <v>38400.01</v>
      </c>
      <c r="N30" s="273">
        <f>5246.17+4965.96+1939.12+3762.43+2342.38+4011.61+2238.08+13894.26</f>
        <v>38400.01</v>
      </c>
      <c r="O30" s="292">
        <f t="shared" si="1"/>
        <v>0</v>
      </c>
      <c r="P30" s="213">
        <v>23</v>
      </c>
      <c r="Q30" s="215">
        <v>23</v>
      </c>
      <c r="R30" s="215">
        <v>23</v>
      </c>
      <c r="S30" s="288">
        <v>49912.160000000003</v>
      </c>
      <c r="T30" s="288">
        <f>39414.6+4786.67+1562.33+638.43+2216.93+1293.2</f>
        <v>49912.159999999996</v>
      </c>
      <c r="U30" s="288">
        <f t="shared" si="2"/>
        <v>7.2759576141834259E-12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257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210">
        <v>1</v>
      </c>
      <c r="J31" s="210">
        <v>2</v>
      </c>
      <c r="K31" s="209">
        <v>2</v>
      </c>
      <c r="L31" s="210">
        <v>2</v>
      </c>
      <c r="M31" s="273">
        <v>860.25</v>
      </c>
      <c r="N31" s="273">
        <v>860.25</v>
      </c>
      <c r="O31" s="292">
        <f t="shared" si="1"/>
        <v>0</v>
      </c>
      <c r="P31" s="213">
        <v>2</v>
      </c>
      <c r="Q31" s="214">
        <v>2</v>
      </c>
      <c r="R31" s="215">
        <v>2</v>
      </c>
      <c r="S31" s="288">
        <f>442.37+1014.7</f>
        <v>1457.0700000000002</v>
      </c>
      <c r="T31" s="288">
        <f>442.37+1014.7</f>
        <v>1457.0700000000002</v>
      </c>
      <c r="U31" s="288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>
        <v>5</v>
      </c>
      <c r="I32" s="210"/>
      <c r="J32" s="210"/>
      <c r="K32" s="209"/>
      <c r="L32" s="210"/>
      <c r="M32" s="273"/>
      <c r="N32" s="273"/>
      <c r="O32" s="292">
        <f t="shared" si="1"/>
        <v>0</v>
      </c>
      <c r="P32" s="213"/>
      <c r="Q32" s="214"/>
      <c r="R32" s="215"/>
      <c r="S32" s="288"/>
      <c r="T32" s="288"/>
      <c r="U32" s="288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2" ht="31.5" x14ac:dyDescent="0.25">
      <c r="A33" s="257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15</v>
      </c>
      <c r="I33" s="210">
        <v>10</v>
      </c>
      <c r="J33" s="210">
        <v>15</v>
      </c>
      <c r="K33" s="209">
        <v>15</v>
      </c>
      <c r="L33" s="210">
        <v>14</v>
      </c>
      <c r="M33" s="273">
        <f>4065+2226.4+2915.4+290+826.9+2392.5</f>
        <v>12716.199999999999</v>
      </c>
      <c r="N33" s="273">
        <f>4065+2226.4+2915.4+290+826.9</f>
        <v>10323.699999999999</v>
      </c>
      <c r="O33" s="292">
        <f t="shared" si="1"/>
        <v>2392.5</v>
      </c>
      <c r="P33" s="213"/>
      <c r="Q33" s="214"/>
      <c r="R33" s="215"/>
      <c r="S33" s="288"/>
      <c r="T33" s="288"/>
      <c r="U33" s="288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  <c r="AO33"/>
      <c r="AP33"/>
    </row>
    <row r="34" spans="1:42" ht="31.5" x14ac:dyDescent="0.25">
      <c r="A34" s="257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210">
        <v>14</v>
      </c>
      <c r="J34" s="210">
        <v>22</v>
      </c>
      <c r="K34" s="209">
        <v>22</v>
      </c>
      <c r="L34" s="210">
        <v>22</v>
      </c>
      <c r="M34" s="273">
        <f>8742.16+2424.59+5871.23</f>
        <v>17037.98</v>
      </c>
      <c r="N34" s="273">
        <f>8742.16+2424.59+5871.23</f>
        <v>17037.98</v>
      </c>
      <c r="O34" s="292">
        <f t="shared" si="1"/>
        <v>0</v>
      </c>
      <c r="P34" s="213">
        <v>2</v>
      </c>
      <c r="Q34" s="214">
        <v>2</v>
      </c>
      <c r="R34" s="215">
        <v>2</v>
      </c>
      <c r="S34" s="288">
        <v>872.59</v>
      </c>
      <c r="T34" s="288">
        <v>872.59</v>
      </c>
      <c r="U34" s="288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  <c r="AO34"/>
      <c r="AP34"/>
    </row>
    <row r="35" spans="1:42" ht="31.5" x14ac:dyDescent="0.25">
      <c r="A35" s="257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17</v>
      </c>
      <c r="I35" s="210">
        <v>6</v>
      </c>
      <c r="J35" s="210">
        <v>14</v>
      </c>
      <c r="K35" s="209">
        <v>14</v>
      </c>
      <c r="L35" s="210">
        <v>13</v>
      </c>
      <c r="M35" s="273">
        <f>8755.24+1745.06+1162.89</f>
        <v>11663.189999999999</v>
      </c>
      <c r="N35" s="273">
        <f>8755.24+1745.06</f>
        <v>10500.3</v>
      </c>
      <c r="O35" s="292">
        <f t="shared" si="1"/>
        <v>1162.8899999999994</v>
      </c>
      <c r="P35" s="213">
        <v>10</v>
      </c>
      <c r="Q35" s="214">
        <v>10</v>
      </c>
      <c r="R35" s="215">
        <v>10</v>
      </c>
      <c r="S35" s="288">
        <f>9249.99+1156.49</f>
        <v>10406.48</v>
      </c>
      <c r="T35" s="288">
        <f>9249.99+1156.49</f>
        <v>10406.48</v>
      </c>
      <c r="U35" s="288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  <c r="AO35"/>
      <c r="AP35"/>
    </row>
    <row r="36" spans="1:42" ht="31.5" x14ac:dyDescent="0.25">
      <c r="A36" s="257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27</v>
      </c>
      <c r="I36" s="210">
        <v>13</v>
      </c>
      <c r="J36" s="210">
        <v>16</v>
      </c>
      <c r="K36" s="209">
        <v>16</v>
      </c>
      <c r="L36" s="210">
        <v>16</v>
      </c>
      <c r="M36" s="273">
        <f>2360+2665.25+2800.06+3488.89+1050.79+1436.08</f>
        <v>13801.069999999998</v>
      </c>
      <c r="N36" s="273">
        <f>2360+2665.25+2800.06+3488.89+1050.79+1436.08</f>
        <v>13801.069999999998</v>
      </c>
      <c r="O36" s="292">
        <f t="shared" si="1"/>
        <v>0</v>
      </c>
      <c r="P36" s="213">
        <v>8</v>
      </c>
      <c r="Q36" s="214">
        <v>8</v>
      </c>
      <c r="R36" s="215">
        <v>6</v>
      </c>
      <c r="S36" s="288">
        <f>3433.93+5939.33+1723.52</f>
        <v>11096.78</v>
      </c>
      <c r="T36" s="288">
        <v>11096.78</v>
      </c>
      <c r="U36" s="288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  <c r="AO36"/>
      <c r="AP36"/>
    </row>
    <row r="37" spans="1:42" ht="31.5" x14ac:dyDescent="0.25">
      <c r="A37" s="257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24</v>
      </c>
      <c r="I37" s="210">
        <v>13</v>
      </c>
      <c r="J37" s="210">
        <v>25</v>
      </c>
      <c r="K37" s="209">
        <v>25</v>
      </c>
      <c r="L37" s="210">
        <v>21</v>
      </c>
      <c r="M37" s="273">
        <f>4126.56+990.2+862.75+145+358.88+1424.06+2121.03+508.5+1472.48</f>
        <v>12009.460000000001</v>
      </c>
      <c r="N37" s="273">
        <f>4126.56+990.2+862.75+145+358.88+1424.06+2121.03+508.5</f>
        <v>10536.980000000001</v>
      </c>
      <c r="O37" s="292">
        <f t="shared" si="1"/>
        <v>1472.4799999999996</v>
      </c>
      <c r="P37" s="213">
        <v>2</v>
      </c>
      <c r="Q37" s="214">
        <v>2</v>
      </c>
      <c r="R37" s="215">
        <v>2</v>
      </c>
      <c r="S37" s="288">
        <f>552.96+1556.69</f>
        <v>2109.65</v>
      </c>
      <c r="T37" s="288">
        <f>552.96+1556.69</f>
        <v>2109.65</v>
      </c>
      <c r="U37" s="288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  <c r="AO37"/>
      <c r="AP37"/>
    </row>
    <row r="38" spans="1:42" ht="31.5" x14ac:dyDescent="0.25">
      <c r="A38" s="257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100</v>
      </c>
      <c r="I38" s="210">
        <v>55</v>
      </c>
      <c r="J38" s="210">
        <v>86</v>
      </c>
      <c r="K38" s="209">
        <v>86</v>
      </c>
      <c r="L38" s="210">
        <v>78</v>
      </c>
      <c r="M38" s="273">
        <f>78646.37+5508.02-250.2+5288.53</f>
        <v>89192.72</v>
      </c>
      <c r="N38" s="273">
        <f>18043.85+1739.74+12219.36+4084.73+2867.69+2388.56+1377.5+2533.95+33390.93-250.14</f>
        <v>78396.17</v>
      </c>
      <c r="O38" s="292">
        <f t="shared" si="1"/>
        <v>10796.550000000003</v>
      </c>
      <c r="P38" s="213">
        <v>22</v>
      </c>
      <c r="Q38" s="214">
        <v>22</v>
      </c>
      <c r="R38" s="215">
        <v>21</v>
      </c>
      <c r="S38" s="288">
        <f>23775.77+2740.5</f>
        <v>26516.27</v>
      </c>
      <c r="T38" s="288">
        <f>22326.77+417.74+1031.26</f>
        <v>23775.77</v>
      </c>
      <c r="U38" s="288">
        <f t="shared" si="2"/>
        <v>2740.5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  <c r="AO38"/>
      <c r="AP38"/>
    </row>
    <row r="39" spans="1:42" ht="31.5" x14ac:dyDescent="0.25">
      <c r="A39" s="257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29</v>
      </c>
      <c r="I39" s="210">
        <v>17</v>
      </c>
      <c r="J39" s="210">
        <v>23</v>
      </c>
      <c r="K39" s="209">
        <v>23</v>
      </c>
      <c r="L39" s="210">
        <v>22</v>
      </c>
      <c r="M39" s="273">
        <f>16746.85+582.9</f>
        <v>17329.75</v>
      </c>
      <c r="N39" s="273">
        <v>16746.849999999999</v>
      </c>
      <c r="O39" s="292">
        <f t="shared" si="1"/>
        <v>582.90000000000146</v>
      </c>
      <c r="P39" s="213">
        <v>4</v>
      </c>
      <c r="Q39" s="214">
        <v>4</v>
      </c>
      <c r="R39" s="215">
        <v>4</v>
      </c>
      <c r="S39" s="288">
        <v>2740.5</v>
      </c>
      <c r="T39" s="288"/>
      <c r="U39" s="288">
        <f t="shared" si="2"/>
        <v>2740.5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  <c r="AO39"/>
      <c r="AP39"/>
    </row>
    <row r="40" spans="1:42" ht="31.5" x14ac:dyDescent="0.25">
      <c r="A40" s="257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13</v>
      </c>
      <c r="I40" s="210">
        <v>6</v>
      </c>
      <c r="J40" s="210">
        <v>9</v>
      </c>
      <c r="K40" s="209">
        <v>7</v>
      </c>
      <c r="L40" s="210">
        <v>7</v>
      </c>
      <c r="M40" s="273">
        <f>5430.01+288.1+942.05</f>
        <v>6660.1600000000008</v>
      </c>
      <c r="N40" s="273">
        <f>5430.01+288.1</f>
        <v>5718.1100000000006</v>
      </c>
      <c r="O40" s="292">
        <f t="shared" si="1"/>
        <v>942.05000000000018</v>
      </c>
      <c r="P40" s="213">
        <v>5</v>
      </c>
      <c r="Q40" s="214">
        <v>5</v>
      </c>
      <c r="R40" s="215">
        <v>5</v>
      </c>
      <c r="S40" s="288">
        <f>3996.7+1341.47+7404.94+502.73</f>
        <v>13245.84</v>
      </c>
      <c r="T40" s="288">
        <f>3996.7+1341.47+7404.94</f>
        <v>12743.11</v>
      </c>
      <c r="U40" s="288">
        <f t="shared" si="2"/>
        <v>502.72999999999956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  <c r="AO40"/>
      <c r="AP40"/>
    </row>
    <row r="41" spans="1:42" ht="31.5" x14ac:dyDescent="0.25">
      <c r="A41" s="257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39</v>
      </c>
      <c r="I41" s="210">
        <v>26</v>
      </c>
      <c r="J41" s="210">
        <v>28</v>
      </c>
      <c r="K41" s="209">
        <v>26</v>
      </c>
      <c r="L41" s="210">
        <v>26</v>
      </c>
      <c r="M41" s="273">
        <f>4892.78+1033.5+545.69+1551.08+3520.24+1598.15+4243.46</f>
        <v>17384.899999999998</v>
      </c>
      <c r="N41" s="273">
        <f>4892.78+1033.5+545.69+1551.08+3520.24</f>
        <v>11543.289999999999</v>
      </c>
      <c r="O41" s="292">
        <f t="shared" si="1"/>
        <v>5841.6099999999988</v>
      </c>
      <c r="P41" s="213">
        <v>4</v>
      </c>
      <c r="Q41" s="214">
        <v>4</v>
      </c>
      <c r="R41" s="215">
        <v>4</v>
      </c>
      <c r="S41" s="288">
        <f>1842.88+373.68</f>
        <v>2216.56</v>
      </c>
      <c r="T41" s="288">
        <f>1842.88+373.68</f>
        <v>2216.56</v>
      </c>
      <c r="U41" s="288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  <c r="AO41"/>
      <c r="AP41"/>
    </row>
    <row r="42" spans="1:42" ht="31.5" x14ac:dyDescent="0.25">
      <c r="A42" s="257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16</v>
      </c>
      <c r="I42" s="210">
        <v>7</v>
      </c>
      <c r="J42" s="210">
        <v>15</v>
      </c>
      <c r="K42" s="209">
        <v>15</v>
      </c>
      <c r="L42" s="210">
        <v>15</v>
      </c>
      <c r="M42" s="273">
        <f>5095.29+1605.75+430.65+529.04+145+1216.54+435</f>
        <v>9457.27</v>
      </c>
      <c r="N42" s="273">
        <f>5095.29+1605.75+430.65+529.04+1361.54</f>
        <v>9022.27</v>
      </c>
      <c r="O42" s="292">
        <f t="shared" si="1"/>
        <v>435</v>
      </c>
      <c r="P42" s="213">
        <v>5</v>
      </c>
      <c r="Q42" s="214">
        <v>5</v>
      </c>
      <c r="R42" s="215">
        <v>5</v>
      </c>
      <c r="S42" s="288">
        <v>5832.14</v>
      </c>
      <c r="T42" s="288">
        <v>5832.14</v>
      </c>
      <c r="U42" s="288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  <c r="AO42"/>
      <c r="AP42"/>
    </row>
    <row r="43" spans="1:42" ht="31.5" x14ac:dyDescent="0.25">
      <c r="A43" s="257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28</v>
      </c>
      <c r="I43" s="210">
        <v>15</v>
      </c>
      <c r="J43" s="210">
        <v>26</v>
      </c>
      <c r="K43" s="209">
        <v>26</v>
      </c>
      <c r="L43" s="210">
        <v>25</v>
      </c>
      <c r="M43" s="273">
        <f>28407.24+4596.5+580-144+2034.71</f>
        <v>35474.450000000004</v>
      </c>
      <c r="N43" s="273">
        <f>1949.94+11241.95+1670.56+979+622.78+145+551.2+2279.66+8967.15-1280.85</f>
        <v>27126.39</v>
      </c>
      <c r="O43" s="292">
        <f t="shared" si="1"/>
        <v>8348.0600000000049</v>
      </c>
      <c r="P43" s="213">
        <v>7</v>
      </c>
      <c r="Q43" s="214">
        <v>7</v>
      </c>
      <c r="R43" s="215">
        <v>7</v>
      </c>
      <c r="S43" s="288">
        <v>7539.4</v>
      </c>
      <c r="T43" s="288">
        <v>7539.4</v>
      </c>
      <c r="U43" s="288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  <c r="AO43"/>
      <c r="AP43"/>
    </row>
    <row r="44" spans="1:42" ht="31.5" x14ac:dyDescent="0.25">
      <c r="A44" s="257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15</v>
      </c>
      <c r="I44" s="210">
        <v>10</v>
      </c>
      <c r="J44" s="210">
        <v>19</v>
      </c>
      <c r="K44" s="209">
        <v>19</v>
      </c>
      <c r="L44" s="210">
        <v>16</v>
      </c>
      <c r="M44" s="273">
        <f>22500.73-141.1</f>
        <v>22359.63</v>
      </c>
      <c r="N44" s="273">
        <f>9600.95+145+2182.75+7980.88+580+287.1+1724.05-141.1</f>
        <v>22359.63</v>
      </c>
      <c r="O44" s="292">
        <f t="shared" si="1"/>
        <v>0</v>
      </c>
      <c r="P44" s="213">
        <v>11</v>
      </c>
      <c r="Q44" s="214">
        <v>11</v>
      </c>
      <c r="R44" s="215">
        <v>11</v>
      </c>
      <c r="S44" s="288">
        <f>3997.92+850.65+4367.7+2262.73+189.48+1019.96+473.69</f>
        <v>13162.13</v>
      </c>
      <c r="T44" s="288">
        <f>3997.92+850.65+4367.7+2262.73+189.48+1019.96</f>
        <v>12688.439999999999</v>
      </c>
      <c r="U44" s="288">
        <f t="shared" si="2"/>
        <v>473.69000000000051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  <c r="AO44"/>
      <c r="AP44"/>
    </row>
    <row r="45" spans="1:42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210"/>
      <c r="J45" s="210"/>
      <c r="K45" s="209"/>
      <c r="L45" s="210"/>
      <c r="M45" s="273"/>
      <c r="N45" s="273"/>
      <c r="O45" s="292">
        <f t="shared" si="1"/>
        <v>0</v>
      </c>
      <c r="P45" s="213"/>
      <c r="Q45" s="214"/>
      <c r="R45" s="215"/>
      <c r="S45" s="288"/>
      <c r="T45" s="288"/>
      <c r="U45" s="288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  <c r="AO45"/>
      <c r="AP45"/>
    </row>
    <row r="46" spans="1:42" ht="31.5" x14ac:dyDescent="0.25">
      <c r="A46" s="257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22</v>
      </c>
      <c r="I46" s="210">
        <v>16</v>
      </c>
      <c r="J46" s="210">
        <v>21</v>
      </c>
      <c r="K46" s="209">
        <v>21</v>
      </c>
      <c r="L46" s="210">
        <v>19</v>
      </c>
      <c r="M46" s="273">
        <f>7372.32+580</f>
        <v>7952.32</v>
      </c>
      <c r="N46" s="273">
        <f>1290.6+2343.84+935.25+2802.63</f>
        <v>7372.3200000000006</v>
      </c>
      <c r="O46" s="292">
        <f t="shared" si="1"/>
        <v>579.99999999999909</v>
      </c>
      <c r="P46" s="213">
        <v>2</v>
      </c>
      <c r="Q46" s="214">
        <v>2</v>
      </c>
      <c r="R46" s="215">
        <v>2</v>
      </c>
      <c r="S46" s="288">
        <v>12091.23</v>
      </c>
      <c r="T46" s="288">
        <v>12091.23</v>
      </c>
      <c r="U46" s="288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  <c r="AO46"/>
      <c r="AP46"/>
    </row>
    <row r="47" spans="1:42" ht="31.5" x14ac:dyDescent="0.25">
      <c r="A47" s="257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70</v>
      </c>
      <c r="I47" s="210">
        <v>35</v>
      </c>
      <c r="J47" s="210">
        <v>51</v>
      </c>
      <c r="K47" s="209">
        <v>49</v>
      </c>
      <c r="L47" s="210">
        <v>47</v>
      </c>
      <c r="M47" s="273">
        <f>28405.79+645.98+291.1+4099.14</f>
        <v>33442.01</v>
      </c>
      <c r="N47" s="273">
        <f>9335.56+3507.6+826.8+2284.16+1015+1378+10058.67+291.1</f>
        <v>28696.89</v>
      </c>
      <c r="O47" s="292">
        <f t="shared" si="1"/>
        <v>4745.1200000000026</v>
      </c>
      <c r="P47" s="213">
        <v>3</v>
      </c>
      <c r="Q47" s="214">
        <v>3</v>
      </c>
      <c r="R47" s="215">
        <v>3</v>
      </c>
      <c r="S47" s="288">
        <f>1209.11+1311.53</f>
        <v>2520.64</v>
      </c>
      <c r="T47" s="288">
        <v>1209.1099999999999</v>
      </c>
      <c r="U47" s="288">
        <f t="shared" si="2"/>
        <v>1311.53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  <c r="AO47"/>
      <c r="AP47"/>
    </row>
    <row r="48" spans="1:42" ht="31.5" x14ac:dyDescent="0.25">
      <c r="A48" s="257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22</v>
      </c>
      <c r="I48" s="210">
        <v>9</v>
      </c>
      <c r="J48" s="210">
        <v>12</v>
      </c>
      <c r="K48" s="209">
        <v>12</v>
      </c>
      <c r="L48" s="210">
        <v>12</v>
      </c>
      <c r="M48" s="273">
        <f>8890.84+1828.05+435+2479.5+5116.5</f>
        <v>18749.89</v>
      </c>
      <c r="N48" s="273">
        <f>8890.84+1828.05+435+2479.5</f>
        <v>13633.39</v>
      </c>
      <c r="O48" s="292">
        <f t="shared" si="1"/>
        <v>5116.5</v>
      </c>
      <c r="P48" s="213">
        <v>3</v>
      </c>
      <c r="Q48" s="214">
        <v>3</v>
      </c>
      <c r="R48" s="215">
        <v>3</v>
      </c>
      <c r="S48" s="288">
        <f>2800.4+5022.92</f>
        <v>7823.32</v>
      </c>
      <c r="T48" s="288">
        <f>2800.4+5022.92</f>
        <v>7823.32</v>
      </c>
      <c r="U48" s="288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  <c r="AO48"/>
      <c r="AP48"/>
    </row>
    <row r="49" spans="1:42" ht="31.5" x14ac:dyDescent="0.25">
      <c r="A49" s="257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23</v>
      </c>
      <c r="I49" s="210">
        <v>12</v>
      </c>
      <c r="J49" s="210">
        <v>22</v>
      </c>
      <c r="K49" s="209">
        <v>22</v>
      </c>
      <c r="L49" s="210">
        <v>17</v>
      </c>
      <c r="M49" s="273">
        <v>8028.06</v>
      </c>
      <c r="N49" s="273">
        <f>1831.71+137.8+1816.78+290+420.6+3531.17</f>
        <v>8028.06</v>
      </c>
      <c r="O49" s="292">
        <f t="shared" si="1"/>
        <v>0</v>
      </c>
      <c r="P49" s="213">
        <v>10</v>
      </c>
      <c r="Q49" s="214">
        <v>10</v>
      </c>
      <c r="R49" s="215">
        <v>10</v>
      </c>
      <c r="S49" s="288">
        <f>8296.23+1378+5368+1032.31</f>
        <v>16074.539999999999</v>
      </c>
      <c r="T49" s="288">
        <f>8296.23+1378+5368+1032.31</f>
        <v>16074.539999999999</v>
      </c>
      <c r="U49" s="288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  <c r="AO49"/>
      <c r="AP49"/>
    </row>
    <row r="50" spans="1:42" ht="31.5" x14ac:dyDescent="0.25">
      <c r="A50" s="257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49</v>
      </c>
      <c r="I50" s="210">
        <v>22</v>
      </c>
      <c r="J50" s="210">
        <v>27</v>
      </c>
      <c r="K50" s="209">
        <v>27</v>
      </c>
      <c r="L50" s="210">
        <v>25</v>
      </c>
      <c r="M50" s="273">
        <f>8308.92+786.44+453+302+1256.5+1232.5+2228.2+892.3+5116.5</f>
        <v>20576.36</v>
      </c>
      <c r="N50" s="273">
        <f>8308.92+786.44+453+302+1256.5+1232.5+893.3</f>
        <v>13232.66</v>
      </c>
      <c r="O50" s="292">
        <f t="shared" si="1"/>
        <v>7343.7000000000007</v>
      </c>
      <c r="P50" s="213">
        <v>6</v>
      </c>
      <c r="Q50" s="214">
        <v>6</v>
      </c>
      <c r="R50" s="215">
        <v>6</v>
      </c>
      <c r="S50" s="288">
        <f>2457.28+1725.6+5017.9+1584.7</f>
        <v>10785.48</v>
      </c>
      <c r="T50" s="288">
        <f>2457.28+1725.6+5017.9+1584.7</f>
        <v>10785.48</v>
      </c>
      <c r="U50" s="288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  <c r="AO50"/>
      <c r="AP50"/>
    </row>
    <row r="51" spans="1:42" ht="31.5" x14ac:dyDescent="0.25">
      <c r="A51" s="257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35</v>
      </c>
      <c r="I51" s="210">
        <v>17</v>
      </c>
      <c r="J51" s="210">
        <v>23</v>
      </c>
      <c r="K51" s="209">
        <v>23</v>
      </c>
      <c r="L51" s="210">
        <v>19</v>
      </c>
      <c r="M51" s="273">
        <f>11276.82+870</f>
        <v>12146.82</v>
      </c>
      <c r="N51" s="273">
        <f>5580.75+571.11+696.2+574.2+408.03+1234.53+1446.9+1635.1</f>
        <v>12146.82</v>
      </c>
      <c r="O51" s="292">
        <f t="shared" si="1"/>
        <v>0</v>
      </c>
      <c r="P51" s="213">
        <v>1</v>
      </c>
      <c r="Q51" s="214">
        <v>1</v>
      </c>
      <c r="R51" s="215">
        <v>1</v>
      </c>
      <c r="S51" s="288">
        <f>728.15</f>
        <v>728.15</v>
      </c>
      <c r="T51" s="288">
        <f>728.15</f>
        <v>728.15</v>
      </c>
      <c r="U51" s="288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  <c r="AO51"/>
      <c r="AP51"/>
    </row>
    <row r="52" spans="1:42" ht="31.5" x14ac:dyDescent="0.25">
      <c r="A52" s="257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26</v>
      </c>
      <c r="I52" s="210">
        <v>16</v>
      </c>
      <c r="J52" s="210">
        <v>21</v>
      </c>
      <c r="K52" s="209">
        <v>21</v>
      </c>
      <c r="L52" s="210">
        <v>18</v>
      </c>
      <c r="M52" s="273">
        <f>10557.44+145+1584.7</f>
        <v>12287.140000000001</v>
      </c>
      <c r="N52" s="273">
        <v>12287.14</v>
      </c>
      <c r="O52" s="292">
        <f t="shared" si="1"/>
        <v>1.8189894035458565E-12</v>
      </c>
      <c r="P52" s="213">
        <v>13</v>
      </c>
      <c r="Q52" s="214">
        <v>13</v>
      </c>
      <c r="R52" s="215">
        <v>12</v>
      </c>
      <c r="S52" s="288">
        <f>1535.39+1035.3+828.82+12756.45+716.22+1679.72</f>
        <v>18551.900000000001</v>
      </c>
      <c r="T52" s="288">
        <f>1535.39+1035.3+828.82+12756.45+716.22</f>
        <v>16872.18</v>
      </c>
      <c r="U52" s="288">
        <f t="shared" si="2"/>
        <v>1679.7200000000012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  <c r="AO52"/>
      <c r="AP52"/>
    </row>
    <row r="53" spans="1:42" ht="31.5" x14ac:dyDescent="0.25">
      <c r="A53" s="257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18</v>
      </c>
      <c r="I53" s="210">
        <v>4</v>
      </c>
      <c r="J53" s="210">
        <v>6</v>
      </c>
      <c r="K53" s="209">
        <v>6</v>
      </c>
      <c r="L53" s="210">
        <v>4</v>
      </c>
      <c r="M53" s="273">
        <f>1102.4+328.37+1596</f>
        <v>3026.77</v>
      </c>
      <c r="N53" s="273">
        <f>1102.4+328.37+1596</f>
        <v>3026.77</v>
      </c>
      <c r="O53" s="292">
        <f t="shared" si="1"/>
        <v>0</v>
      </c>
      <c r="P53" s="213">
        <v>2</v>
      </c>
      <c r="Q53" s="214">
        <v>2</v>
      </c>
      <c r="R53" s="215">
        <v>2</v>
      </c>
      <c r="S53" s="288">
        <v>688</v>
      </c>
      <c r="T53" s="288">
        <v>688</v>
      </c>
      <c r="U53" s="288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  <c r="AO53"/>
      <c r="AP53"/>
    </row>
    <row r="54" spans="1:42" ht="31.5" x14ac:dyDescent="0.25">
      <c r="A54" s="257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141</v>
      </c>
      <c r="I54" s="210">
        <v>120</v>
      </c>
      <c r="J54" s="210">
        <v>152</v>
      </c>
      <c r="K54" s="209">
        <v>152</v>
      </c>
      <c r="L54" s="210">
        <v>140</v>
      </c>
      <c r="M54" s="273">
        <f>12032.27+4728.85+7137.01+1218+507+4175.93+5308.12+6184.37+6281.56+3934.58+7806.06+6078.39</f>
        <v>65392.140000000007</v>
      </c>
      <c r="N54" s="273">
        <f>12031.27+4728.85+7137.01+1218+507+4175.93+5309.12+16400.51</f>
        <v>51507.69</v>
      </c>
      <c r="O54" s="292">
        <f t="shared" si="1"/>
        <v>13884.450000000004</v>
      </c>
      <c r="P54" s="213">
        <v>17</v>
      </c>
      <c r="Q54" s="214">
        <v>17</v>
      </c>
      <c r="R54" s="215">
        <v>17</v>
      </c>
      <c r="S54" s="288">
        <f>9629.72+1321.59</f>
        <v>10951.31</v>
      </c>
      <c r="T54" s="288">
        <f>9629.72+1321.59</f>
        <v>10951.31</v>
      </c>
      <c r="U54" s="288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  <c r="AO54"/>
      <c r="AP54"/>
    </row>
    <row r="55" spans="1:42" ht="31.5" x14ac:dyDescent="0.25">
      <c r="A55" s="257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8</v>
      </c>
      <c r="I55" s="210">
        <v>3</v>
      </c>
      <c r="J55" s="210">
        <v>5</v>
      </c>
      <c r="K55" s="209">
        <v>5</v>
      </c>
      <c r="L55" s="210">
        <v>4</v>
      </c>
      <c r="M55" s="273">
        <v>8188.55</v>
      </c>
      <c r="N55" s="273">
        <v>8188.55</v>
      </c>
      <c r="O55" s="292">
        <f t="shared" si="1"/>
        <v>0</v>
      </c>
      <c r="P55" s="213">
        <v>3</v>
      </c>
      <c r="Q55" s="214">
        <v>3</v>
      </c>
      <c r="R55" s="215">
        <v>3</v>
      </c>
      <c r="S55" s="288">
        <f>757.9+1321.55+620.1</f>
        <v>2699.5499999999997</v>
      </c>
      <c r="T55" s="288">
        <f>757.9+1321.55+620.1</f>
        <v>2699.5499999999997</v>
      </c>
      <c r="U55" s="288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  <c r="AO55"/>
      <c r="AP55"/>
    </row>
    <row r="56" spans="1:42" ht="31.5" x14ac:dyDescent="0.25">
      <c r="A56" s="257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78</v>
      </c>
      <c r="I56" s="210">
        <v>57</v>
      </c>
      <c r="J56" s="210">
        <v>78</v>
      </c>
      <c r="K56" s="209">
        <v>78</v>
      </c>
      <c r="L56" s="210">
        <v>76</v>
      </c>
      <c r="M56" s="273">
        <f>70230.55+4017.1+6903.23</f>
        <v>81150.880000000005</v>
      </c>
      <c r="N56" s="273">
        <f>13145.7+14183.3+726.22+3195.47+5181.98+1425.26+6804.83+1811+6356.42-6356.42+1423.76+3508.9+18824.13</f>
        <v>70230.55</v>
      </c>
      <c r="O56" s="292">
        <f t="shared" si="1"/>
        <v>10920.330000000002</v>
      </c>
      <c r="P56" s="213">
        <v>36</v>
      </c>
      <c r="Q56" s="214">
        <v>36</v>
      </c>
      <c r="R56" s="215">
        <v>33</v>
      </c>
      <c r="S56" s="288">
        <f>53733.15+4264.72+1524.74</f>
        <v>59522.61</v>
      </c>
      <c r="T56" s="288">
        <f>53733.15+4264.72</f>
        <v>57997.87</v>
      </c>
      <c r="U56" s="288">
        <f t="shared" si="2"/>
        <v>1524.739999999998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  <c r="AO56"/>
      <c r="AP56"/>
    </row>
    <row r="57" spans="1:42" ht="31.5" x14ac:dyDescent="0.25">
      <c r="A57" s="257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210">
        <v>11</v>
      </c>
      <c r="J57" s="210">
        <v>12</v>
      </c>
      <c r="K57" s="209">
        <v>11</v>
      </c>
      <c r="L57" s="210">
        <v>11</v>
      </c>
      <c r="M57" s="273">
        <f>1200.96+483.68</f>
        <v>1684.64</v>
      </c>
      <c r="N57" s="273">
        <f>1200.96+483.68</f>
        <v>1684.64</v>
      </c>
      <c r="O57" s="292">
        <f t="shared" si="1"/>
        <v>0</v>
      </c>
      <c r="P57" s="213"/>
      <c r="Q57" s="214"/>
      <c r="R57" s="215"/>
      <c r="S57" s="288"/>
      <c r="T57" s="288"/>
      <c r="U57" s="288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  <c r="AO57"/>
      <c r="AP57"/>
    </row>
    <row r="58" spans="1:42" ht="31.5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210"/>
      <c r="J58" s="210"/>
      <c r="K58" s="209"/>
      <c r="L58" s="210"/>
      <c r="M58" s="273"/>
      <c r="N58" s="273"/>
      <c r="O58" s="292">
        <f t="shared" si="1"/>
        <v>0</v>
      </c>
      <c r="P58" s="213">
        <v>1</v>
      </c>
      <c r="Q58" s="214">
        <v>1</v>
      </c>
      <c r="R58" s="215">
        <v>1</v>
      </c>
      <c r="S58" s="288">
        <v>548.1</v>
      </c>
      <c r="T58" s="288">
        <v>548.1</v>
      </c>
      <c r="U58" s="288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  <c r="AO58"/>
      <c r="AP58"/>
    </row>
    <row r="59" spans="1:42" ht="31.5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210"/>
      <c r="J59" s="210"/>
      <c r="K59" s="209"/>
      <c r="L59" s="210"/>
      <c r="M59" s="273"/>
      <c r="N59" s="273"/>
      <c r="O59" s="292">
        <f t="shared" si="1"/>
        <v>0</v>
      </c>
      <c r="P59" s="213"/>
      <c r="Q59" s="214"/>
      <c r="R59" s="215"/>
      <c r="S59" s="288"/>
      <c r="T59" s="288"/>
      <c r="U59" s="288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  <c r="AO59"/>
      <c r="AP59"/>
    </row>
    <row r="60" spans="1:42" ht="31.5" x14ac:dyDescent="0.25">
      <c r="A60" s="257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79</v>
      </c>
      <c r="I60" s="210">
        <v>45</v>
      </c>
      <c r="J60" s="210">
        <v>62</v>
      </c>
      <c r="K60" s="209">
        <v>61</v>
      </c>
      <c r="L60" s="210">
        <v>55</v>
      </c>
      <c r="M60" s="273">
        <f>55406.35+5285.07</f>
        <v>60691.42</v>
      </c>
      <c r="N60" s="273">
        <f>19658.67+3859.57+3638.88+11285.84+2356.7+1870.22+2374.32+10362.15</f>
        <v>55406.35</v>
      </c>
      <c r="O60" s="292">
        <f t="shared" si="1"/>
        <v>5285.07</v>
      </c>
      <c r="P60" s="213">
        <v>8</v>
      </c>
      <c r="Q60" s="214">
        <v>8</v>
      </c>
      <c r="R60" s="215">
        <v>7</v>
      </c>
      <c r="S60" s="288">
        <f>7737.36+1404.36</f>
        <v>9141.7199999999993</v>
      </c>
      <c r="T60" s="288">
        <f>7737.36+1404.36</f>
        <v>9141.7199999999993</v>
      </c>
      <c r="U60" s="288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  <c r="AO60"/>
      <c r="AP60"/>
    </row>
    <row r="61" spans="1:42" ht="31.5" x14ac:dyDescent="0.25">
      <c r="A61" s="257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33</v>
      </c>
      <c r="I61" s="210">
        <v>23</v>
      </c>
      <c r="J61" s="210">
        <v>33</v>
      </c>
      <c r="K61" s="209">
        <v>31</v>
      </c>
      <c r="L61" s="210">
        <v>31</v>
      </c>
      <c r="M61" s="273">
        <f>3986.21+989.8+3814.75+1492.92+2107.58+1990.86+3001.41+1940.89+2035.8+3263.5+1431.16</f>
        <v>26054.879999999997</v>
      </c>
      <c r="N61" s="273">
        <f>3987.21+989.8+3814.75+1492.92+2107.58+1990.86+6978.1</f>
        <v>21361.22</v>
      </c>
      <c r="O61" s="292">
        <f t="shared" si="1"/>
        <v>4693.6599999999962</v>
      </c>
      <c r="P61" s="213"/>
      <c r="Q61" s="214"/>
      <c r="R61" s="215"/>
      <c r="S61" s="288"/>
      <c r="T61" s="288"/>
      <c r="U61" s="288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  <c r="AO61"/>
      <c r="AP61"/>
    </row>
    <row r="62" spans="1:42" ht="31.5" x14ac:dyDescent="0.25">
      <c r="A62" s="257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21</v>
      </c>
      <c r="I62" s="210">
        <v>11</v>
      </c>
      <c r="J62" s="210">
        <v>26</v>
      </c>
      <c r="K62" s="209">
        <v>26</v>
      </c>
      <c r="L62" s="210">
        <v>22</v>
      </c>
      <c r="M62" s="273">
        <v>17435.95</v>
      </c>
      <c r="N62" s="273">
        <v>17435.95</v>
      </c>
      <c r="O62" s="292">
        <f t="shared" si="1"/>
        <v>0</v>
      </c>
      <c r="P62" s="213">
        <v>9</v>
      </c>
      <c r="Q62" s="214">
        <v>9</v>
      </c>
      <c r="R62" s="215">
        <v>9</v>
      </c>
      <c r="S62" s="288">
        <v>7582.54</v>
      </c>
      <c r="T62" s="288">
        <v>7582.54</v>
      </c>
      <c r="U62" s="288">
        <f t="shared" si="2"/>
        <v>0</v>
      </c>
      <c r="V62" s="161"/>
      <c r="AO62"/>
      <c r="AP62"/>
    </row>
    <row r="63" spans="1:42" ht="31.5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210"/>
      <c r="J63" s="210"/>
      <c r="K63" s="209"/>
      <c r="L63" s="210"/>
      <c r="M63" s="273"/>
      <c r="N63" s="273"/>
      <c r="O63" s="292">
        <f t="shared" si="1"/>
        <v>0</v>
      </c>
      <c r="P63" s="213">
        <v>29</v>
      </c>
      <c r="Q63" s="214">
        <v>29</v>
      </c>
      <c r="R63" s="215">
        <v>29</v>
      </c>
      <c r="S63" s="288">
        <f>9392.68+482.3+2027.39</f>
        <v>11902.369999999999</v>
      </c>
      <c r="T63" s="288">
        <f>9392.68+482.3+2027.39</f>
        <v>11902.369999999999</v>
      </c>
      <c r="U63" s="288">
        <f t="shared" si="2"/>
        <v>0</v>
      </c>
      <c r="V63" s="161"/>
      <c r="AO63"/>
      <c r="AP63"/>
    </row>
    <row r="64" spans="1:42" ht="31.5" x14ac:dyDescent="0.25">
      <c r="A64" s="257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104</v>
      </c>
      <c r="I64" s="210">
        <v>24</v>
      </c>
      <c r="J64" s="210">
        <v>27</v>
      </c>
      <c r="K64" s="209">
        <v>27</v>
      </c>
      <c r="L64" s="210">
        <v>25</v>
      </c>
      <c r="M64" s="273">
        <f>20271.52+2756+435</f>
        <v>23462.52</v>
      </c>
      <c r="N64" s="273">
        <f>6496.16+4335.01+2477.65+2687.1+609+3666.6</f>
        <v>20271.519999999997</v>
      </c>
      <c r="O64" s="292">
        <f t="shared" si="1"/>
        <v>3191.0000000000036</v>
      </c>
      <c r="P64" s="213">
        <v>12</v>
      </c>
      <c r="Q64" s="214">
        <v>12</v>
      </c>
      <c r="R64" s="215">
        <v>12</v>
      </c>
      <c r="S64" s="288">
        <f>6866.56+548.1</f>
        <v>7414.6600000000008</v>
      </c>
      <c r="T64" s="288">
        <f>6866.56+548.1</f>
        <v>7414.6600000000008</v>
      </c>
      <c r="U64" s="288">
        <f t="shared" si="2"/>
        <v>0</v>
      </c>
      <c r="V64" s="161"/>
      <c r="AO64"/>
      <c r="AP64"/>
    </row>
    <row r="65" spans="1:42" ht="31.5" x14ac:dyDescent="0.25">
      <c r="A65" s="257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69</v>
      </c>
      <c r="I65" s="210">
        <v>59</v>
      </c>
      <c r="J65" s="210">
        <v>73</v>
      </c>
      <c r="K65" s="209">
        <v>68</v>
      </c>
      <c r="L65" s="210">
        <v>67</v>
      </c>
      <c r="M65" s="273">
        <f>21562.61+5719.7+1305+4149.27+2397.37+5906.18+1251.03+829.55+4633.7+2607.11+652.5+3265.4+1216.55+3027.02+4762.53+494.81</f>
        <v>63780.33</v>
      </c>
      <c r="N65" s="273">
        <f>21561.61+5719.7+1305+4149.27+2397.37+5906.18+1251.03+829.55+4633.7+2607.11+7962.47</f>
        <v>58322.990000000005</v>
      </c>
      <c r="O65" s="292">
        <f t="shared" si="1"/>
        <v>5457.3399999999965</v>
      </c>
      <c r="P65" s="213">
        <v>11</v>
      </c>
      <c r="Q65" s="214">
        <v>11</v>
      </c>
      <c r="R65" s="215">
        <v>11</v>
      </c>
      <c r="S65" s="288">
        <f>7456.7+19131.63</f>
        <v>26588.33</v>
      </c>
      <c r="T65" s="288">
        <f>7456.7+19131.63</f>
        <v>26588.33</v>
      </c>
      <c r="U65" s="288">
        <f t="shared" si="2"/>
        <v>0</v>
      </c>
      <c r="V65" s="161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</row>
    <row r="66" spans="1:42" ht="31.5" x14ac:dyDescent="0.25">
      <c r="A66" s="257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210">
        <v>2</v>
      </c>
      <c r="J66" s="210">
        <v>3</v>
      </c>
      <c r="K66" s="209">
        <v>3</v>
      </c>
      <c r="L66" s="210">
        <v>3</v>
      </c>
      <c r="M66" s="273">
        <f>464.83+1653.6</f>
        <v>2118.4299999999998</v>
      </c>
      <c r="N66" s="273">
        <f>464.83+1653.6</f>
        <v>2118.4299999999998</v>
      </c>
      <c r="O66" s="292">
        <f t="shared" si="1"/>
        <v>0</v>
      </c>
      <c r="P66" s="213">
        <v>4</v>
      </c>
      <c r="Q66" s="214">
        <v>4</v>
      </c>
      <c r="R66" s="215">
        <v>4</v>
      </c>
      <c r="S66" s="288">
        <v>3148.1</v>
      </c>
      <c r="T66" s="288">
        <v>3148.1</v>
      </c>
      <c r="U66" s="288">
        <f t="shared" si="2"/>
        <v>0</v>
      </c>
      <c r="V66" s="161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</row>
    <row r="67" spans="1:42" ht="31.5" x14ac:dyDescent="0.25">
      <c r="A67" s="257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73</v>
      </c>
      <c r="I67" s="210">
        <v>59</v>
      </c>
      <c r="J67" s="210">
        <v>77</v>
      </c>
      <c r="K67" s="209">
        <v>77</v>
      </c>
      <c r="L67" s="210">
        <v>69</v>
      </c>
      <c r="M67" s="273">
        <f>57336.7+3808.64+5209.38</f>
        <v>66354.720000000001</v>
      </c>
      <c r="N67" s="273">
        <f>19710.93+7009.96+ 8900.54+165.98+1497.55+1081.95+652.5+834+3570.78+16069.46</f>
        <v>59493.65</v>
      </c>
      <c r="O67" s="292">
        <f t="shared" si="1"/>
        <v>6861.07</v>
      </c>
      <c r="P67" s="213">
        <v>11</v>
      </c>
      <c r="Q67" s="214">
        <v>11</v>
      </c>
      <c r="R67" s="215">
        <v>11</v>
      </c>
      <c r="S67" s="288">
        <f>8355.57+1548.48+8943.77</f>
        <v>18847.82</v>
      </c>
      <c r="T67" s="288">
        <f>8355.57+1548.48+8943.77</f>
        <v>18847.82</v>
      </c>
      <c r="U67" s="288">
        <f t="shared" si="2"/>
        <v>0</v>
      </c>
      <c r="V67" s="161"/>
      <c r="W67"/>
      <c r="X67"/>
      <c r="Y67"/>
      <c r="Z67"/>
      <c r="AA67"/>
      <c r="AB67"/>
      <c r="AC67"/>
      <c r="AD67"/>
      <c r="AE67"/>
      <c r="AF67" s="59"/>
      <c r="AG67"/>
      <c r="AH67"/>
      <c r="AI67"/>
      <c r="AJ67"/>
      <c r="AK67"/>
      <c r="AL67"/>
      <c r="AM67"/>
      <c r="AN67"/>
      <c r="AO67"/>
      <c r="AP67"/>
    </row>
    <row r="68" spans="1:42" ht="31.5" x14ac:dyDescent="0.25">
      <c r="A68" s="257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49</v>
      </c>
      <c r="I68" s="210">
        <v>41</v>
      </c>
      <c r="J68" s="210">
        <v>67</v>
      </c>
      <c r="K68" s="209">
        <v>67</v>
      </c>
      <c r="L68" s="210">
        <v>63</v>
      </c>
      <c r="M68" s="273">
        <v>55504.13</v>
      </c>
      <c r="N68" s="273">
        <f>18750.75+2683.13+8424.37+22481.37</f>
        <v>52339.619999999995</v>
      </c>
      <c r="O68" s="292">
        <f t="shared" si="1"/>
        <v>3164.510000000002</v>
      </c>
      <c r="P68" s="213">
        <v>11</v>
      </c>
      <c r="Q68" s="214">
        <v>11</v>
      </c>
      <c r="R68" s="215">
        <v>11</v>
      </c>
      <c r="S68" s="288">
        <v>6249.15</v>
      </c>
      <c r="T68" s="288">
        <v>6249.15</v>
      </c>
      <c r="U68" s="288">
        <f t="shared" si="2"/>
        <v>0</v>
      </c>
      <c r="V68" s="161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</row>
    <row r="69" spans="1:42" ht="31.5" x14ac:dyDescent="0.25">
      <c r="A69" s="257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24</v>
      </c>
      <c r="I69" s="210">
        <v>14</v>
      </c>
      <c r="J69" s="210">
        <v>19</v>
      </c>
      <c r="K69" s="209">
        <v>19</v>
      </c>
      <c r="L69" s="210">
        <v>12</v>
      </c>
      <c r="M69" s="273">
        <f>2756+1240.2+1305+1087.5+1232.5+2915.4+2429</f>
        <v>12965.6</v>
      </c>
      <c r="N69" s="273">
        <f>2756+1240.2+1305+1087.5+1232.5+2915.4</f>
        <v>10536.6</v>
      </c>
      <c r="O69" s="292">
        <f t="shared" si="1"/>
        <v>2429</v>
      </c>
      <c r="P69" s="213"/>
      <c r="Q69" s="214"/>
      <c r="R69" s="215"/>
      <c r="S69" s="288"/>
      <c r="T69" s="288"/>
      <c r="U69" s="288">
        <f t="shared" si="2"/>
        <v>0</v>
      </c>
      <c r="V69" s="161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</row>
    <row r="70" spans="1:42" ht="31.5" x14ac:dyDescent="0.25">
      <c r="A70" s="257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20</v>
      </c>
      <c r="I70" s="210">
        <v>15</v>
      </c>
      <c r="J70" s="210">
        <v>18</v>
      </c>
      <c r="K70" s="209">
        <v>18</v>
      </c>
      <c r="L70" s="210">
        <v>17</v>
      </c>
      <c r="M70" s="273">
        <f>15374.68+947.21+1450</f>
        <v>17771.89</v>
      </c>
      <c r="N70" s="273">
        <f>2039.44+3242.32+2027.39+3567+822.15+4538.88</f>
        <v>16237.18</v>
      </c>
      <c r="O70" s="292">
        <f t="shared" si="1"/>
        <v>1534.7099999999991</v>
      </c>
      <c r="P70" s="213">
        <v>7</v>
      </c>
      <c r="Q70" s="214">
        <v>7</v>
      </c>
      <c r="R70" s="215">
        <v>7</v>
      </c>
      <c r="S70" s="288">
        <f>3513.9+460.56+401.94</f>
        <v>4376.3999999999996</v>
      </c>
      <c r="T70" s="288">
        <v>3513.9</v>
      </c>
      <c r="U70" s="288">
        <f t="shared" si="2"/>
        <v>862.49999999999955</v>
      </c>
      <c r="V70" s="161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</row>
    <row r="71" spans="1:42" s="249" customFormat="1" ht="31.5" x14ac:dyDescent="0.25">
      <c r="A71" s="257">
        <v>57</v>
      </c>
      <c r="B71" s="291">
        <f t="shared" si="3"/>
        <v>62</v>
      </c>
      <c r="C71" s="250" t="s">
        <v>74</v>
      </c>
      <c r="D71" s="251" t="s">
        <v>124</v>
      </c>
      <c r="E71" s="252"/>
      <c r="F71" s="253" t="s">
        <v>111</v>
      </c>
      <c r="G71" s="254" t="s">
        <v>190</v>
      </c>
      <c r="H71" s="255">
        <v>35</v>
      </c>
      <c r="I71" s="210">
        <v>22</v>
      </c>
      <c r="J71" s="210">
        <v>28</v>
      </c>
      <c r="K71" s="209">
        <v>26</v>
      </c>
      <c r="L71" s="210">
        <v>26</v>
      </c>
      <c r="M71" s="273">
        <f>2383.53+3781.9+7505.17+507+5161.87+1335.02+1152.8-3276.5+5715.74+5512.93</f>
        <v>29779.46</v>
      </c>
      <c r="N71" s="273">
        <f>2383.53+3781.9+7505.17+507+5161.87+1335.02+1152.8-3276.5+5715.74</f>
        <v>24266.53</v>
      </c>
      <c r="O71" s="292">
        <f t="shared" si="1"/>
        <v>5512.93</v>
      </c>
      <c r="P71" s="213">
        <v>26</v>
      </c>
      <c r="Q71" s="214">
        <v>26</v>
      </c>
      <c r="R71" s="215">
        <v>26</v>
      </c>
      <c r="S71" s="288">
        <f>52337.46+18000.02+1926.09+5518.42+2515.16</f>
        <v>80297.149999999994</v>
      </c>
      <c r="T71" s="288">
        <f>52337.46+18000.02+1926.09+5518.42</f>
        <v>77781.989999999991</v>
      </c>
      <c r="U71" s="288">
        <f t="shared" si="2"/>
        <v>2515.1600000000035</v>
      </c>
      <c r="V71" s="161"/>
      <c r="W71" s="243"/>
      <c r="X71" s="243"/>
      <c r="Y71" s="243"/>
      <c r="Z71" s="243"/>
      <c r="AA71" s="243"/>
      <c r="AB71" s="243"/>
      <c r="AC71" s="243"/>
      <c r="AD71" s="243"/>
      <c r="AE71" s="243"/>
      <c r="AF71" s="256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</row>
    <row r="72" spans="1:42" ht="31.5" x14ac:dyDescent="0.25">
      <c r="A72" s="257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26</v>
      </c>
      <c r="I72" s="210">
        <v>16</v>
      </c>
      <c r="J72" s="210">
        <v>21</v>
      </c>
      <c r="K72" s="209">
        <v>21</v>
      </c>
      <c r="L72" s="210">
        <v>19</v>
      </c>
      <c r="M72" s="273">
        <f>4704.53+544.32+1960.26+2120.63+1914.44+822.15+4802.54</f>
        <v>16868.87</v>
      </c>
      <c r="N72" s="273">
        <f>4703.53+544.32+1960.26+2120.63+2737.59</f>
        <v>12066.33</v>
      </c>
      <c r="O72" s="292">
        <f t="shared" si="1"/>
        <v>4802.5399999999991</v>
      </c>
      <c r="P72" s="213">
        <v>7</v>
      </c>
      <c r="Q72" s="214">
        <v>7</v>
      </c>
      <c r="R72" s="215">
        <v>7</v>
      </c>
      <c r="S72" s="288">
        <f>3959.69+961.38</f>
        <v>4921.07</v>
      </c>
      <c r="T72" s="288">
        <f>3959.69+961.38</f>
        <v>4921.07</v>
      </c>
      <c r="U72" s="288">
        <f t="shared" si="2"/>
        <v>0</v>
      </c>
      <c r="V72" s="161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1:42" ht="31.5" x14ac:dyDescent="0.25">
      <c r="A73" s="257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49</v>
      </c>
      <c r="I73" s="210">
        <v>32</v>
      </c>
      <c r="J73" s="210">
        <v>37</v>
      </c>
      <c r="K73" s="209">
        <v>37</v>
      </c>
      <c r="L73" s="210">
        <v>32</v>
      </c>
      <c r="M73" s="273">
        <f>2096.52+746.9+4941.1+3310.3+2104.91+2516.25+6797.48</f>
        <v>22513.46</v>
      </c>
      <c r="N73" s="273">
        <v>22513.46</v>
      </c>
      <c r="O73" s="292">
        <f t="shared" si="1"/>
        <v>0</v>
      </c>
      <c r="P73" s="213">
        <v>8</v>
      </c>
      <c r="Q73" s="214">
        <v>8</v>
      </c>
      <c r="R73" s="215">
        <v>8</v>
      </c>
      <c r="S73" s="288">
        <f>1821.06+4580.19+1240.2+1963.25</f>
        <v>9604.7000000000007</v>
      </c>
      <c r="T73" s="288">
        <v>9604.7000000000007</v>
      </c>
      <c r="U73" s="288">
        <f t="shared" si="2"/>
        <v>0</v>
      </c>
      <c r="V73" s="161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ht="31.5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210"/>
      <c r="J74" s="210"/>
      <c r="K74" s="209"/>
      <c r="L74" s="210"/>
      <c r="M74" s="273"/>
      <c r="N74" s="273"/>
      <c r="O74" s="292">
        <f t="shared" si="1"/>
        <v>0</v>
      </c>
      <c r="P74" s="213">
        <v>1</v>
      </c>
      <c r="Q74" s="214">
        <v>1</v>
      </c>
      <c r="R74" s="215">
        <v>1</v>
      </c>
      <c r="S74" s="288">
        <v>3278.32</v>
      </c>
      <c r="T74" s="288">
        <v>3278.32</v>
      </c>
      <c r="U74" s="288">
        <f t="shared" si="2"/>
        <v>0</v>
      </c>
      <c r="V74" s="161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ht="31.5" x14ac:dyDescent="0.25">
      <c r="A75" s="257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65</v>
      </c>
      <c r="I75" s="210">
        <v>11</v>
      </c>
      <c r="J75" s="210">
        <v>31</v>
      </c>
      <c r="K75" s="209">
        <v>31</v>
      </c>
      <c r="L75" s="210">
        <v>17</v>
      </c>
      <c r="M75" s="273">
        <f>275.6+741.36+14287.26+2399.03+7204.43-12858+4132.5</f>
        <v>16182.18</v>
      </c>
      <c r="N75" s="273">
        <f>275.6+741.36+14287.26-10458.97</f>
        <v>4845.2500000000018</v>
      </c>
      <c r="O75" s="292">
        <f t="shared" ref="O75:O104" si="4" xml:space="preserve"> (M75-N75)</f>
        <v>11336.929999999998</v>
      </c>
      <c r="P75" s="213">
        <v>3</v>
      </c>
      <c r="Q75" s="214">
        <v>3</v>
      </c>
      <c r="R75" s="215">
        <v>3</v>
      </c>
      <c r="S75" s="288">
        <f>617.03+725.77</f>
        <v>1342.8</v>
      </c>
      <c r="T75" s="288">
        <f>617.03+725.77</f>
        <v>1342.8</v>
      </c>
      <c r="U75" s="288">
        <f t="shared" ref="U75:U104" si="5" xml:space="preserve"> (S75-T75)</f>
        <v>0</v>
      </c>
      <c r="V75" s="161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ht="31.5" x14ac:dyDescent="0.25">
      <c r="A76" s="257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46</v>
      </c>
      <c r="I76" s="210">
        <v>33</v>
      </c>
      <c r="J76" s="210">
        <v>53</v>
      </c>
      <c r="K76" s="209">
        <v>53</v>
      </c>
      <c r="L76" s="210">
        <v>46</v>
      </c>
      <c r="M76" s="273">
        <f>11803.63+1320.23+3132.15+12104.63+822.42+4875.99+435.02+2678.15+3594.84+4069.8-0.4</f>
        <v>44836.46</v>
      </c>
      <c r="N76" s="273">
        <f>11803.63+1320.23+3132.15+12104.63+822.42+4875.99+435.02+6734.22</f>
        <v>41228.289999999994</v>
      </c>
      <c r="O76" s="292">
        <f t="shared" si="4"/>
        <v>3608.1700000000055</v>
      </c>
      <c r="P76" s="213">
        <v>5</v>
      </c>
      <c r="Q76" s="214">
        <v>5</v>
      </c>
      <c r="R76" s="215">
        <v>5</v>
      </c>
      <c r="S76" s="288">
        <f>5751.78+461.63</f>
        <v>6213.41</v>
      </c>
      <c r="T76" s="288">
        <v>5751.78</v>
      </c>
      <c r="U76" s="288">
        <f t="shared" si="5"/>
        <v>461.63000000000011</v>
      </c>
      <c r="V76" s="161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ht="31.5" x14ac:dyDescent="0.25">
      <c r="A77" s="257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30</v>
      </c>
      <c r="I77" s="210">
        <v>16</v>
      </c>
      <c r="J77" s="210">
        <v>26</v>
      </c>
      <c r="K77" s="209">
        <v>26</v>
      </c>
      <c r="L77" s="210">
        <v>22</v>
      </c>
      <c r="M77" s="273">
        <f>20900.61+4738.34</f>
        <v>25638.95</v>
      </c>
      <c r="N77" s="273">
        <v>19015.61</v>
      </c>
      <c r="O77" s="292">
        <f t="shared" si="4"/>
        <v>6623.34</v>
      </c>
      <c r="P77" s="213"/>
      <c r="Q77" s="214"/>
      <c r="R77" s="215"/>
      <c r="S77" s="288"/>
      <c r="T77" s="288"/>
      <c r="U77" s="288">
        <f t="shared" si="5"/>
        <v>0</v>
      </c>
      <c r="V77" s="161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</row>
    <row r="78" spans="1:42" ht="31.5" x14ac:dyDescent="0.25">
      <c r="A78" s="257" t="s">
        <v>315</v>
      </c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210"/>
      <c r="J78" s="210"/>
      <c r="K78" s="209"/>
      <c r="L78" s="210"/>
      <c r="M78" s="273"/>
      <c r="N78" s="273"/>
      <c r="O78" s="292">
        <f t="shared" si="4"/>
        <v>0</v>
      </c>
      <c r="P78" s="213">
        <v>9</v>
      </c>
      <c r="Q78" s="214">
        <v>9</v>
      </c>
      <c r="R78" s="215">
        <v>9</v>
      </c>
      <c r="S78" s="288">
        <f>3889.76+778.48</f>
        <v>4668.24</v>
      </c>
      <c r="T78" s="288">
        <f>3889.76+778.48</f>
        <v>4668.24</v>
      </c>
      <c r="U78" s="288">
        <f t="shared" si="5"/>
        <v>0</v>
      </c>
      <c r="V78" s="161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1:42" ht="31.5" x14ac:dyDescent="0.25">
      <c r="A79" s="257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27</v>
      </c>
      <c r="I79" s="210">
        <v>19</v>
      </c>
      <c r="J79" s="210">
        <v>28</v>
      </c>
      <c r="K79" s="209">
        <v>28</v>
      </c>
      <c r="L79" s="210">
        <v>27</v>
      </c>
      <c r="M79" s="273">
        <f>8913.81+7027.61+1244.33+15395.91+4278.3+2683.35+2527.95</f>
        <v>42071.259999999995</v>
      </c>
      <c r="N79" s="273">
        <f>8913.81+7027.61+1244.33+15395.91+4278.3</f>
        <v>36859.96</v>
      </c>
      <c r="O79" s="292">
        <f t="shared" si="4"/>
        <v>5211.2999999999956</v>
      </c>
      <c r="P79" s="213">
        <v>4</v>
      </c>
      <c r="Q79" s="214">
        <v>4</v>
      </c>
      <c r="R79" s="215">
        <v>4</v>
      </c>
      <c r="S79" s="288">
        <f>275.6+4163.58</f>
        <v>4439.18</v>
      </c>
      <c r="T79" s="288">
        <f>275.6+4163.58</f>
        <v>4439.18</v>
      </c>
      <c r="U79" s="288">
        <f t="shared" si="5"/>
        <v>0</v>
      </c>
      <c r="V79" s="161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1:42" ht="31.5" x14ac:dyDescent="0.25">
      <c r="A80" s="257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20</v>
      </c>
      <c r="I80" s="210">
        <v>14</v>
      </c>
      <c r="J80" s="210">
        <v>26</v>
      </c>
      <c r="K80" s="209">
        <v>26</v>
      </c>
      <c r="L80" s="210">
        <v>22</v>
      </c>
      <c r="M80" s="273">
        <f>14959.64+7384.39+14758.51+362.5+822.42+1311.95-361.5</f>
        <v>39237.909999999996</v>
      </c>
      <c r="N80" s="273">
        <f>14959.64+7384.39+14758.51+362.5+822.42+1311.95-361.5</f>
        <v>39237.909999999996</v>
      </c>
      <c r="O80" s="292">
        <f t="shared" si="4"/>
        <v>0</v>
      </c>
      <c r="P80" s="213">
        <v>11</v>
      </c>
      <c r="Q80" s="214">
        <v>11</v>
      </c>
      <c r="R80" s="215">
        <v>10</v>
      </c>
      <c r="S80" s="288">
        <f>13554.7+2057.24+454.74</f>
        <v>16066.68</v>
      </c>
      <c r="T80" s="288">
        <f>13554.7+2057.24+454.74</f>
        <v>16066.68</v>
      </c>
      <c r="U80" s="288">
        <f t="shared" si="5"/>
        <v>0</v>
      </c>
      <c r="V80" s="161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1:42" ht="20.100000000000001" customHeight="1" x14ac:dyDescent="0.25">
      <c r="A81" s="257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210">
        <v>2</v>
      </c>
      <c r="J81" s="210">
        <v>4</v>
      </c>
      <c r="K81" s="209">
        <v>4</v>
      </c>
      <c r="L81" s="210">
        <v>3</v>
      </c>
      <c r="M81" s="273">
        <f>287.1+4641.98</f>
        <v>4929.08</v>
      </c>
      <c r="N81" s="273">
        <f>287.1+4641.98</f>
        <v>4929.08</v>
      </c>
      <c r="O81" s="292">
        <f t="shared" si="4"/>
        <v>0</v>
      </c>
      <c r="P81" s="213">
        <v>1</v>
      </c>
      <c r="Q81" s="214">
        <v>1</v>
      </c>
      <c r="R81" s="215">
        <v>1</v>
      </c>
      <c r="S81" s="288">
        <v>2673.24</v>
      </c>
      <c r="T81" s="288">
        <v>2673.24</v>
      </c>
      <c r="U81" s="288">
        <f t="shared" si="5"/>
        <v>0</v>
      </c>
      <c r="V81" s="161"/>
    </row>
    <row r="82" spans="1:42" ht="20.100000000000001" customHeight="1" x14ac:dyDescent="0.25">
      <c r="A82" s="257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29</v>
      </c>
      <c r="I82" s="210">
        <v>17</v>
      </c>
      <c r="J82" s="210">
        <v>25</v>
      </c>
      <c r="K82" s="209">
        <v>25</v>
      </c>
      <c r="L82" s="210">
        <v>19</v>
      </c>
      <c r="M82" s="273">
        <f>2626.75+8084.46+600.05+7445.83+942.5+668.95+1283.25+574.2</f>
        <v>22225.989999999998</v>
      </c>
      <c r="N82" s="273">
        <f>2626.75+8084.46+600.05+7445.83+942.5+668.95+1283.25</f>
        <v>21651.789999999997</v>
      </c>
      <c r="O82" s="292">
        <f t="shared" si="4"/>
        <v>574.20000000000073</v>
      </c>
      <c r="P82" s="213">
        <v>10</v>
      </c>
      <c r="Q82" s="214">
        <v>10</v>
      </c>
      <c r="R82" s="215">
        <v>10</v>
      </c>
      <c r="S82" s="288">
        <f>15935.59+881.06+1714.6+1015.59</f>
        <v>19546.84</v>
      </c>
      <c r="T82" s="288">
        <f>15935.59+881.06+1714.6+1015.59</f>
        <v>19546.84</v>
      </c>
      <c r="U82" s="288">
        <f t="shared" si="5"/>
        <v>0</v>
      </c>
      <c r="V82" s="161"/>
    </row>
    <row r="83" spans="1:42" ht="20.100000000000001" customHeight="1" x14ac:dyDescent="0.25">
      <c r="A83" s="257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29</v>
      </c>
      <c r="I83" s="210">
        <v>18</v>
      </c>
      <c r="J83" s="210">
        <v>37</v>
      </c>
      <c r="K83" s="209">
        <v>37</v>
      </c>
      <c r="L83" s="210">
        <v>30</v>
      </c>
      <c r="M83" s="273">
        <f>11233.31+3440.1+14435.12-1360.99+3088.95+2556.06+1891.38+763.69</f>
        <v>36047.619999999995</v>
      </c>
      <c r="N83" s="273">
        <f>11233.31+3440.1+14435.12-1360.99+3088.95+2556.06+1891.38+763.69</f>
        <v>36047.619999999995</v>
      </c>
      <c r="O83" s="292">
        <f t="shared" si="4"/>
        <v>0</v>
      </c>
      <c r="P83" s="213">
        <v>7</v>
      </c>
      <c r="Q83" s="214">
        <v>7</v>
      </c>
      <c r="R83" s="215">
        <v>7</v>
      </c>
      <c r="S83" s="288">
        <f>6465.89+3406.65+1360.99</f>
        <v>11233.53</v>
      </c>
      <c r="T83" s="288">
        <f>6465.89+3406.65+1360.99</f>
        <v>11233.53</v>
      </c>
      <c r="U83" s="288">
        <f t="shared" si="5"/>
        <v>0</v>
      </c>
      <c r="V83" s="161"/>
    </row>
    <row r="84" spans="1:42" ht="20.100000000000001" customHeight="1" x14ac:dyDescent="0.25">
      <c r="A84" s="257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24</v>
      </c>
      <c r="I84" s="210">
        <v>17</v>
      </c>
      <c r="J84" s="210">
        <v>29</v>
      </c>
      <c r="K84" s="209">
        <v>29</v>
      </c>
      <c r="L84" s="210">
        <v>27</v>
      </c>
      <c r="M84" s="273">
        <f>5429.56+2272.28+2029.9+2976.46+1243.6+3190.51+1864.46</f>
        <v>19006.77</v>
      </c>
      <c r="N84" s="273">
        <f>5429.56+2272.28+2029.9+2976.46+1243.6+3190.51</f>
        <v>17142.310000000001</v>
      </c>
      <c r="O84" s="292">
        <f t="shared" si="4"/>
        <v>1864.4599999999991</v>
      </c>
      <c r="P84" s="213">
        <v>2</v>
      </c>
      <c r="Q84" s="214">
        <v>2</v>
      </c>
      <c r="R84" s="215">
        <v>1</v>
      </c>
      <c r="S84" s="288">
        <v>1515.31</v>
      </c>
      <c r="T84" s="288">
        <v>1515.31</v>
      </c>
      <c r="U84" s="288">
        <f t="shared" si="5"/>
        <v>0</v>
      </c>
      <c r="V84" s="161"/>
    </row>
    <row r="85" spans="1:42" ht="20.100000000000001" customHeight="1" x14ac:dyDescent="0.25">
      <c r="A85" s="257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60</v>
      </c>
      <c r="I85" s="210">
        <v>47</v>
      </c>
      <c r="J85" s="210">
        <v>77</v>
      </c>
      <c r="K85" s="209">
        <v>74</v>
      </c>
      <c r="L85" s="210">
        <v>66</v>
      </c>
      <c r="M85" s="273">
        <f>15506.09+4089.12+1924.78+1267.55+6546.86+1962.04+654.22+1080.22+392.95+1059.68+8180.45+435+1409.81+1010.65</f>
        <v>45519.419999999991</v>
      </c>
      <c r="N85" s="273">
        <f>15506.09+4089.12+1924.78+1267.55+6546.86+1962.04+654.22+1080.22+392.95+1059.68+10025.26</f>
        <v>44508.77</v>
      </c>
      <c r="O85" s="292">
        <f t="shared" si="4"/>
        <v>1010.6499999999942</v>
      </c>
      <c r="P85" s="213">
        <v>5</v>
      </c>
      <c r="Q85" s="214">
        <v>5</v>
      </c>
      <c r="R85" s="215">
        <v>5</v>
      </c>
      <c r="S85" s="288">
        <f>2068.47+2492.49</f>
        <v>4560.9599999999991</v>
      </c>
      <c r="T85" s="288">
        <f>2068.47+2492.49</f>
        <v>4560.9599999999991</v>
      </c>
      <c r="U85" s="288">
        <f t="shared" si="5"/>
        <v>0</v>
      </c>
      <c r="V85" s="161"/>
    </row>
    <row r="86" spans="1:42" ht="20.100000000000001" customHeight="1" x14ac:dyDescent="0.25">
      <c r="A86" s="257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23</v>
      </c>
      <c r="I86" s="210">
        <v>18</v>
      </c>
      <c r="J86" s="210">
        <v>21</v>
      </c>
      <c r="K86" s="209">
        <v>21</v>
      </c>
      <c r="L86" s="210">
        <v>21</v>
      </c>
      <c r="M86" s="273">
        <f>1957.76+1128.38+1752.82+1595+1761.46+1724.05</f>
        <v>9919.4699999999993</v>
      </c>
      <c r="N86" s="273">
        <f>1956.76+1128.38+1752.82+3357.46</f>
        <v>8195.42</v>
      </c>
      <c r="O86" s="292">
        <f t="shared" si="4"/>
        <v>1724.0499999999993</v>
      </c>
      <c r="P86" s="213">
        <v>2</v>
      </c>
      <c r="Q86" s="214">
        <v>2</v>
      </c>
      <c r="R86" s="215">
        <v>2</v>
      </c>
      <c r="S86" s="288">
        <v>839.18</v>
      </c>
      <c r="T86" s="288">
        <v>839.18</v>
      </c>
      <c r="U86" s="288">
        <f t="shared" si="5"/>
        <v>0</v>
      </c>
      <c r="V86" s="161"/>
    </row>
    <row r="87" spans="1:42" ht="20.25" customHeight="1" x14ac:dyDescent="0.25">
      <c r="A87" s="257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10</v>
      </c>
      <c r="I87" s="210">
        <v>8</v>
      </c>
      <c r="J87" s="210">
        <v>14</v>
      </c>
      <c r="K87" s="209">
        <v>14</v>
      </c>
      <c r="L87" s="210">
        <v>13</v>
      </c>
      <c r="M87" s="273">
        <f>795.8+4099.92+1305+358.88+1643.65+1026.38+1265.93+430.65+21</f>
        <v>10947.210000000001</v>
      </c>
      <c r="N87" s="273">
        <f>795.8+4099.92+1305+358.88+1643.65+1026.38+1265.93+430.65+21</f>
        <v>10947.210000000001</v>
      </c>
      <c r="O87" s="292">
        <f t="shared" si="4"/>
        <v>0</v>
      </c>
      <c r="P87" s="213">
        <v>6</v>
      </c>
      <c r="Q87" s="214">
        <v>6</v>
      </c>
      <c r="R87" s="215">
        <v>6</v>
      </c>
      <c r="S87" s="288">
        <f>2723.78+3718.48+4265.16+4595.62</f>
        <v>15303.04</v>
      </c>
      <c r="T87" s="288">
        <f>2723.78+3718.48+4265.16+4595.62</f>
        <v>15303.04</v>
      </c>
      <c r="U87" s="288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210"/>
      <c r="J88" s="210"/>
      <c r="K88" s="209"/>
      <c r="L88" s="210"/>
      <c r="M88" s="273"/>
      <c r="N88" s="273"/>
      <c r="O88" s="292">
        <f t="shared" si="4"/>
        <v>0</v>
      </c>
      <c r="P88" s="213">
        <v>6</v>
      </c>
      <c r="Q88" s="214">
        <v>6</v>
      </c>
      <c r="R88" s="215">
        <v>6</v>
      </c>
      <c r="S88" s="288">
        <v>7502.29</v>
      </c>
      <c r="T88" s="288">
        <v>7502.29</v>
      </c>
      <c r="U88" s="288">
        <f t="shared" si="5"/>
        <v>0</v>
      </c>
      <c r="V88" s="161"/>
    </row>
    <row r="89" spans="1:42" ht="20.100000000000001" customHeight="1" x14ac:dyDescent="0.25">
      <c r="A89" s="257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20</v>
      </c>
      <c r="I89" s="210">
        <v>9</v>
      </c>
      <c r="J89" s="210">
        <v>16</v>
      </c>
      <c r="K89" s="209">
        <v>16</v>
      </c>
      <c r="L89" s="210">
        <v>11</v>
      </c>
      <c r="M89" s="273">
        <f>2874.33+1509.2+1943+315.81+145+874.35+533.98</f>
        <v>8195.67</v>
      </c>
      <c r="N89" s="273">
        <f>2874.33+1509.2+1943+315.81+145+874.35+533.98</f>
        <v>8195.67</v>
      </c>
      <c r="O89" s="292">
        <f t="shared" si="4"/>
        <v>0</v>
      </c>
      <c r="P89" s="213">
        <v>8</v>
      </c>
      <c r="Q89" s="214">
        <v>8</v>
      </c>
      <c r="R89" s="215">
        <v>8</v>
      </c>
      <c r="S89" s="288">
        <f>8161.92+1118.75+3779.58+1127.2+2077.34</f>
        <v>16264.79</v>
      </c>
      <c r="T89" s="288">
        <f>8161.92+1118.75+3779.58+1127.2+2077.34</f>
        <v>16264.79</v>
      </c>
      <c r="U89" s="288">
        <f t="shared" si="5"/>
        <v>0</v>
      </c>
      <c r="V89" s="161"/>
    </row>
    <row r="90" spans="1:42" ht="20.100000000000001" customHeight="1" x14ac:dyDescent="0.25">
      <c r="A90" s="257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69</v>
      </c>
      <c r="I90" s="210">
        <v>53</v>
      </c>
      <c r="J90" s="210">
        <v>93</v>
      </c>
      <c r="K90" s="209">
        <v>93</v>
      </c>
      <c r="L90" s="210">
        <v>92</v>
      </c>
      <c r="M90" s="273">
        <f>14303.46+6714.67+1828.05+13505.93+582.9+8733.75+358.88+2031-1990+16472.8+9266.84</f>
        <v>71808.28</v>
      </c>
      <c r="N90" s="273">
        <f>14303.46+6714.67+1828.05+13505.93+582.9+8733.75+358.88+2031-1990</f>
        <v>46068.639999999999</v>
      </c>
      <c r="O90" s="292">
        <f t="shared" si="4"/>
        <v>25739.64</v>
      </c>
      <c r="P90" s="213">
        <v>8</v>
      </c>
      <c r="Q90" s="214">
        <v>8</v>
      </c>
      <c r="R90" s="215">
        <v>8</v>
      </c>
      <c r="S90" s="288">
        <v>3130.8</v>
      </c>
      <c r="T90" s="288">
        <v>3130.8</v>
      </c>
      <c r="U90" s="288">
        <f t="shared" si="5"/>
        <v>0</v>
      </c>
      <c r="V90" s="161"/>
    </row>
    <row r="91" spans="1:42" ht="20.100000000000001" customHeight="1" x14ac:dyDescent="0.25">
      <c r="A91" s="257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34</v>
      </c>
      <c r="I91" s="210">
        <v>18</v>
      </c>
      <c r="J91" s="210">
        <v>34</v>
      </c>
      <c r="K91" s="209">
        <v>34</v>
      </c>
      <c r="L91" s="210">
        <v>32</v>
      </c>
      <c r="M91" s="273">
        <f>5384.83+3572.76+8100.09+725+145+1865.54-8102.05+6090.38</f>
        <v>17781.550000000003</v>
      </c>
      <c r="N91" s="273">
        <f>5384.83+3572.76+8100.09+725+145+1865.54-8102.05</f>
        <v>11691.170000000002</v>
      </c>
      <c r="O91" s="292">
        <f t="shared" si="4"/>
        <v>6090.380000000001</v>
      </c>
      <c r="P91" s="213">
        <v>9</v>
      </c>
      <c r="Q91" s="214">
        <v>9</v>
      </c>
      <c r="R91" s="215">
        <v>7</v>
      </c>
      <c r="S91" s="288">
        <f>6219.66+748.35+1502.94</f>
        <v>8470.9500000000007</v>
      </c>
      <c r="T91" s="288">
        <f>6219.66+748.35+1502.94</f>
        <v>8470.9500000000007</v>
      </c>
      <c r="U91" s="288">
        <f t="shared" si="5"/>
        <v>0</v>
      </c>
      <c r="V91" s="161"/>
    </row>
    <row r="92" spans="1:42" ht="20.100000000000001" customHeight="1" x14ac:dyDescent="0.25">
      <c r="A92" s="257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27</v>
      </c>
      <c r="I92" s="210">
        <v>20</v>
      </c>
      <c r="J92" s="210">
        <v>30</v>
      </c>
      <c r="K92" s="209">
        <v>30</v>
      </c>
      <c r="L92" s="210">
        <v>30</v>
      </c>
      <c r="M92" s="273">
        <f>2301.54+4352.56+3555.69+1798.94+1481.14+763.69+2342.6+947.21+1435.6+2658.12+788.44+3552.5+1744.93</f>
        <v>27722.959999999995</v>
      </c>
      <c r="N92" s="273">
        <f>2301.54+4352.56+3555.69+1798.94+1481.14+763.69+2342.6+947.21+4882.16</f>
        <v>22425.53</v>
      </c>
      <c r="O92" s="292">
        <f t="shared" si="4"/>
        <v>5297.4299999999967</v>
      </c>
      <c r="P92" s="213">
        <v>1</v>
      </c>
      <c r="Q92" s="214">
        <v>1</v>
      </c>
      <c r="R92" s="215">
        <v>1</v>
      </c>
      <c r="S92" s="288">
        <v>206.7</v>
      </c>
      <c r="T92" s="288">
        <v>206.7</v>
      </c>
      <c r="U92" s="288">
        <f t="shared" si="5"/>
        <v>0</v>
      </c>
      <c r="V92" s="161"/>
    </row>
    <row r="93" spans="1:42" ht="20.100000000000001" customHeight="1" x14ac:dyDescent="0.25">
      <c r="A93" s="257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130</v>
      </c>
      <c r="I93" s="210">
        <v>102</v>
      </c>
      <c r="J93" s="210">
        <v>125</v>
      </c>
      <c r="K93" s="209">
        <v>125</v>
      </c>
      <c r="L93" s="210">
        <v>109</v>
      </c>
      <c r="M93" s="273">
        <f>14656.12+3543.47+2420.25+2112.66+1299.21+2099.6+145+12320.24+7256.93+7391.73+3180.78+6298.93+4674.22+14249.72+7391.73-1965.34+2961.89-7862.9</f>
        <v>82174.239999999991</v>
      </c>
      <c r="N93" s="273">
        <f>14656.12+3543.47+2420.25+2112.66+1299.21+2099.6+145-10054.69+12320.24+13235.47+22185.39-6807.04</f>
        <v>57155.679999999993</v>
      </c>
      <c r="O93" s="292">
        <f t="shared" si="4"/>
        <v>25018.559999999998</v>
      </c>
      <c r="P93" s="213">
        <v>12</v>
      </c>
      <c r="Q93" s="214">
        <v>12</v>
      </c>
      <c r="R93" s="215">
        <v>11</v>
      </c>
      <c r="S93" s="288">
        <f>11083.64+344.5+3682.91</f>
        <v>15111.05</v>
      </c>
      <c r="T93" s="288">
        <f>11083.64+344.5</f>
        <v>11428.14</v>
      </c>
      <c r="U93" s="288">
        <f t="shared" si="5"/>
        <v>3682.91</v>
      </c>
      <c r="V93" s="161"/>
      <c r="AF93" s="145"/>
    </row>
    <row r="94" spans="1:42" s="58" customFormat="1" ht="20.100000000000001" customHeight="1" x14ac:dyDescent="0.25">
      <c r="A94" s="257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52</v>
      </c>
      <c r="I94" s="210">
        <v>29</v>
      </c>
      <c r="J94" s="210">
        <v>40</v>
      </c>
      <c r="K94" s="210">
        <v>39</v>
      </c>
      <c r="L94" s="210">
        <v>38</v>
      </c>
      <c r="M94" s="273">
        <f>6576.32+217.5+2898.52+939.6+1008.45+1200.17+3722.95+4136.2+2392.5+736.89+7024.11+3460.88+3411.85</f>
        <v>37725.94</v>
      </c>
      <c r="N94" s="273">
        <f>6576.32+217.5+2898.52+939.6+1008.45+1200.17+3722.95+14290.72</f>
        <v>30854.230000000003</v>
      </c>
      <c r="O94" s="292">
        <f t="shared" si="4"/>
        <v>6871.7099999999991</v>
      </c>
      <c r="P94" s="213">
        <v>25</v>
      </c>
      <c r="Q94" s="215">
        <v>25</v>
      </c>
      <c r="R94" s="215">
        <v>24</v>
      </c>
      <c r="S94" s="288">
        <f>18253.04+4245.2+858.65+1546.26+14802.65</f>
        <v>39705.800000000003</v>
      </c>
      <c r="T94" s="288">
        <f>18253.04+4245.2+858.65+1546.26+14802.65</f>
        <v>39705.800000000003</v>
      </c>
      <c r="U94" s="288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257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37</v>
      </c>
      <c r="I95" s="210">
        <v>17</v>
      </c>
      <c r="J95" s="210">
        <v>29</v>
      </c>
      <c r="K95" s="209">
        <v>29</v>
      </c>
      <c r="L95" s="210">
        <v>22</v>
      </c>
      <c r="M95" s="273">
        <f>2362.32+22110.36+455.21+2039.58+953.22+699.73+275.6+9654.91+1049.72+185.88+466.54-377.07+2356.1</f>
        <v>42232.1</v>
      </c>
      <c r="N95" s="273">
        <f>2362.32+22110.36+455.21+2039.58+953.22+699.73+275.6+9654.91+1049.72+185.88+466.54-377.07</f>
        <v>39876</v>
      </c>
      <c r="O95" s="292">
        <f t="shared" si="4"/>
        <v>2356.0999999999985</v>
      </c>
      <c r="P95" s="213">
        <v>17</v>
      </c>
      <c r="Q95" s="214">
        <v>17</v>
      </c>
      <c r="R95" s="215">
        <v>16</v>
      </c>
      <c r="S95" s="288">
        <f>24552.24+1001.28+122.46+1729.98-1</f>
        <v>27404.959999999999</v>
      </c>
      <c r="T95" s="288">
        <f>24552.24+1001.28+122.46+1729.98-1</f>
        <v>27404.959999999999</v>
      </c>
      <c r="U95" s="288">
        <f t="shared" si="5"/>
        <v>0</v>
      </c>
      <c r="V95" s="161"/>
    </row>
    <row r="96" spans="1:42" ht="20.100000000000001" customHeight="1" x14ac:dyDescent="0.25">
      <c r="A96" s="257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11</v>
      </c>
      <c r="I96" s="210">
        <v>9</v>
      </c>
      <c r="J96" s="210">
        <v>13</v>
      </c>
      <c r="K96" s="209">
        <v>13</v>
      </c>
      <c r="L96" s="210">
        <v>12</v>
      </c>
      <c r="M96" s="273">
        <f>826.8+2786.41+2401.3+725</f>
        <v>6739.51</v>
      </c>
      <c r="N96" s="273">
        <f>826.8+2786.41+2401.3+725</f>
        <v>6739.51</v>
      </c>
      <c r="O96" s="292">
        <f t="shared" si="4"/>
        <v>0</v>
      </c>
      <c r="P96" s="213"/>
      <c r="Q96" s="214"/>
      <c r="R96" s="215"/>
      <c r="S96" s="288"/>
      <c r="T96" s="288"/>
      <c r="U96" s="288">
        <f t="shared" si="5"/>
        <v>0</v>
      </c>
      <c r="V96" s="161"/>
    </row>
    <row r="97" spans="1:42" ht="31.5" x14ac:dyDescent="0.25">
      <c r="A97" s="257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15</v>
      </c>
      <c r="I97" s="210">
        <v>7</v>
      </c>
      <c r="J97" s="210">
        <v>9</v>
      </c>
      <c r="K97" s="209">
        <v>9</v>
      </c>
      <c r="L97" s="210">
        <v>8</v>
      </c>
      <c r="M97" s="273">
        <f>3172.93+1457.25+380.63</f>
        <v>5010.8100000000004</v>
      </c>
      <c r="N97" s="273">
        <f>3172.93+1457.25+380.63</f>
        <v>5010.8100000000004</v>
      </c>
      <c r="O97" s="292">
        <f t="shared" si="4"/>
        <v>0</v>
      </c>
      <c r="P97" s="213">
        <v>5</v>
      </c>
      <c r="Q97" s="214">
        <v>5</v>
      </c>
      <c r="R97" s="215">
        <v>4</v>
      </c>
      <c r="S97" s="288">
        <v>1744.35</v>
      </c>
      <c r="T97" s="288">
        <v>1744.35</v>
      </c>
      <c r="U97" s="288">
        <f t="shared" si="5"/>
        <v>0</v>
      </c>
      <c r="V97" s="161"/>
      <c r="AJ97"/>
      <c r="AK97"/>
      <c r="AL97"/>
      <c r="AM97"/>
      <c r="AN97"/>
      <c r="AO97"/>
      <c r="AP97"/>
    </row>
    <row r="98" spans="1:42" ht="31.5" x14ac:dyDescent="0.25">
      <c r="A98" s="257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22</v>
      </c>
      <c r="I98" s="210">
        <v>13</v>
      </c>
      <c r="J98" s="210">
        <v>16</v>
      </c>
      <c r="K98" s="209">
        <v>16</v>
      </c>
      <c r="L98" s="210">
        <v>15</v>
      </c>
      <c r="M98" s="273">
        <f>757.9+551.2+895.7+290+725+841.2+290+725+2.07+275.6</f>
        <v>5353.67</v>
      </c>
      <c r="N98" s="273">
        <f>757.9+551.2+895.7+290+725+841.2+290+725+2.07</f>
        <v>5078.07</v>
      </c>
      <c r="O98" s="292">
        <f t="shared" si="4"/>
        <v>275.60000000000036</v>
      </c>
      <c r="P98" s="213">
        <v>13</v>
      </c>
      <c r="Q98" s="214">
        <v>13</v>
      </c>
      <c r="R98" s="215">
        <v>13</v>
      </c>
      <c r="S98" s="288">
        <f>8034.56+3466.13+4060.73+413.4</f>
        <v>15974.82</v>
      </c>
      <c r="T98" s="288">
        <f>8034.56+3466.13+4060.73+413.4</f>
        <v>15974.82</v>
      </c>
      <c r="U98" s="288">
        <f t="shared" si="5"/>
        <v>0</v>
      </c>
      <c r="V98" s="161"/>
      <c r="AJ98"/>
      <c r="AK98"/>
      <c r="AL98"/>
      <c r="AM98"/>
      <c r="AN98"/>
      <c r="AO98"/>
      <c r="AP98"/>
    </row>
    <row r="99" spans="1:42" ht="31.5" x14ac:dyDescent="0.25">
      <c r="A99" s="257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30</v>
      </c>
      <c r="I99" s="210">
        <v>21</v>
      </c>
      <c r="J99" s="210">
        <v>30</v>
      </c>
      <c r="K99" s="209">
        <v>30</v>
      </c>
      <c r="L99" s="210">
        <v>26</v>
      </c>
      <c r="M99" s="273">
        <f>4783.23+1353.89+2195.41+1197.7+1340.79+681.5+699.48+1909.51+3782.49</f>
        <v>17944</v>
      </c>
      <c r="N99" s="273">
        <f>4783.23+1353.89+2195.41+1197.7+1340.79+681.5+699.48+1909.51+3782.49</f>
        <v>17944</v>
      </c>
      <c r="O99" s="292">
        <f t="shared" si="4"/>
        <v>0</v>
      </c>
      <c r="P99" s="213">
        <v>12</v>
      </c>
      <c r="Q99" s="214">
        <v>12</v>
      </c>
      <c r="R99" s="215">
        <v>12</v>
      </c>
      <c r="S99" s="288">
        <f>12321.66+1021.27+487.2+781.96</f>
        <v>14612.09</v>
      </c>
      <c r="T99" s="288">
        <f>12321.66+1021.27+487.2+781.96</f>
        <v>14612.09</v>
      </c>
      <c r="U99" s="288">
        <f t="shared" si="5"/>
        <v>0</v>
      </c>
      <c r="V99" s="161"/>
      <c r="AJ99"/>
      <c r="AK99"/>
      <c r="AL99"/>
      <c r="AM99"/>
      <c r="AN99"/>
      <c r="AO99"/>
      <c r="AP99"/>
    </row>
    <row r="100" spans="1:42" ht="31.5" x14ac:dyDescent="0.25">
      <c r="A100" s="257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61</v>
      </c>
      <c r="I100" s="210">
        <v>18</v>
      </c>
      <c r="J100" s="210">
        <v>30</v>
      </c>
      <c r="K100" s="209">
        <v>30</v>
      </c>
      <c r="L100" s="210">
        <v>26</v>
      </c>
      <c r="M100" s="273">
        <f>10862.96+2375.03+5632.11+356.47+2077.94+875.35+630.95+4495</f>
        <v>27305.809999999998</v>
      </c>
      <c r="N100" s="273">
        <f>10862.96+2375.03+5632.11+357.47+2077.94+1505.3</f>
        <v>22810.809999999998</v>
      </c>
      <c r="O100" s="292">
        <f t="shared" si="4"/>
        <v>4495</v>
      </c>
      <c r="P100" s="213">
        <v>11</v>
      </c>
      <c r="Q100" s="214">
        <v>11</v>
      </c>
      <c r="R100" s="215">
        <v>11</v>
      </c>
      <c r="S100" s="288">
        <f>4780.1+2135.9+620.1+1812.5</f>
        <v>9348.6</v>
      </c>
      <c r="T100" s="288">
        <f>4780.1+2135.9</f>
        <v>6916</v>
      </c>
      <c r="U100" s="288">
        <f t="shared" si="5"/>
        <v>2432.6000000000004</v>
      </c>
      <c r="V100" s="161"/>
      <c r="AF100" s="145"/>
      <c r="AJ100"/>
      <c r="AK100"/>
      <c r="AL100"/>
      <c r="AM100"/>
      <c r="AN100"/>
      <c r="AO100"/>
      <c r="AP100"/>
    </row>
    <row r="101" spans="1:42" ht="31.5" x14ac:dyDescent="0.25">
      <c r="A101" s="257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114</v>
      </c>
      <c r="I101" s="210">
        <v>73</v>
      </c>
      <c r="J101" s="210">
        <v>89</v>
      </c>
      <c r="K101" s="209">
        <v>89</v>
      </c>
      <c r="L101" s="210">
        <v>75</v>
      </c>
      <c r="M101" s="273">
        <f>16276.16+4466.66+1078.5+4011.53+435+1493.5+2243.15+1864.7+4804.86+840+5133.33+10737-380.89+4398.6+7811.98+1459.39+2529.16</f>
        <v>69202.63</v>
      </c>
      <c r="N101" s="273">
        <f>16276.16+4466.66+1078.5+4011.53+435+1493.5+2243.15-144.3-2415.9+5133.33+2766.9+7302.86</f>
        <v>42647.39</v>
      </c>
      <c r="O101" s="292">
        <f t="shared" si="4"/>
        <v>26555.240000000005</v>
      </c>
      <c r="P101" s="213">
        <v>38</v>
      </c>
      <c r="Q101" s="214">
        <v>38</v>
      </c>
      <c r="R101" s="215">
        <v>37</v>
      </c>
      <c r="S101" s="288">
        <f>21329.45-2252.12+532.3+345.99+26455.28+1.67+3039.85-3960.98+551.2+1658+1218+2016.16</f>
        <v>50934.799999999996</v>
      </c>
      <c r="T101" s="288">
        <f>21329.45-2252.12+532.3+345.99+26455.28+1.67+3039.85-3960.98+2209.2</f>
        <v>47700.639999999992</v>
      </c>
      <c r="U101" s="288">
        <f t="shared" si="5"/>
        <v>3234.1600000000035</v>
      </c>
      <c r="V101" s="161"/>
      <c r="AH101" s="145"/>
      <c r="AJ101"/>
      <c r="AK101"/>
      <c r="AL101"/>
      <c r="AM101"/>
      <c r="AN101"/>
      <c r="AO101"/>
      <c r="AP101"/>
    </row>
    <row r="102" spans="1:42" ht="31.5" x14ac:dyDescent="0.25">
      <c r="A102" s="257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16</v>
      </c>
      <c r="I102" s="217">
        <v>11</v>
      </c>
      <c r="J102" s="217">
        <v>15</v>
      </c>
      <c r="K102" s="216">
        <v>14</v>
      </c>
      <c r="L102" s="217">
        <v>14</v>
      </c>
      <c r="M102" s="293">
        <f>3259.83+1328.19+2964.21+8477.2+2525.13+577.1+702.39</f>
        <v>19834.05</v>
      </c>
      <c r="N102" s="293">
        <f>3259.83+1328.19+2964.21+8477.2+2525.13+577.1</f>
        <v>19131.66</v>
      </c>
      <c r="O102" s="292">
        <f t="shared" si="4"/>
        <v>702.38999999999942</v>
      </c>
      <c r="P102" s="219">
        <v>5</v>
      </c>
      <c r="Q102" s="220">
        <v>5</v>
      </c>
      <c r="R102" s="221">
        <v>5</v>
      </c>
      <c r="S102" s="290">
        <f>1193.3+5843.89</f>
        <v>7037.1900000000005</v>
      </c>
      <c r="T102" s="290">
        <f>1193.3+5843.89</f>
        <v>7037.1900000000005</v>
      </c>
      <c r="U102" s="290">
        <f t="shared" si="5"/>
        <v>0</v>
      </c>
      <c r="V102" s="161"/>
      <c r="AJ102"/>
      <c r="AK102"/>
      <c r="AL102"/>
      <c r="AM102"/>
      <c r="AN102"/>
      <c r="AO102"/>
      <c r="AP102"/>
    </row>
    <row r="103" spans="1:42" ht="31.5" x14ac:dyDescent="0.25">
      <c r="A103" s="257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30</v>
      </c>
      <c r="I103" s="210">
        <v>8</v>
      </c>
      <c r="J103" s="210">
        <v>10</v>
      </c>
      <c r="K103" s="209">
        <v>10</v>
      </c>
      <c r="L103" s="210">
        <v>10</v>
      </c>
      <c r="M103" s="273">
        <f>699.33+580+1941.55+1384.15</f>
        <v>4605.0300000000007</v>
      </c>
      <c r="N103" s="273">
        <f>699.33+580+1941.55+1384.15</f>
        <v>4605.0300000000007</v>
      </c>
      <c r="O103" s="292">
        <f t="shared" si="4"/>
        <v>0</v>
      </c>
      <c r="P103" s="215"/>
      <c r="Q103" s="214"/>
      <c r="R103" s="215"/>
      <c r="S103" s="288"/>
      <c r="T103" s="288"/>
      <c r="U103" s="290">
        <f t="shared" si="5"/>
        <v>0</v>
      </c>
      <c r="V103" s="161"/>
      <c r="AJ103"/>
      <c r="AK103"/>
      <c r="AL103"/>
      <c r="AM103"/>
      <c r="AN103"/>
      <c r="AO103"/>
      <c r="AP103"/>
    </row>
    <row r="104" spans="1:42" ht="31.5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210">
        <v>2</v>
      </c>
      <c r="J104" s="210">
        <v>2</v>
      </c>
      <c r="K104" s="209">
        <v>2</v>
      </c>
      <c r="L104" s="210">
        <v>2</v>
      </c>
      <c r="M104" s="273">
        <v>2252.12</v>
      </c>
      <c r="N104" s="273">
        <v>2252.12</v>
      </c>
      <c r="O104" s="292">
        <f t="shared" si="4"/>
        <v>0</v>
      </c>
      <c r="P104" s="215"/>
      <c r="Q104" s="214"/>
      <c r="R104" s="215"/>
      <c r="S104" s="288"/>
      <c r="T104" s="288"/>
      <c r="U104" s="288">
        <f t="shared" si="5"/>
        <v>0</v>
      </c>
      <c r="V104" s="161"/>
      <c r="W104" s="145"/>
      <c r="AF104" s="145"/>
      <c r="AH104" s="145"/>
      <c r="AJ104"/>
      <c r="AK104"/>
      <c r="AL104"/>
      <c r="AM104"/>
      <c r="AN104"/>
      <c r="AO104"/>
      <c r="AP104"/>
    </row>
    <row r="105" spans="1:42" x14ac:dyDescent="0.25">
      <c r="B105" s="362"/>
      <c r="C105" s="362"/>
      <c r="D105" s="362"/>
      <c r="E105" s="362"/>
      <c r="F105" s="362"/>
      <c r="G105" s="362"/>
      <c r="H105" s="119">
        <f t="shared" ref="H105:O105" si="7">SUM(H10:H104)</f>
        <v>3283</v>
      </c>
      <c r="I105" s="223">
        <f t="shared" si="7"/>
        <v>2008</v>
      </c>
      <c r="J105" s="223">
        <f t="shared" si="7"/>
        <v>2892</v>
      </c>
      <c r="K105" s="222">
        <f t="shared" si="7"/>
        <v>2867</v>
      </c>
      <c r="L105" s="223">
        <f t="shared" si="7"/>
        <v>2611</v>
      </c>
      <c r="M105" s="224">
        <f t="shared" si="7"/>
        <v>2220749.7999999989</v>
      </c>
      <c r="N105" s="224">
        <f t="shared" si="7"/>
        <v>1902697.8400000003</v>
      </c>
      <c r="O105" s="224">
        <f t="shared" si="7"/>
        <v>318051.95999999996</v>
      </c>
      <c r="P105" s="225">
        <f>SUM(P10:P104)</f>
        <v>794</v>
      </c>
      <c r="Q105" s="226">
        <f>SUM(Q10:Q104)</f>
        <v>794</v>
      </c>
      <c r="R105" s="225">
        <f>SUM(R11:R104)</f>
        <v>766</v>
      </c>
      <c r="S105" s="263">
        <f>SUM(S10:S104)</f>
        <v>1087008.4000000001</v>
      </c>
      <c r="T105" s="263">
        <f>SUM(T10:T104)</f>
        <v>1055537.32</v>
      </c>
      <c r="U105" s="263">
        <f>SUM(U10:U104)</f>
        <v>31471.080000000016</v>
      </c>
      <c r="V105" s="244"/>
      <c r="W105" s="245"/>
      <c r="X105" s="246"/>
      <c r="Y105" s="245"/>
      <c r="Z105" s="246"/>
      <c r="AA105" s="245"/>
      <c r="AB105" s="246"/>
      <c r="AC105" s="246"/>
      <c r="AD105" s="246"/>
      <c r="AE105" s="246"/>
      <c r="AF105" s="245"/>
      <c r="AG105" s="245"/>
      <c r="AH105" s="236"/>
      <c r="AJ105"/>
      <c r="AK105"/>
      <c r="AL105"/>
      <c r="AM105"/>
      <c r="AN105"/>
      <c r="AO105"/>
      <c r="AP105"/>
    </row>
    <row r="106" spans="1:42" x14ac:dyDescent="0.25">
      <c r="V106" s="245"/>
      <c r="W106" s="245"/>
      <c r="X106" s="246"/>
      <c r="Y106" s="245"/>
      <c r="Z106" s="246"/>
      <c r="AA106" s="246"/>
      <c r="AB106" s="246"/>
      <c r="AC106" s="246"/>
      <c r="AD106" s="246"/>
      <c r="AE106" s="246"/>
      <c r="AF106" s="245"/>
      <c r="AG106" s="246"/>
      <c r="AH106" s="235"/>
      <c r="AJ106"/>
      <c r="AK106"/>
      <c r="AL106"/>
      <c r="AM106"/>
      <c r="AN106"/>
      <c r="AO106"/>
      <c r="AP106"/>
    </row>
    <row r="107" spans="1:42" x14ac:dyDescent="0.25">
      <c r="V107" s="245"/>
      <c r="W107" s="245"/>
      <c r="X107" s="246"/>
      <c r="Y107" s="246"/>
      <c r="Z107" s="246"/>
      <c r="AA107" s="246"/>
      <c r="AB107" s="246"/>
      <c r="AC107" s="246"/>
      <c r="AD107" s="246"/>
      <c r="AE107" s="246"/>
      <c r="AF107" s="245"/>
      <c r="AG107" s="245"/>
      <c r="AH107" s="234"/>
      <c r="AI107" s="145"/>
      <c r="AJ107" s="59"/>
      <c r="AK107"/>
      <c r="AL107"/>
      <c r="AM107"/>
      <c r="AN107"/>
      <c r="AO107"/>
      <c r="AP107"/>
    </row>
    <row r="108" spans="1:42" x14ac:dyDescent="0.25">
      <c r="V108" s="145"/>
      <c r="W108" s="145"/>
      <c r="AF108" s="234"/>
      <c r="AG108" s="234"/>
      <c r="AH108" s="235"/>
      <c r="AJ108"/>
      <c r="AK108"/>
      <c r="AL108"/>
      <c r="AM108"/>
      <c r="AN108"/>
      <c r="AO108"/>
      <c r="AP108"/>
    </row>
    <row r="109" spans="1:42" x14ac:dyDescent="0.25">
      <c r="V109" s="145"/>
      <c r="AF109" s="235"/>
      <c r="AG109" s="235"/>
      <c r="AH109" s="234"/>
      <c r="AJ109"/>
      <c r="AK109"/>
      <c r="AL109"/>
      <c r="AM109"/>
      <c r="AN109"/>
      <c r="AO109"/>
      <c r="AP109"/>
    </row>
    <row r="110" spans="1:42" x14ac:dyDescent="0.25">
      <c r="V110" s="145"/>
      <c r="AF110" s="235"/>
      <c r="AG110" s="235"/>
      <c r="AH110" s="234"/>
      <c r="AJ110"/>
      <c r="AK110"/>
      <c r="AL110"/>
      <c r="AM110"/>
      <c r="AN110"/>
      <c r="AO110"/>
      <c r="AP110"/>
    </row>
    <row r="111" spans="1:42" x14ac:dyDescent="0.25">
      <c r="AF111" s="235"/>
      <c r="AG111" s="235"/>
      <c r="AH111" s="235"/>
      <c r="AJ111"/>
      <c r="AK111"/>
      <c r="AL111"/>
      <c r="AM111"/>
      <c r="AN111"/>
      <c r="AO111"/>
      <c r="AP111"/>
    </row>
    <row r="112" spans="1:42" x14ac:dyDescent="0.25">
      <c r="AF112" s="235"/>
      <c r="AG112" s="235"/>
      <c r="AH112" s="235"/>
      <c r="AJ112"/>
      <c r="AK112"/>
      <c r="AL112"/>
      <c r="AM112"/>
      <c r="AN112"/>
      <c r="AO112"/>
      <c r="AP112"/>
    </row>
    <row r="113" spans="1:42" ht="15" x14ac:dyDescent="0.25">
      <c r="A113" s="258"/>
      <c r="B113"/>
      <c r="C113"/>
      <c r="D113"/>
      <c r="E113"/>
      <c r="F113"/>
      <c r="G113"/>
      <c r="H113"/>
      <c r="I113"/>
      <c r="J113" s="243"/>
      <c r="K113" s="243"/>
      <c r="L113" s="243"/>
      <c r="M113" s="243"/>
      <c r="N113" s="243"/>
      <c r="O113" s="243"/>
      <c r="P113" s="243"/>
      <c r="Q113" s="243"/>
      <c r="R113" s="243"/>
      <c r="S113" s="265"/>
      <c r="T113" s="265"/>
      <c r="U113" s="287"/>
      <c r="V113" s="59"/>
      <c r="W113"/>
      <c r="X113"/>
      <c r="Y113"/>
      <c r="Z113"/>
      <c r="AA113"/>
      <c r="AB113"/>
      <c r="AC113"/>
      <c r="AD113"/>
      <c r="AE113"/>
      <c r="AF113" s="235"/>
      <c r="AG113" s="235"/>
      <c r="AH113" s="235"/>
      <c r="AI113"/>
      <c r="AJ113"/>
      <c r="AK113"/>
      <c r="AL113"/>
      <c r="AM113"/>
      <c r="AN113"/>
      <c r="AO113"/>
      <c r="AP113"/>
    </row>
    <row r="114" spans="1:42" ht="15" x14ac:dyDescent="0.25">
      <c r="A114" s="258"/>
      <c r="B114"/>
      <c r="C114"/>
      <c r="D114"/>
      <c r="E114"/>
      <c r="F114"/>
      <c r="G114"/>
      <c r="H114"/>
      <c r="I114"/>
      <c r="J114" s="243"/>
      <c r="K114" s="243"/>
      <c r="L114" s="243"/>
      <c r="M114" s="243"/>
      <c r="N114" s="243"/>
      <c r="O114" s="243"/>
      <c r="P114" s="243"/>
      <c r="Q114" s="243"/>
      <c r="R114" s="243"/>
      <c r="S114" s="265"/>
      <c r="T114" s="265"/>
      <c r="U114" s="265"/>
      <c r="V114"/>
      <c r="W114"/>
      <c r="X114"/>
      <c r="Y114"/>
      <c r="Z114"/>
      <c r="AA114"/>
      <c r="AB114"/>
      <c r="AC114"/>
      <c r="AD114"/>
      <c r="AE114"/>
      <c r="AF114" s="235"/>
      <c r="AG114" s="235"/>
      <c r="AH114" s="235"/>
      <c r="AI114"/>
      <c r="AJ114"/>
      <c r="AK114"/>
      <c r="AL114"/>
      <c r="AM114"/>
      <c r="AN114"/>
      <c r="AO114"/>
      <c r="AP114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conditionalFormatting sqref="S45">
    <cfRule type="cellIs" dxfId="107" priority="31" stopIfTrue="1" operator="equal">
      <formula>0</formula>
    </cfRule>
  </conditionalFormatting>
  <conditionalFormatting sqref="AL45">
    <cfRule type="cellIs" dxfId="106" priority="30" stopIfTrue="1" operator="equal">
      <formula>0</formula>
    </cfRule>
  </conditionalFormatting>
  <conditionalFormatting sqref="T45">
    <cfRule type="cellIs" dxfId="105" priority="29" stopIfTrue="1" operator="equal">
      <formula>0</formula>
    </cfRule>
  </conditionalFormatting>
  <conditionalFormatting sqref="T45">
    <cfRule type="cellIs" dxfId="104" priority="28" stopIfTrue="1" operator="equal">
      <formula>0</formula>
    </cfRule>
  </conditionalFormatting>
  <conditionalFormatting sqref="T45">
    <cfRule type="cellIs" dxfId="103" priority="27" stopIfTrue="1" operator="equal">
      <formula>0</formula>
    </cfRule>
  </conditionalFormatting>
  <conditionalFormatting sqref="T45">
    <cfRule type="cellIs" dxfId="102" priority="26" stopIfTrue="1" operator="equal">
      <formula>0</formula>
    </cfRule>
  </conditionalFormatting>
  <conditionalFormatting sqref="T45">
    <cfRule type="cellIs" dxfId="101" priority="25" stopIfTrue="1" operator="equal">
      <formula>0</formula>
    </cfRule>
  </conditionalFormatting>
  <conditionalFormatting sqref="T45">
    <cfRule type="cellIs" dxfId="100" priority="24" stopIfTrue="1" operator="equal">
      <formula>0</formula>
    </cfRule>
  </conditionalFormatting>
  <conditionalFormatting sqref="T45">
    <cfRule type="cellIs" dxfId="99" priority="23" stopIfTrue="1" operator="equal">
      <formula>0</formula>
    </cfRule>
  </conditionalFormatting>
  <conditionalFormatting sqref="T45">
    <cfRule type="cellIs" dxfId="98" priority="22" stopIfTrue="1" operator="equal">
      <formula>0</formula>
    </cfRule>
  </conditionalFormatting>
  <conditionalFormatting sqref="T45">
    <cfRule type="cellIs" dxfId="97" priority="21" stopIfTrue="1" operator="equal">
      <formula>0</formula>
    </cfRule>
  </conditionalFormatting>
  <conditionalFormatting sqref="S45">
    <cfRule type="cellIs" dxfId="96" priority="20" stopIfTrue="1" operator="equal">
      <formula>0</formula>
    </cfRule>
  </conditionalFormatting>
  <conditionalFormatting sqref="T45">
    <cfRule type="cellIs" dxfId="95" priority="19" stopIfTrue="1" operator="equal">
      <formula>0</formula>
    </cfRule>
  </conditionalFormatting>
  <conditionalFormatting sqref="T45">
    <cfRule type="cellIs" dxfId="94" priority="18" stopIfTrue="1" operator="equal">
      <formula>0</formula>
    </cfRule>
  </conditionalFormatting>
  <conditionalFormatting sqref="T45">
    <cfRule type="cellIs" dxfId="93" priority="17" stopIfTrue="1" operator="equal">
      <formula>0</formula>
    </cfRule>
  </conditionalFormatting>
  <conditionalFormatting sqref="T45">
    <cfRule type="cellIs" dxfId="92" priority="16" stopIfTrue="1" operator="equal">
      <formula>0</formula>
    </cfRule>
  </conditionalFormatting>
  <conditionalFormatting sqref="T45">
    <cfRule type="cellIs" dxfId="91" priority="15" stopIfTrue="1" operator="equal">
      <formula>0</formula>
    </cfRule>
  </conditionalFormatting>
  <conditionalFormatting sqref="T45">
    <cfRule type="cellIs" dxfId="90" priority="14" stopIfTrue="1" operator="equal">
      <formula>0</formula>
    </cfRule>
  </conditionalFormatting>
  <conditionalFormatting sqref="T45">
    <cfRule type="cellIs" dxfId="89" priority="13" stopIfTrue="1" operator="equal">
      <formula>0</formula>
    </cfRule>
  </conditionalFormatting>
  <conditionalFormatting sqref="T45">
    <cfRule type="cellIs" dxfId="88" priority="12" stopIfTrue="1" operator="equal">
      <formula>0</formula>
    </cfRule>
  </conditionalFormatting>
  <conditionalFormatting sqref="T45">
    <cfRule type="cellIs" dxfId="87" priority="11" stopIfTrue="1" operator="equal">
      <formula>0</formula>
    </cfRule>
  </conditionalFormatting>
  <conditionalFormatting sqref="S45">
    <cfRule type="cellIs" dxfId="86" priority="10" stopIfTrue="1" operator="equal">
      <formula>0</formula>
    </cfRule>
  </conditionalFormatting>
  <conditionalFormatting sqref="T45">
    <cfRule type="cellIs" dxfId="85" priority="9" stopIfTrue="1" operator="equal">
      <formula>0</formula>
    </cfRule>
  </conditionalFormatting>
  <conditionalFormatting sqref="T45">
    <cfRule type="cellIs" dxfId="84" priority="8" stopIfTrue="1" operator="equal">
      <formula>0</formula>
    </cfRule>
  </conditionalFormatting>
  <conditionalFormatting sqref="T45">
    <cfRule type="cellIs" dxfId="83" priority="7" stopIfTrue="1" operator="equal">
      <formula>0</formula>
    </cfRule>
  </conditionalFormatting>
  <conditionalFormatting sqref="T45">
    <cfRule type="cellIs" dxfId="82" priority="6" stopIfTrue="1" operator="equal">
      <formula>0</formula>
    </cfRule>
  </conditionalFormatting>
  <conditionalFormatting sqref="T45">
    <cfRule type="cellIs" dxfId="81" priority="5" stopIfTrue="1" operator="equal">
      <formula>0</formula>
    </cfRule>
  </conditionalFormatting>
  <conditionalFormatting sqref="T45">
    <cfRule type="cellIs" dxfId="80" priority="4" stopIfTrue="1" operator="equal">
      <formula>0</formula>
    </cfRule>
  </conditionalFormatting>
  <conditionalFormatting sqref="T45">
    <cfRule type="cellIs" dxfId="79" priority="3" stopIfTrue="1" operator="equal">
      <formula>0</formula>
    </cfRule>
  </conditionalFormatting>
  <conditionalFormatting sqref="T45">
    <cfRule type="cellIs" dxfId="78" priority="2" stopIfTrue="1" operator="equal">
      <formula>0</formula>
    </cfRule>
  </conditionalFormatting>
  <conditionalFormatting sqref="T45">
    <cfRule type="cellIs" dxfId="77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opLeftCell="B76" zoomScale="80" zoomScaleNormal="80" workbookViewId="0">
      <selection activeCell="J14" sqref="J14"/>
    </sheetView>
  </sheetViews>
  <sheetFormatPr defaultRowHeight="15.75" x14ac:dyDescent="0.25"/>
  <cols>
    <col min="1" max="1" width="6.28515625" style="257" hidden="1" customWidth="1"/>
    <col min="2" max="2" width="7.42578125" style="184" customWidth="1"/>
    <col min="3" max="3" width="35.7109375" style="184" customWidth="1"/>
    <col min="4" max="4" width="11.140625" style="184" customWidth="1"/>
    <col min="5" max="5" width="14.5703125" style="184" customWidth="1"/>
    <col min="6" max="6" width="20" style="184" customWidth="1"/>
    <col min="7" max="7" width="20.42578125" style="184" customWidth="1"/>
    <col min="8" max="8" width="10.7109375" style="184" customWidth="1"/>
    <col min="9" max="9" width="9.140625" style="184" customWidth="1"/>
    <col min="10" max="12" width="9.140625" style="227" customWidth="1"/>
    <col min="13" max="13" width="16.5703125" style="228" customWidth="1"/>
    <col min="14" max="14" width="15.140625" style="228" customWidth="1"/>
    <col min="15" max="15" width="19.5703125" style="228" customWidth="1"/>
    <col min="16" max="17" width="11.85546875" style="228" customWidth="1"/>
    <col min="18" max="18" width="11.7109375" style="228" customWidth="1"/>
    <col min="19" max="19" width="16.7109375" style="264" customWidth="1"/>
    <col min="20" max="20" width="17.140625" style="264" customWidth="1"/>
    <col min="21" max="21" width="17.85546875" style="286" customWidth="1"/>
    <col min="22" max="22" width="15" style="134" customWidth="1"/>
    <col min="23" max="23" width="14" style="134" customWidth="1"/>
    <col min="24" max="24" width="9.140625" style="134" customWidth="1"/>
    <col min="25" max="25" width="18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3" style="134" customWidth="1"/>
    <col min="35" max="35" width="9.140625" style="134" customWidth="1"/>
    <col min="36" max="36" width="11.7109375" style="134" customWidth="1"/>
    <col min="37" max="42" width="9.140625" style="134" customWidth="1"/>
  </cols>
  <sheetData>
    <row r="1" spans="1:42" ht="16.5" thickBot="1" x14ac:dyDescent="0.3">
      <c r="B1" s="344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6"/>
      <c r="S1" s="363" t="s">
        <v>17</v>
      </c>
      <c r="T1" s="363"/>
      <c r="U1" s="363"/>
      <c r="AO1"/>
      <c r="AP1"/>
    </row>
    <row r="2" spans="1:42" x14ac:dyDescent="0.25">
      <c r="B2" s="348" t="s">
        <v>335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50"/>
      <c r="AO2"/>
      <c r="AP2"/>
    </row>
    <row r="3" spans="1:42" x14ac:dyDescent="0.25">
      <c r="B3" s="351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3"/>
      <c r="AO3"/>
      <c r="AP3"/>
    </row>
    <row r="4" spans="1:42" x14ac:dyDescent="0.25">
      <c r="B4" s="351"/>
      <c r="C4" s="352"/>
      <c r="D4" s="352"/>
      <c r="E4" s="352"/>
      <c r="F4" s="352"/>
      <c r="G4" s="352"/>
      <c r="H4" s="352"/>
      <c r="I4" s="352"/>
      <c r="J4" s="352"/>
      <c r="K4" s="352"/>
      <c r="L4" s="352"/>
      <c r="M4" s="352"/>
      <c r="N4" s="352"/>
      <c r="O4" s="352"/>
      <c r="P4" s="352"/>
      <c r="Q4" s="352"/>
      <c r="R4" s="352"/>
      <c r="S4" s="352"/>
      <c r="T4" s="352"/>
      <c r="U4" s="353"/>
      <c r="AO4"/>
      <c r="AP4"/>
    </row>
    <row r="5" spans="1:42" x14ac:dyDescent="0.25">
      <c r="B5" s="351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2"/>
      <c r="T5" s="352"/>
      <c r="U5" s="353"/>
      <c r="AO5"/>
      <c r="AP5"/>
    </row>
    <row r="6" spans="1:42" ht="16.5" thickBot="1" x14ac:dyDescent="0.3">
      <c r="B6" s="354"/>
      <c r="C6" s="355"/>
      <c r="D6" s="355"/>
      <c r="E6" s="355"/>
      <c r="F6" s="355"/>
      <c r="G6" s="355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6"/>
      <c r="AO6"/>
      <c r="AP6"/>
    </row>
    <row r="7" spans="1:42" ht="16.5" thickBot="1" x14ac:dyDescent="0.3">
      <c r="B7" s="357" t="s">
        <v>0</v>
      </c>
      <c r="C7" s="340" t="s">
        <v>1</v>
      </c>
      <c r="D7" s="341"/>
      <c r="E7" s="341"/>
      <c r="F7" s="341"/>
      <c r="G7" s="342"/>
      <c r="H7" s="340" t="s">
        <v>2</v>
      </c>
      <c r="I7" s="341"/>
      <c r="J7" s="341"/>
      <c r="K7" s="341"/>
      <c r="L7" s="341"/>
      <c r="M7" s="341"/>
      <c r="N7" s="341"/>
      <c r="O7" s="342"/>
      <c r="P7" s="364" t="s">
        <v>336</v>
      </c>
      <c r="Q7" s="365"/>
      <c r="R7" s="365"/>
      <c r="S7" s="365"/>
      <c r="T7" s="365"/>
      <c r="U7" s="366"/>
      <c r="AO7"/>
      <c r="AP7"/>
    </row>
    <row r="8" spans="1:42" ht="299.25" x14ac:dyDescent="0.25">
      <c r="B8" s="358"/>
      <c r="C8" s="63" t="s">
        <v>4</v>
      </c>
      <c r="D8" s="63" t="s">
        <v>5</v>
      </c>
      <c r="E8" s="63" t="s">
        <v>6</v>
      </c>
      <c r="F8" s="63" t="s">
        <v>7</v>
      </c>
      <c r="G8" s="61" t="s">
        <v>8</v>
      </c>
      <c r="H8" s="64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259" t="s">
        <v>14</v>
      </c>
      <c r="T8" s="259" t="s">
        <v>15</v>
      </c>
      <c r="U8" s="259" t="s">
        <v>16</v>
      </c>
      <c r="AO8"/>
      <c r="AP8"/>
    </row>
    <row r="9" spans="1:42" x14ac:dyDescent="0.25">
      <c r="B9" s="69">
        <v>1</v>
      </c>
      <c r="C9" s="68">
        <v>2</v>
      </c>
      <c r="D9" s="68">
        <v>3</v>
      </c>
      <c r="E9" s="68">
        <v>4</v>
      </c>
      <c r="F9" s="68">
        <v>5</v>
      </c>
      <c r="G9" s="67">
        <v>6</v>
      </c>
      <c r="H9" s="69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>L9+1</f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260">
        <f t="shared" si="0"/>
        <v>18</v>
      </c>
      <c r="T9" s="280">
        <f t="shared" si="0"/>
        <v>19</v>
      </c>
      <c r="U9" s="260">
        <f t="shared" si="0"/>
        <v>20</v>
      </c>
      <c r="AO9"/>
      <c r="AP9"/>
    </row>
    <row r="10" spans="1:42" x14ac:dyDescent="0.25">
      <c r="A10" s="257">
        <v>1</v>
      </c>
      <c r="B10" s="99">
        <v>1</v>
      </c>
      <c r="C10" s="167" t="s">
        <v>18</v>
      </c>
      <c r="D10" s="168" t="s">
        <v>124</v>
      </c>
      <c r="E10" s="101"/>
      <c r="F10" s="169" t="s">
        <v>105</v>
      </c>
      <c r="G10" s="72" t="s">
        <v>138</v>
      </c>
      <c r="H10" s="77">
        <v>48</v>
      </c>
      <c r="I10" s="210">
        <v>33</v>
      </c>
      <c r="J10" s="210">
        <v>37</v>
      </c>
      <c r="K10" s="209">
        <v>37</v>
      </c>
      <c r="L10" s="210">
        <v>33</v>
      </c>
      <c r="M10" s="273">
        <f>14941.14+3757.24</f>
        <v>18698.379999999997</v>
      </c>
      <c r="N10" s="273">
        <f>14941.14+3757.24</f>
        <v>18698.379999999997</v>
      </c>
      <c r="O10" s="292">
        <f xml:space="preserve"> (M10-N10)</f>
        <v>0</v>
      </c>
      <c r="P10" s="213">
        <v>8</v>
      </c>
      <c r="Q10" s="214">
        <v>8</v>
      </c>
      <c r="R10" s="215">
        <v>8</v>
      </c>
      <c r="S10" s="288">
        <f>4246.75+895.7+2557.8</f>
        <v>7700.25</v>
      </c>
      <c r="T10" s="288">
        <f>4246.75+895.7+2557.8</f>
        <v>7700.25</v>
      </c>
      <c r="U10" s="288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  <c r="AO10"/>
      <c r="AP10"/>
    </row>
    <row r="11" spans="1:42" x14ac:dyDescent="0.25">
      <c r="A11" s="257">
        <v>2</v>
      </c>
      <c r="B11" s="99">
        <f>B10+1</f>
        <v>2</v>
      </c>
      <c r="C11" s="167" t="s">
        <v>19</v>
      </c>
      <c r="D11" s="168" t="s">
        <v>124</v>
      </c>
      <c r="E11" s="101"/>
      <c r="F11" s="170" t="s">
        <v>106</v>
      </c>
      <c r="G11" s="72" t="s">
        <v>139</v>
      </c>
      <c r="H11" s="77">
        <v>21</v>
      </c>
      <c r="I11" s="210">
        <v>15</v>
      </c>
      <c r="J11" s="210">
        <v>18</v>
      </c>
      <c r="K11" s="209">
        <v>18</v>
      </c>
      <c r="L11" s="210">
        <v>15</v>
      </c>
      <c r="M11" s="273">
        <f>5772.86+960.63</f>
        <v>6733.49</v>
      </c>
      <c r="N11" s="273">
        <f>5772.86+960.63</f>
        <v>6733.49</v>
      </c>
      <c r="O11" s="292">
        <f t="shared" ref="O11:O74" si="1" xml:space="preserve"> (M11-N11)</f>
        <v>0</v>
      </c>
      <c r="P11" s="213">
        <v>2</v>
      </c>
      <c r="Q11" s="214">
        <v>2</v>
      </c>
      <c r="R11" s="215">
        <v>2</v>
      </c>
      <c r="S11" s="288">
        <f>234.26+1035.3</f>
        <v>1269.56</v>
      </c>
      <c r="T11" s="288">
        <f>234.26+1035.3</f>
        <v>1269.56</v>
      </c>
      <c r="U11" s="288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  <c r="AO11"/>
      <c r="AP11"/>
    </row>
    <row r="12" spans="1:42" x14ac:dyDescent="0.25">
      <c r="A12" s="257" t="s">
        <v>241</v>
      </c>
      <c r="B12" s="99">
        <v>3</v>
      </c>
      <c r="C12" s="171" t="s">
        <v>20</v>
      </c>
      <c r="D12" s="168" t="s">
        <v>124</v>
      </c>
      <c r="E12" s="101"/>
      <c r="F12" s="170" t="s">
        <v>107</v>
      </c>
      <c r="G12" s="129" t="s">
        <v>223</v>
      </c>
      <c r="H12" s="77"/>
      <c r="I12" s="210"/>
      <c r="J12" s="210"/>
      <c r="K12" s="209"/>
      <c r="L12" s="210"/>
      <c r="M12" s="273"/>
      <c r="N12" s="273"/>
      <c r="O12" s="292">
        <f t="shared" si="1"/>
        <v>0</v>
      </c>
      <c r="P12" s="213">
        <v>3</v>
      </c>
      <c r="Q12" s="214">
        <v>3</v>
      </c>
      <c r="R12" s="215">
        <v>3</v>
      </c>
      <c r="S12" s="288">
        <v>8035.44</v>
      </c>
      <c r="T12" s="288">
        <v>8035.44</v>
      </c>
      <c r="U12" s="288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  <c r="AO12"/>
      <c r="AP12"/>
    </row>
    <row r="13" spans="1:42" x14ac:dyDescent="0.25">
      <c r="A13" s="257">
        <v>7</v>
      </c>
      <c r="B13" s="99">
        <f t="shared" ref="B13:B76" si="3">B12+1</f>
        <v>4</v>
      </c>
      <c r="C13" s="171" t="s">
        <v>21</v>
      </c>
      <c r="D13" s="168" t="s">
        <v>124</v>
      </c>
      <c r="E13" s="101"/>
      <c r="F13" s="170" t="s">
        <v>108</v>
      </c>
      <c r="G13" s="72" t="s">
        <v>140</v>
      </c>
      <c r="H13" s="77">
        <v>48</v>
      </c>
      <c r="I13" s="210">
        <v>33</v>
      </c>
      <c r="J13" s="210">
        <v>45</v>
      </c>
      <c r="K13" s="209">
        <v>45</v>
      </c>
      <c r="L13" s="210">
        <v>37</v>
      </c>
      <c r="M13" s="273">
        <v>20604.96</v>
      </c>
      <c r="N13" s="273">
        <v>20604.96</v>
      </c>
      <c r="O13" s="292">
        <f t="shared" si="1"/>
        <v>0</v>
      </c>
      <c r="P13" s="213">
        <v>8</v>
      </c>
      <c r="Q13" s="214">
        <v>8</v>
      </c>
      <c r="R13" s="215">
        <v>8</v>
      </c>
      <c r="S13" s="288">
        <f>7385.53+1228.66+7042.2+301.46+2403.86</f>
        <v>18361.71</v>
      </c>
      <c r="T13" s="288">
        <f>7385.53+1228.66+7042.2+301.46+2403.86</f>
        <v>18361.71</v>
      </c>
      <c r="U13" s="288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  <c r="AO13"/>
      <c r="AP13"/>
    </row>
    <row r="14" spans="1:42" x14ac:dyDescent="0.25">
      <c r="A14" s="257">
        <v>8</v>
      </c>
      <c r="B14" s="99">
        <f t="shared" si="3"/>
        <v>5</v>
      </c>
      <c r="C14" s="167" t="s">
        <v>22</v>
      </c>
      <c r="D14" s="168" t="s">
        <v>124</v>
      </c>
      <c r="E14" s="101"/>
      <c r="F14" s="170" t="s">
        <v>106</v>
      </c>
      <c r="G14" s="72" t="s">
        <v>141</v>
      </c>
      <c r="H14" s="77">
        <v>40</v>
      </c>
      <c r="I14" s="210">
        <v>25</v>
      </c>
      <c r="J14" s="210">
        <v>33</v>
      </c>
      <c r="K14" s="209">
        <v>33</v>
      </c>
      <c r="L14" s="210">
        <v>31</v>
      </c>
      <c r="M14" s="273">
        <f>4932.74+3257.04+137+2487.39+344.5+725+7097.92+895.7+6261.98+0.8+1911.61</f>
        <v>28051.679999999997</v>
      </c>
      <c r="N14" s="273">
        <f>4932.74+3257.04+137+2487.39+344.5+725+7097.92+895.7+6261.98+0.8+1911.61</f>
        <v>28051.679999999997</v>
      </c>
      <c r="O14" s="292">
        <f t="shared" si="1"/>
        <v>0</v>
      </c>
      <c r="P14" s="213">
        <v>7</v>
      </c>
      <c r="Q14" s="214">
        <v>7</v>
      </c>
      <c r="R14" s="215">
        <v>6</v>
      </c>
      <c r="S14" s="288">
        <f>2847.1+1515.8</f>
        <v>4362.8999999999996</v>
      </c>
      <c r="T14" s="288">
        <f>2847.1+1515.8</f>
        <v>4362.8999999999996</v>
      </c>
      <c r="U14" s="288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  <c r="AO14"/>
      <c r="AP14"/>
    </row>
    <row r="15" spans="1:42" x14ac:dyDescent="0.25">
      <c r="A15" s="257">
        <v>9</v>
      </c>
      <c r="B15" s="99">
        <f t="shared" si="3"/>
        <v>6</v>
      </c>
      <c r="C15" s="167" t="s">
        <v>23</v>
      </c>
      <c r="D15" s="168" t="s">
        <v>124</v>
      </c>
      <c r="E15" s="101"/>
      <c r="F15" s="170" t="s">
        <v>106</v>
      </c>
      <c r="G15" s="72" t="s">
        <v>142</v>
      </c>
      <c r="H15" s="77">
        <v>42</v>
      </c>
      <c r="I15" s="210">
        <v>30</v>
      </c>
      <c r="J15" s="210">
        <v>34</v>
      </c>
      <c r="K15" s="209">
        <v>34</v>
      </c>
      <c r="L15" s="210">
        <v>32</v>
      </c>
      <c r="M15" s="273">
        <v>25965.08</v>
      </c>
      <c r="N15" s="273">
        <v>25965.08</v>
      </c>
      <c r="O15" s="292">
        <f t="shared" si="1"/>
        <v>0</v>
      </c>
      <c r="P15" s="213">
        <v>16</v>
      </c>
      <c r="Q15" s="214">
        <v>16</v>
      </c>
      <c r="R15" s="215">
        <v>16</v>
      </c>
      <c r="S15" s="288">
        <f>13813.9+1491.1+372.78+454.21</f>
        <v>16131.99</v>
      </c>
      <c r="T15" s="288">
        <f>13813.9+1491.1+372.78+454.21</f>
        <v>16131.99</v>
      </c>
      <c r="U15" s="288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  <c r="AO15"/>
      <c r="AP15"/>
    </row>
    <row r="16" spans="1:42" x14ac:dyDescent="0.25">
      <c r="A16" s="257">
        <v>3</v>
      </c>
      <c r="B16" s="99">
        <f t="shared" si="3"/>
        <v>7</v>
      </c>
      <c r="C16" s="167" t="s">
        <v>133</v>
      </c>
      <c r="D16" s="168" t="s">
        <v>124</v>
      </c>
      <c r="E16" s="101"/>
      <c r="F16" s="170" t="s">
        <v>106</v>
      </c>
      <c r="G16" s="72" t="s">
        <v>143</v>
      </c>
      <c r="H16" s="77"/>
      <c r="I16" s="210"/>
      <c r="J16" s="210"/>
      <c r="K16" s="209"/>
      <c r="L16" s="210"/>
      <c r="M16" s="273"/>
      <c r="N16" s="273"/>
      <c r="O16" s="292">
        <f t="shared" si="1"/>
        <v>0</v>
      </c>
      <c r="P16" s="213"/>
      <c r="Q16" s="214"/>
      <c r="R16" s="215"/>
      <c r="S16" s="288"/>
      <c r="T16" s="288"/>
      <c r="U16" s="288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  <c r="AO16"/>
      <c r="AP16"/>
    </row>
    <row r="17" spans="1:42" ht="20.100000000000001" customHeight="1" x14ac:dyDescent="0.25">
      <c r="A17" s="257">
        <v>5</v>
      </c>
      <c r="B17" s="99">
        <f t="shared" si="3"/>
        <v>8</v>
      </c>
      <c r="C17" s="167" t="s">
        <v>24</v>
      </c>
      <c r="D17" s="168" t="s">
        <v>124</v>
      </c>
      <c r="E17" s="101"/>
      <c r="F17" s="170" t="s">
        <v>109</v>
      </c>
      <c r="G17" s="72" t="s">
        <v>144</v>
      </c>
      <c r="H17" s="77">
        <v>57</v>
      </c>
      <c r="I17" s="210">
        <v>34</v>
      </c>
      <c r="J17" s="210">
        <v>40</v>
      </c>
      <c r="K17" s="209">
        <v>40</v>
      </c>
      <c r="L17" s="210">
        <v>36</v>
      </c>
      <c r="M17" s="273">
        <f>7235.14+4416.12+1559.66+658.56+1087.5+652.5+1377.5+1615.75+2829.41+7208.27+5247.45+1087.5</f>
        <v>34975.360000000001</v>
      </c>
      <c r="N17" s="273">
        <f>7235.14+4416.12+1559.66+658.56+1087.5+652.5+1377.5+1615.75+2829.41+7208.27+5247.45+1087.5</f>
        <v>34975.360000000001</v>
      </c>
      <c r="O17" s="292">
        <f t="shared" si="1"/>
        <v>0</v>
      </c>
      <c r="P17" s="213">
        <v>1</v>
      </c>
      <c r="Q17" s="214">
        <v>1</v>
      </c>
      <c r="R17" s="215">
        <v>1</v>
      </c>
      <c r="S17" s="288">
        <v>1033.5</v>
      </c>
      <c r="T17" s="288">
        <v>1033.5</v>
      </c>
      <c r="U17" s="288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58" customFormat="1" ht="20.100000000000001" customHeight="1" x14ac:dyDescent="0.25">
      <c r="A18" s="257">
        <v>10</v>
      </c>
      <c r="B18" s="99">
        <f t="shared" si="3"/>
        <v>9</v>
      </c>
      <c r="C18" s="167" t="s">
        <v>25</v>
      </c>
      <c r="D18" s="168" t="s">
        <v>124</v>
      </c>
      <c r="E18" s="101"/>
      <c r="F18" s="172" t="s">
        <v>110</v>
      </c>
      <c r="G18" s="72" t="s">
        <v>145</v>
      </c>
      <c r="H18" s="77">
        <v>43</v>
      </c>
      <c r="I18" s="210">
        <v>31</v>
      </c>
      <c r="J18" s="210">
        <v>37</v>
      </c>
      <c r="K18" s="210">
        <v>37</v>
      </c>
      <c r="L18" s="210">
        <v>34</v>
      </c>
      <c r="M18" s="273">
        <f>2118.92+12936.58+4403.89+2411.49+2972.12+403.47+2654.68+806.94+1188.45+2382.18</f>
        <v>32278.719999999998</v>
      </c>
      <c r="N18" s="273">
        <f>2118.92+12936.58+4403.89+2411.49+2972.12+403.47+2654.68+806.94+1188.45+2382.18</f>
        <v>32278.719999999998</v>
      </c>
      <c r="O18" s="292">
        <f t="shared" si="1"/>
        <v>0</v>
      </c>
      <c r="P18" s="213">
        <v>7</v>
      </c>
      <c r="Q18" s="215">
        <v>7</v>
      </c>
      <c r="R18" s="215">
        <v>6</v>
      </c>
      <c r="S18" s="288">
        <f>14748.55+934.31</f>
        <v>15682.859999999999</v>
      </c>
      <c r="T18" s="288">
        <f>14748.55+934.31</f>
        <v>15682.859999999999</v>
      </c>
      <c r="U18" s="288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257">
        <v>11</v>
      </c>
      <c r="B19" s="99">
        <f t="shared" si="3"/>
        <v>10</v>
      </c>
      <c r="C19" s="173" t="s">
        <v>26</v>
      </c>
      <c r="D19" s="168" t="s">
        <v>124</v>
      </c>
      <c r="E19" s="101"/>
      <c r="F19" s="174" t="s">
        <v>107</v>
      </c>
      <c r="G19" s="72" t="s">
        <v>146</v>
      </c>
      <c r="H19" s="77">
        <v>44</v>
      </c>
      <c r="I19" s="210">
        <v>25</v>
      </c>
      <c r="J19" s="210">
        <v>43</v>
      </c>
      <c r="K19" s="209">
        <v>43</v>
      </c>
      <c r="L19" s="210">
        <v>37</v>
      </c>
      <c r="M19" s="273">
        <f>28952.05+4575.15</f>
        <v>33527.199999999997</v>
      </c>
      <c r="N19" s="273">
        <f>28952.05+4575.15</f>
        <v>33527.199999999997</v>
      </c>
      <c r="O19" s="292">
        <f t="shared" si="1"/>
        <v>0</v>
      </c>
      <c r="P19" s="213">
        <v>16</v>
      </c>
      <c r="Q19" s="214">
        <v>16</v>
      </c>
      <c r="R19" s="215">
        <v>16</v>
      </c>
      <c r="S19" s="288">
        <f>33206.03+1234.29</f>
        <v>34440.32</v>
      </c>
      <c r="T19" s="288">
        <f>33206.03+1234.29</f>
        <v>34440.32</v>
      </c>
      <c r="U19" s="288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58" customFormat="1" ht="20.100000000000001" customHeight="1" x14ac:dyDescent="0.25">
      <c r="A20" s="257">
        <v>12</v>
      </c>
      <c r="B20" s="99">
        <f t="shared" si="3"/>
        <v>11</v>
      </c>
      <c r="C20" s="171" t="s">
        <v>27</v>
      </c>
      <c r="D20" s="168" t="s">
        <v>124</v>
      </c>
      <c r="E20" s="101"/>
      <c r="F20" s="170" t="s">
        <v>111</v>
      </c>
      <c r="G20" s="72" t="s">
        <v>147</v>
      </c>
      <c r="H20" s="77">
        <v>58</v>
      </c>
      <c r="I20" s="210">
        <v>39</v>
      </c>
      <c r="J20" s="210">
        <v>45</v>
      </c>
      <c r="K20" s="210">
        <v>45</v>
      </c>
      <c r="L20" s="210">
        <v>41</v>
      </c>
      <c r="M20" s="273">
        <f>5728.14+3727.02+315.94+2507.59+652.5+2191.47+1855.28+358.88+2503.15+5297.67+1579.05+5739.83+1713.14+145</f>
        <v>34314.659999999996</v>
      </c>
      <c r="N20" s="273">
        <f>5728.14+3727.02+315.94+2507.59+652.5+2191.47+1855.28+358.88+2503.15+5297.67+1579.05+5739.83+1713.14+145</f>
        <v>34314.659999999996</v>
      </c>
      <c r="O20" s="292">
        <f t="shared" si="1"/>
        <v>0</v>
      </c>
      <c r="P20" s="213">
        <v>28</v>
      </c>
      <c r="Q20" s="215">
        <v>28</v>
      </c>
      <c r="R20" s="215">
        <v>28</v>
      </c>
      <c r="S20" s="288">
        <f>36404.57+1488.24+1902.09+2012.82</f>
        <v>41807.719999999994</v>
      </c>
      <c r="T20" s="288">
        <f>36404.57+1488.24+1902.09+2012.82</f>
        <v>41807.719999999994</v>
      </c>
      <c r="U20" s="288">
        <f t="shared" si="2"/>
        <v>0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257">
        <v>13</v>
      </c>
      <c r="B21" s="99">
        <f t="shared" si="3"/>
        <v>12</v>
      </c>
      <c r="C21" s="167" t="s">
        <v>28</v>
      </c>
      <c r="D21" s="168" t="s">
        <v>124</v>
      </c>
      <c r="E21" s="101"/>
      <c r="F21" s="170" t="s">
        <v>106</v>
      </c>
      <c r="G21" s="72" t="s">
        <v>148</v>
      </c>
      <c r="H21" s="77">
        <v>32</v>
      </c>
      <c r="I21" s="210">
        <v>18</v>
      </c>
      <c r="J21" s="210">
        <v>23</v>
      </c>
      <c r="K21" s="209">
        <v>22</v>
      </c>
      <c r="L21" s="210">
        <v>22</v>
      </c>
      <c r="M21" s="273">
        <f>17955.67+413.4+5.9+2225.9</f>
        <v>20600.870000000003</v>
      </c>
      <c r="N21" s="273">
        <f>17955.67+413.4+5.9+2225.9</f>
        <v>20600.870000000003</v>
      </c>
      <c r="O21" s="292">
        <f t="shared" si="1"/>
        <v>0</v>
      </c>
      <c r="P21" s="213">
        <v>10</v>
      </c>
      <c r="Q21" s="214">
        <v>10</v>
      </c>
      <c r="R21" s="215">
        <v>10</v>
      </c>
      <c r="S21" s="288">
        <f>10636.43+413.4</f>
        <v>11049.83</v>
      </c>
      <c r="T21" s="288">
        <f>10636.43+413.4</f>
        <v>11049.83</v>
      </c>
      <c r="U21" s="288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58" customFormat="1" ht="20.100000000000001" customHeight="1" x14ac:dyDescent="0.25">
      <c r="A22" s="257">
        <v>14</v>
      </c>
      <c r="B22" s="99">
        <f t="shared" si="3"/>
        <v>13</v>
      </c>
      <c r="C22" s="167" t="s">
        <v>29</v>
      </c>
      <c r="D22" s="168" t="s">
        <v>124</v>
      </c>
      <c r="E22" s="101"/>
      <c r="F22" s="175" t="s">
        <v>112</v>
      </c>
      <c r="G22" s="72" t="s">
        <v>149</v>
      </c>
      <c r="H22" s="77">
        <v>141</v>
      </c>
      <c r="I22" s="210">
        <v>104</v>
      </c>
      <c r="J22" s="210">
        <v>126</v>
      </c>
      <c r="K22" s="210">
        <v>126</v>
      </c>
      <c r="L22" s="210">
        <v>117</v>
      </c>
      <c r="M22" s="273">
        <f>19787.02+2513.73+2255.05+12081.39+6786.96+4545.76+7112.29+9234.79+3303.99+8291.91</f>
        <v>75912.890000000014</v>
      </c>
      <c r="N22" s="273">
        <f>19787.02+2513.73+2255.05+12081.39+6786.96+4545.76+7112.29+9234.79+3303.99+8291.91</f>
        <v>75912.890000000014</v>
      </c>
      <c r="O22" s="292">
        <f t="shared" si="1"/>
        <v>0</v>
      </c>
      <c r="P22" s="213">
        <v>27</v>
      </c>
      <c r="Q22" s="215">
        <v>27</v>
      </c>
      <c r="R22" s="215">
        <v>25</v>
      </c>
      <c r="S22" s="288">
        <f>24103.23+3334.5+1378+3155.14+1090.31</f>
        <v>33061.18</v>
      </c>
      <c r="T22" s="288">
        <f>24103.23+3334.5+1378+3155.14+1090.31</f>
        <v>33061.18</v>
      </c>
      <c r="U22" s="288">
        <f t="shared" si="2"/>
        <v>0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257">
        <v>15</v>
      </c>
      <c r="B23" s="99">
        <f t="shared" si="3"/>
        <v>14</v>
      </c>
      <c r="C23" s="173" t="s">
        <v>30</v>
      </c>
      <c r="D23" s="168" t="s">
        <v>124</v>
      </c>
      <c r="E23" s="101"/>
      <c r="F23" s="174" t="s">
        <v>111</v>
      </c>
      <c r="G23" s="72" t="s">
        <v>150</v>
      </c>
      <c r="H23" s="77">
        <v>23</v>
      </c>
      <c r="I23" s="210">
        <v>19</v>
      </c>
      <c r="J23" s="210">
        <v>27</v>
      </c>
      <c r="K23" s="209">
        <v>27</v>
      </c>
      <c r="L23" s="210">
        <v>24</v>
      </c>
      <c r="M23" s="273">
        <f>5739.04+1828.05+1440.72+631.62+564.05+641.19+793.15+2475.51+1311.53+5430.51+1513.04-3246.27+942.5</f>
        <v>20064.640000000003</v>
      </c>
      <c r="N23" s="273">
        <f>5739.04+1828.05+1440.72+631.62+564.05+641.19+793.15+2475.51+1311.53+5430.51+1513.04-3246.27+942.5</f>
        <v>20064.640000000003</v>
      </c>
      <c r="O23" s="292">
        <f t="shared" si="1"/>
        <v>0</v>
      </c>
      <c r="P23" s="213">
        <v>12</v>
      </c>
      <c r="Q23" s="214">
        <v>12</v>
      </c>
      <c r="R23" s="215">
        <v>12</v>
      </c>
      <c r="S23" s="288">
        <f>26607.02+6387.23</f>
        <v>32994.25</v>
      </c>
      <c r="T23" s="288">
        <f>26607.02+6387.23</f>
        <v>32994.25</v>
      </c>
      <c r="U23" s="288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257">
        <v>16</v>
      </c>
      <c r="B24" s="99">
        <f t="shared" si="3"/>
        <v>15</v>
      </c>
      <c r="C24" s="167" t="s">
        <v>31</v>
      </c>
      <c r="D24" s="168" t="s">
        <v>124</v>
      </c>
      <c r="E24" s="101"/>
      <c r="F24" s="176" t="s">
        <v>107</v>
      </c>
      <c r="G24" s="72" t="s">
        <v>151</v>
      </c>
      <c r="H24" s="77">
        <v>24</v>
      </c>
      <c r="I24" s="210">
        <v>24</v>
      </c>
      <c r="J24" s="210">
        <v>28</v>
      </c>
      <c r="K24" s="209">
        <v>28</v>
      </c>
      <c r="L24" s="210">
        <v>22</v>
      </c>
      <c r="M24" s="273">
        <f>1515.11+3525.12+1811.05+3675.45</f>
        <v>10526.73</v>
      </c>
      <c r="N24" s="273">
        <f>1515.11+3525.12+1811.05+3675.45</f>
        <v>10526.73</v>
      </c>
      <c r="O24" s="292">
        <f t="shared" si="1"/>
        <v>0</v>
      </c>
      <c r="P24" s="213">
        <v>7</v>
      </c>
      <c r="Q24" s="214">
        <v>7</v>
      </c>
      <c r="R24" s="215">
        <v>7</v>
      </c>
      <c r="S24" s="288">
        <v>6720.87</v>
      </c>
      <c r="T24" s="288">
        <v>6720.87</v>
      </c>
      <c r="U24" s="288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58" customFormat="1" ht="20.100000000000001" customHeight="1" x14ac:dyDescent="0.25">
      <c r="A25" s="257">
        <v>17</v>
      </c>
      <c r="B25" s="99">
        <f t="shared" si="3"/>
        <v>16</v>
      </c>
      <c r="C25" s="177" t="s">
        <v>32</v>
      </c>
      <c r="D25" s="168" t="s">
        <v>124</v>
      </c>
      <c r="E25" s="101"/>
      <c r="F25" s="170" t="s">
        <v>106</v>
      </c>
      <c r="G25" s="72" t="s">
        <v>152</v>
      </c>
      <c r="H25" s="77">
        <v>48</v>
      </c>
      <c r="I25" s="210">
        <v>16</v>
      </c>
      <c r="J25" s="210">
        <v>46</v>
      </c>
      <c r="K25" s="210">
        <v>46</v>
      </c>
      <c r="L25" s="210">
        <v>37</v>
      </c>
      <c r="M25" s="273">
        <f>9005.69+15068.32+3714.72+1200.78+3057.6+836.9+31</f>
        <v>32915.01</v>
      </c>
      <c r="N25" s="273">
        <f>9005.69+15068.32+3714.72+1200.78+3057.6+836.9+31</f>
        <v>32915.01</v>
      </c>
      <c r="O25" s="292">
        <f t="shared" si="1"/>
        <v>0</v>
      </c>
      <c r="P25" s="213">
        <v>22</v>
      </c>
      <c r="Q25" s="215">
        <v>22</v>
      </c>
      <c r="R25" s="215">
        <v>22</v>
      </c>
      <c r="S25" s="288">
        <f>24213.05+6197.08+341.06</f>
        <v>30751.19</v>
      </c>
      <c r="T25" s="288">
        <f>24213.05+6197.08+341.06</f>
        <v>30751.19</v>
      </c>
      <c r="U25" s="288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257">
        <v>18</v>
      </c>
      <c r="B26" s="99">
        <f t="shared" si="3"/>
        <v>17</v>
      </c>
      <c r="C26" s="167" t="s">
        <v>33</v>
      </c>
      <c r="D26" s="168" t="s">
        <v>124</v>
      </c>
      <c r="E26" s="101"/>
      <c r="F26" s="170" t="s">
        <v>106</v>
      </c>
      <c r="G26" s="72" t="s">
        <v>153</v>
      </c>
      <c r="H26" s="77">
        <v>26</v>
      </c>
      <c r="I26" s="210">
        <v>11</v>
      </c>
      <c r="J26" s="210">
        <v>18</v>
      </c>
      <c r="K26" s="209">
        <v>18</v>
      </c>
      <c r="L26" s="210">
        <v>18</v>
      </c>
      <c r="M26" s="273">
        <f>3777.1+6399.51+6251.64+358.88</f>
        <v>16787.13</v>
      </c>
      <c r="N26" s="273">
        <f>3777.1+6399.51+6251.64+358.88</f>
        <v>16787.13</v>
      </c>
      <c r="O26" s="292">
        <f t="shared" si="1"/>
        <v>0</v>
      </c>
      <c r="P26" s="213">
        <v>12</v>
      </c>
      <c r="Q26" s="214">
        <v>12</v>
      </c>
      <c r="R26" s="215">
        <v>12</v>
      </c>
      <c r="S26" s="288">
        <f>3386.7+2140.45</f>
        <v>5527.15</v>
      </c>
      <c r="T26" s="288">
        <f>3386.7+2140.45</f>
        <v>5527.15</v>
      </c>
      <c r="U26" s="288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257">
        <v>19</v>
      </c>
      <c r="B27" s="99">
        <f t="shared" si="3"/>
        <v>18</v>
      </c>
      <c r="C27" s="167" t="s">
        <v>34</v>
      </c>
      <c r="D27" s="168" t="s">
        <v>124</v>
      </c>
      <c r="E27" s="101"/>
      <c r="F27" s="170" t="s">
        <v>113</v>
      </c>
      <c r="G27" s="72" t="s">
        <v>154</v>
      </c>
      <c r="H27" s="77">
        <v>40</v>
      </c>
      <c r="I27" s="210">
        <v>24</v>
      </c>
      <c r="J27" s="210">
        <v>43</v>
      </c>
      <c r="K27" s="209">
        <v>43</v>
      </c>
      <c r="L27" s="210">
        <v>40</v>
      </c>
      <c r="M27" s="273">
        <f>24273.31+574.2+300.99</f>
        <v>25148.500000000004</v>
      </c>
      <c r="N27" s="273">
        <f>24273.31+574.2+300.99</f>
        <v>25148.500000000004</v>
      </c>
      <c r="O27" s="292">
        <f t="shared" si="1"/>
        <v>0</v>
      </c>
      <c r="P27" s="213">
        <v>14</v>
      </c>
      <c r="Q27" s="214">
        <v>14</v>
      </c>
      <c r="R27" s="215">
        <v>14</v>
      </c>
      <c r="S27" s="288">
        <v>13025.83</v>
      </c>
      <c r="T27" s="288">
        <v>13025.83</v>
      </c>
      <c r="U27" s="288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99">
        <f t="shared" si="3"/>
        <v>19</v>
      </c>
      <c r="C28" s="167" t="s">
        <v>35</v>
      </c>
      <c r="D28" s="168" t="s">
        <v>124</v>
      </c>
      <c r="E28" s="101"/>
      <c r="F28" s="170" t="s">
        <v>105</v>
      </c>
      <c r="G28" s="129" t="s">
        <v>228</v>
      </c>
      <c r="H28" s="77"/>
      <c r="I28" s="210"/>
      <c r="J28" s="210"/>
      <c r="K28" s="209"/>
      <c r="L28" s="210"/>
      <c r="M28" s="273"/>
      <c r="N28" s="273"/>
      <c r="O28" s="292">
        <f t="shared" si="1"/>
        <v>0</v>
      </c>
      <c r="P28" s="213"/>
      <c r="Q28" s="214"/>
      <c r="R28" s="215"/>
      <c r="S28" s="288"/>
      <c r="T28" s="288"/>
      <c r="U28" s="288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257">
        <v>21</v>
      </c>
      <c r="B29" s="99">
        <f t="shared" si="3"/>
        <v>20</v>
      </c>
      <c r="C29" s="173" t="s">
        <v>36</v>
      </c>
      <c r="D29" s="168" t="s">
        <v>124</v>
      </c>
      <c r="E29" s="101"/>
      <c r="F29" s="174" t="s">
        <v>114</v>
      </c>
      <c r="G29" s="72" t="s">
        <v>155</v>
      </c>
      <c r="H29" s="77">
        <v>37</v>
      </c>
      <c r="I29" s="210">
        <v>29</v>
      </c>
      <c r="J29" s="210">
        <v>49</v>
      </c>
      <c r="K29" s="209">
        <v>49</v>
      </c>
      <c r="L29" s="210">
        <v>39</v>
      </c>
      <c r="M29" s="273">
        <f>7765.28+1107.91+3282.4+1320.23+1580.98+622.05+447.4+992.16+691.25+3323.84+3765.77+639.43+3380.83</f>
        <v>28919.53</v>
      </c>
      <c r="N29" s="273">
        <f>7765.28+1107.91+3282.4+1320.23+1580.98+622.05+447.4+992.16+691.25+3323.84+3765.77+639.43+3380.83</f>
        <v>28919.53</v>
      </c>
      <c r="O29" s="292">
        <f t="shared" si="1"/>
        <v>0</v>
      </c>
      <c r="P29" s="213">
        <v>14</v>
      </c>
      <c r="Q29" s="214">
        <v>14</v>
      </c>
      <c r="R29" s="215">
        <v>14</v>
      </c>
      <c r="S29" s="288">
        <f>15185.09+570.43</f>
        <v>15755.52</v>
      </c>
      <c r="T29" s="288">
        <f>15185.09+570.43</f>
        <v>15755.52</v>
      </c>
      <c r="U29" s="288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58" customFormat="1" ht="20.100000000000001" customHeight="1" x14ac:dyDescent="0.25">
      <c r="A30" s="257">
        <v>22</v>
      </c>
      <c r="B30" s="99">
        <f t="shared" si="3"/>
        <v>21</v>
      </c>
      <c r="C30" s="171" t="s">
        <v>37</v>
      </c>
      <c r="D30" s="168" t="s">
        <v>124</v>
      </c>
      <c r="E30" s="101"/>
      <c r="F30" s="170" t="s">
        <v>108</v>
      </c>
      <c r="G30" s="72" t="s">
        <v>156</v>
      </c>
      <c r="H30" s="77">
        <v>57</v>
      </c>
      <c r="I30" s="210">
        <v>46</v>
      </c>
      <c r="J30" s="210">
        <v>68</v>
      </c>
      <c r="K30" s="210">
        <v>68</v>
      </c>
      <c r="L30" s="210">
        <v>51</v>
      </c>
      <c r="M30" s="273">
        <v>38400.01</v>
      </c>
      <c r="N30" s="273">
        <v>38400.01</v>
      </c>
      <c r="O30" s="292">
        <f t="shared" si="1"/>
        <v>0</v>
      </c>
      <c r="P30" s="213">
        <v>23</v>
      </c>
      <c r="Q30" s="215">
        <v>23</v>
      </c>
      <c r="R30" s="215">
        <v>23</v>
      </c>
      <c r="S30" s="288">
        <v>49912.160000000003</v>
      </c>
      <c r="T30" s="288">
        <v>49912.160000000003</v>
      </c>
      <c r="U30" s="288">
        <f t="shared" si="2"/>
        <v>0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257">
        <v>23</v>
      </c>
      <c r="B31" s="99">
        <f>B30+1</f>
        <v>22</v>
      </c>
      <c r="C31" s="171" t="s">
        <v>38</v>
      </c>
      <c r="D31" s="168" t="s">
        <v>124</v>
      </c>
      <c r="E31" s="101"/>
      <c r="F31" s="170" t="s">
        <v>106</v>
      </c>
      <c r="G31" s="72" t="s">
        <v>157</v>
      </c>
      <c r="H31" s="77">
        <v>4</v>
      </c>
      <c r="I31" s="210">
        <v>1</v>
      </c>
      <c r="J31" s="210">
        <v>2</v>
      </c>
      <c r="K31" s="209">
        <v>2</v>
      </c>
      <c r="L31" s="210">
        <v>2</v>
      </c>
      <c r="M31" s="273">
        <v>860.25</v>
      </c>
      <c r="N31" s="273">
        <v>860.25</v>
      </c>
      <c r="O31" s="292">
        <f t="shared" si="1"/>
        <v>0</v>
      </c>
      <c r="P31" s="213">
        <v>2</v>
      </c>
      <c r="Q31" s="214">
        <v>2</v>
      </c>
      <c r="R31" s="215">
        <v>2</v>
      </c>
      <c r="S31" s="288">
        <f>442.37+1014.7</f>
        <v>1457.0700000000002</v>
      </c>
      <c r="T31" s="288">
        <f>442.37+1014.7</f>
        <v>1457.0700000000002</v>
      </c>
      <c r="U31" s="288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99">
        <f t="shared" si="3"/>
        <v>23</v>
      </c>
      <c r="C32" s="167" t="s">
        <v>39</v>
      </c>
      <c r="D32" s="168" t="s">
        <v>124</v>
      </c>
      <c r="E32" s="101"/>
      <c r="F32" s="167" t="s">
        <v>105</v>
      </c>
      <c r="G32" s="72" t="s">
        <v>220</v>
      </c>
      <c r="H32" s="77">
        <v>8</v>
      </c>
      <c r="I32" s="210"/>
      <c r="J32" s="210"/>
      <c r="K32" s="209"/>
      <c r="L32" s="210"/>
      <c r="M32" s="273"/>
      <c r="N32" s="273"/>
      <c r="O32" s="292">
        <f t="shared" si="1"/>
        <v>0</v>
      </c>
      <c r="P32" s="213"/>
      <c r="Q32" s="214"/>
      <c r="R32" s="215"/>
      <c r="S32" s="288"/>
      <c r="T32" s="288"/>
      <c r="U32" s="288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2" x14ac:dyDescent="0.25">
      <c r="A33" s="257">
        <v>86</v>
      </c>
      <c r="B33" s="99">
        <f t="shared" si="3"/>
        <v>24</v>
      </c>
      <c r="C33" s="167" t="s">
        <v>137</v>
      </c>
      <c r="D33" s="168" t="s">
        <v>124</v>
      </c>
      <c r="E33" s="101"/>
      <c r="F33" s="170" t="s">
        <v>106</v>
      </c>
      <c r="G33" s="72" t="s">
        <v>158</v>
      </c>
      <c r="H33" s="77">
        <v>15</v>
      </c>
      <c r="I33" s="210">
        <v>11</v>
      </c>
      <c r="J33" s="210">
        <v>15</v>
      </c>
      <c r="K33" s="209">
        <v>15</v>
      </c>
      <c r="L33" s="210">
        <v>14</v>
      </c>
      <c r="M33" s="273">
        <f>4065+2226.4+2915.4+290+826.9+2392.5</f>
        <v>12716.199999999999</v>
      </c>
      <c r="N33" s="273">
        <f>4065+2226.4+2915.4+290+826.9+2392.5</f>
        <v>12716.199999999999</v>
      </c>
      <c r="O33" s="292">
        <f t="shared" si="1"/>
        <v>0</v>
      </c>
      <c r="P33" s="213"/>
      <c r="Q33" s="214"/>
      <c r="R33" s="215"/>
      <c r="S33" s="288"/>
      <c r="T33" s="288"/>
      <c r="U33" s="288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  <c r="AO33"/>
      <c r="AP33"/>
    </row>
    <row r="34" spans="1:42" x14ac:dyDescent="0.25">
      <c r="A34" s="257">
        <v>24</v>
      </c>
      <c r="B34" s="99">
        <f t="shared" si="3"/>
        <v>25</v>
      </c>
      <c r="C34" s="173" t="s">
        <v>40</v>
      </c>
      <c r="D34" s="168" t="s">
        <v>124</v>
      </c>
      <c r="E34" s="101"/>
      <c r="F34" s="174" t="s">
        <v>115</v>
      </c>
      <c r="G34" s="72" t="s">
        <v>159</v>
      </c>
      <c r="H34" s="77">
        <v>17</v>
      </c>
      <c r="I34" s="210">
        <v>14</v>
      </c>
      <c r="J34" s="210">
        <v>22</v>
      </c>
      <c r="K34" s="209">
        <v>22</v>
      </c>
      <c r="L34" s="210">
        <v>22</v>
      </c>
      <c r="M34" s="273">
        <f>8742.16+2424.59+5871.23</f>
        <v>17037.98</v>
      </c>
      <c r="N34" s="273">
        <f>8742.16+2424.59+5871.23</f>
        <v>17037.98</v>
      </c>
      <c r="O34" s="292">
        <f t="shared" si="1"/>
        <v>0</v>
      </c>
      <c r="P34" s="213">
        <v>2</v>
      </c>
      <c r="Q34" s="214">
        <v>2</v>
      </c>
      <c r="R34" s="215">
        <v>2</v>
      </c>
      <c r="S34" s="288">
        <v>872.59</v>
      </c>
      <c r="T34" s="288">
        <v>872.59</v>
      </c>
      <c r="U34" s="288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  <c r="AO34"/>
      <c r="AP34"/>
    </row>
    <row r="35" spans="1:42" x14ac:dyDescent="0.25">
      <c r="A35" s="257">
        <v>25</v>
      </c>
      <c r="B35" s="99">
        <f t="shared" si="3"/>
        <v>26</v>
      </c>
      <c r="C35" s="171" t="s">
        <v>41</v>
      </c>
      <c r="D35" s="168" t="s">
        <v>124</v>
      </c>
      <c r="E35" s="101"/>
      <c r="F35" s="170" t="s">
        <v>106</v>
      </c>
      <c r="G35" s="72" t="s">
        <v>160</v>
      </c>
      <c r="H35" s="77">
        <v>18</v>
      </c>
      <c r="I35" s="210">
        <v>6</v>
      </c>
      <c r="J35" s="210">
        <v>14</v>
      </c>
      <c r="K35" s="209">
        <v>14</v>
      </c>
      <c r="L35" s="210">
        <v>13</v>
      </c>
      <c r="M35" s="273">
        <f>8755.24+1745.06+1162.89</f>
        <v>11663.189999999999</v>
      </c>
      <c r="N35" s="273">
        <f>8755.24+1745.06+1162.89</f>
        <v>11663.189999999999</v>
      </c>
      <c r="O35" s="292">
        <f t="shared" si="1"/>
        <v>0</v>
      </c>
      <c r="P35" s="213">
        <v>10</v>
      </c>
      <c r="Q35" s="214">
        <v>10</v>
      </c>
      <c r="R35" s="215">
        <v>10</v>
      </c>
      <c r="S35" s="288">
        <f>9249.99+1156.49</f>
        <v>10406.48</v>
      </c>
      <c r="T35" s="288">
        <f>9249.99+1156.49</f>
        <v>10406.48</v>
      </c>
      <c r="U35" s="288">
        <f t="shared" si="2"/>
        <v>0</v>
      </c>
      <c r="V35" s="166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  <c r="AO35"/>
      <c r="AP35"/>
    </row>
    <row r="36" spans="1:42" x14ac:dyDescent="0.25">
      <c r="A36" s="257">
        <v>87</v>
      </c>
      <c r="B36" s="99">
        <f t="shared" si="3"/>
        <v>27</v>
      </c>
      <c r="C36" s="177" t="s">
        <v>42</v>
      </c>
      <c r="D36" s="168" t="s">
        <v>124</v>
      </c>
      <c r="E36" s="101"/>
      <c r="F36" s="170" t="s">
        <v>106</v>
      </c>
      <c r="G36" s="72" t="s">
        <v>221</v>
      </c>
      <c r="H36" s="77">
        <v>28</v>
      </c>
      <c r="I36" s="210">
        <v>15</v>
      </c>
      <c r="J36" s="210">
        <v>16</v>
      </c>
      <c r="K36" s="209">
        <v>16</v>
      </c>
      <c r="L36" s="210">
        <v>16</v>
      </c>
      <c r="M36" s="273">
        <f>2360+2665.25+2800.06+3488.89+1050.79+1436.08</f>
        <v>13801.069999999998</v>
      </c>
      <c r="N36" s="273">
        <f>2360+2665.25+2800.06+3488.89+1050.79+1436.08</f>
        <v>13801.069999999998</v>
      </c>
      <c r="O36" s="292">
        <f t="shared" si="1"/>
        <v>0</v>
      </c>
      <c r="P36" s="213">
        <v>8</v>
      </c>
      <c r="Q36" s="214">
        <v>8</v>
      </c>
      <c r="R36" s="215">
        <v>6</v>
      </c>
      <c r="S36" s="288">
        <f>3433.93+5939.33+1723.52</f>
        <v>11096.78</v>
      </c>
      <c r="T36" s="288">
        <f>3433.93+5939.33+1723.52</f>
        <v>11096.78</v>
      </c>
      <c r="U36" s="288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  <c r="AO36"/>
      <c r="AP36"/>
    </row>
    <row r="37" spans="1:42" x14ac:dyDescent="0.25">
      <c r="A37" s="257">
        <v>26</v>
      </c>
      <c r="B37" s="99">
        <f t="shared" si="3"/>
        <v>28</v>
      </c>
      <c r="C37" s="177" t="s">
        <v>43</v>
      </c>
      <c r="D37" s="168" t="s">
        <v>124</v>
      </c>
      <c r="E37" s="101"/>
      <c r="F37" s="170" t="s">
        <v>106</v>
      </c>
      <c r="G37" s="72" t="s">
        <v>161</v>
      </c>
      <c r="H37" s="77">
        <v>24</v>
      </c>
      <c r="I37" s="210">
        <v>17</v>
      </c>
      <c r="J37" s="210">
        <v>25</v>
      </c>
      <c r="K37" s="209">
        <v>25</v>
      </c>
      <c r="L37" s="210">
        <v>21</v>
      </c>
      <c r="M37" s="273">
        <f>4126.56+990.2+862.75+145+358.88+1424.06+2121.03+508.5+1472.48</f>
        <v>12009.460000000001</v>
      </c>
      <c r="N37" s="273">
        <f>4126.56+990.2+862.75+145+358.88+1424.06+2121.03+508.5+1472.48</f>
        <v>12009.460000000001</v>
      </c>
      <c r="O37" s="292">
        <f t="shared" si="1"/>
        <v>0</v>
      </c>
      <c r="P37" s="213">
        <v>2</v>
      </c>
      <c r="Q37" s="214">
        <v>2</v>
      </c>
      <c r="R37" s="215">
        <v>2</v>
      </c>
      <c r="S37" s="288">
        <f>552.96+1556.69</f>
        <v>2109.65</v>
      </c>
      <c r="T37" s="288">
        <f>552.96+1556.69</f>
        <v>2109.65</v>
      </c>
      <c r="U37" s="288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  <c r="AO37"/>
      <c r="AP37"/>
    </row>
    <row r="38" spans="1:42" x14ac:dyDescent="0.25">
      <c r="A38" s="257">
        <v>27</v>
      </c>
      <c r="B38" s="99">
        <f t="shared" si="3"/>
        <v>29</v>
      </c>
      <c r="C38" s="171" t="s">
        <v>44</v>
      </c>
      <c r="D38" s="168" t="s">
        <v>124</v>
      </c>
      <c r="E38" s="101"/>
      <c r="F38" s="170" t="s">
        <v>105</v>
      </c>
      <c r="G38" s="72" t="s">
        <v>162</v>
      </c>
      <c r="H38" s="77">
        <v>104</v>
      </c>
      <c r="I38" s="210">
        <v>62</v>
      </c>
      <c r="J38" s="210">
        <v>88</v>
      </c>
      <c r="K38" s="209">
        <v>88</v>
      </c>
      <c r="L38" s="210">
        <v>78</v>
      </c>
      <c r="M38" s="273">
        <f>78646.37+5508.02-250.2+5288.53</f>
        <v>89192.72</v>
      </c>
      <c r="N38" s="273">
        <f>78646.37+5508.02-250.2+5288.53</f>
        <v>89192.72</v>
      </c>
      <c r="O38" s="292">
        <f t="shared" si="1"/>
        <v>0</v>
      </c>
      <c r="P38" s="213">
        <v>22</v>
      </c>
      <c r="Q38" s="214">
        <v>22</v>
      </c>
      <c r="R38" s="215">
        <v>21</v>
      </c>
      <c r="S38" s="288">
        <f>23775.77+2740.5</f>
        <v>26516.27</v>
      </c>
      <c r="T38" s="288">
        <f>23775.77+2740.5</f>
        <v>26516.27</v>
      </c>
      <c r="U38" s="288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  <c r="AO38"/>
      <c r="AP38"/>
    </row>
    <row r="39" spans="1:42" x14ac:dyDescent="0.25">
      <c r="A39" s="257">
        <v>28</v>
      </c>
      <c r="B39" s="99">
        <f t="shared" si="3"/>
        <v>30</v>
      </c>
      <c r="C39" s="171" t="s">
        <v>45</v>
      </c>
      <c r="D39" s="168" t="s">
        <v>124</v>
      </c>
      <c r="E39" s="101"/>
      <c r="F39" s="170" t="s">
        <v>111</v>
      </c>
      <c r="G39" s="72" t="s">
        <v>163</v>
      </c>
      <c r="H39" s="77">
        <v>29</v>
      </c>
      <c r="I39" s="210">
        <v>17</v>
      </c>
      <c r="J39" s="210">
        <v>25</v>
      </c>
      <c r="K39" s="209">
        <v>25</v>
      </c>
      <c r="L39" s="210">
        <v>22</v>
      </c>
      <c r="M39" s="273">
        <f>16746.85+582.9</f>
        <v>17329.75</v>
      </c>
      <c r="N39" s="273">
        <f>16746.85+582.9</f>
        <v>17329.75</v>
      </c>
      <c r="O39" s="292">
        <f t="shared" si="1"/>
        <v>0</v>
      </c>
      <c r="P39" s="213">
        <v>4</v>
      </c>
      <c r="Q39" s="214">
        <v>4</v>
      </c>
      <c r="R39" s="215">
        <v>4</v>
      </c>
      <c r="S39" s="288">
        <v>2740.5</v>
      </c>
      <c r="T39" s="288">
        <v>2740.5</v>
      </c>
      <c r="U39" s="288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  <c r="AO39"/>
      <c r="AP39"/>
    </row>
    <row r="40" spans="1:42" x14ac:dyDescent="0.25">
      <c r="A40" s="257">
        <v>29</v>
      </c>
      <c r="B40" s="99">
        <f>B39+1</f>
        <v>31</v>
      </c>
      <c r="C40" s="167" t="s">
        <v>46</v>
      </c>
      <c r="D40" s="168" t="s">
        <v>124</v>
      </c>
      <c r="E40" s="101"/>
      <c r="F40" s="170" t="s">
        <v>106</v>
      </c>
      <c r="G40" s="72" t="s">
        <v>164</v>
      </c>
      <c r="H40" s="77">
        <v>13</v>
      </c>
      <c r="I40" s="210">
        <v>6</v>
      </c>
      <c r="J40" s="210">
        <v>9</v>
      </c>
      <c r="K40" s="209">
        <v>7</v>
      </c>
      <c r="L40" s="210">
        <v>7</v>
      </c>
      <c r="M40" s="273">
        <f>5430.01+288.1+942.05</f>
        <v>6660.1600000000008</v>
      </c>
      <c r="N40" s="273">
        <f>5430.01+288.1+942.05</f>
        <v>6660.1600000000008</v>
      </c>
      <c r="O40" s="292">
        <f t="shared" si="1"/>
        <v>0</v>
      </c>
      <c r="P40" s="213">
        <v>5</v>
      </c>
      <c r="Q40" s="214">
        <v>5</v>
      </c>
      <c r="R40" s="215">
        <v>5</v>
      </c>
      <c r="S40" s="288">
        <f>3996.7+1341.47+7404.94+502.73</f>
        <v>13245.84</v>
      </c>
      <c r="T40" s="288">
        <f>3996.7+1341.47+7404.94+502.73</f>
        <v>13245.84</v>
      </c>
      <c r="U40" s="288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  <c r="AO40"/>
      <c r="AP40"/>
    </row>
    <row r="41" spans="1:42" x14ac:dyDescent="0.25">
      <c r="A41" s="257">
        <v>30</v>
      </c>
      <c r="B41" s="99">
        <f t="shared" si="3"/>
        <v>32</v>
      </c>
      <c r="C41" s="167" t="s">
        <v>47</v>
      </c>
      <c r="D41" s="168" t="s">
        <v>124</v>
      </c>
      <c r="E41" s="101"/>
      <c r="F41" s="170" t="s">
        <v>116</v>
      </c>
      <c r="G41" s="72" t="s">
        <v>165</v>
      </c>
      <c r="H41" s="77">
        <v>42</v>
      </c>
      <c r="I41" s="210">
        <v>28</v>
      </c>
      <c r="J41" s="210">
        <v>30</v>
      </c>
      <c r="K41" s="209">
        <v>30</v>
      </c>
      <c r="L41" s="210">
        <v>26</v>
      </c>
      <c r="M41" s="273">
        <f>4892.78+1033.5+545.69+1551.08+3520.24+1598.15+4243.46</f>
        <v>17384.899999999998</v>
      </c>
      <c r="N41" s="273">
        <f>4892.78+1033.5+545.69+1551.08+3520.24+1598.15+4243.46</f>
        <v>17384.899999999998</v>
      </c>
      <c r="O41" s="292">
        <f t="shared" si="1"/>
        <v>0</v>
      </c>
      <c r="P41" s="213">
        <v>4</v>
      </c>
      <c r="Q41" s="214">
        <v>4</v>
      </c>
      <c r="R41" s="215">
        <v>4</v>
      </c>
      <c r="S41" s="288">
        <f>1842.88+373.68</f>
        <v>2216.56</v>
      </c>
      <c r="T41" s="288">
        <f>1842.88+373.68</f>
        <v>2216.56</v>
      </c>
      <c r="U41" s="288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  <c r="AO41"/>
      <c r="AP41"/>
    </row>
    <row r="42" spans="1:42" x14ac:dyDescent="0.25">
      <c r="A42" s="257">
        <v>32</v>
      </c>
      <c r="B42" s="99">
        <f t="shared" si="3"/>
        <v>33</v>
      </c>
      <c r="C42" s="238" t="s">
        <v>48</v>
      </c>
      <c r="D42" s="168" t="s">
        <v>124</v>
      </c>
      <c r="E42" s="101"/>
      <c r="F42" s="170" t="s">
        <v>106</v>
      </c>
      <c r="G42" s="72" t="s">
        <v>166</v>
      </c>
      <c r="H42" s="77">
        <v>16</v>
      </c>
      <c r="I42" s="210">
        <v>7</v>
      </c>
      <c r="J42" s="210">
        <v>15</v>
      </c>
      <c r="K42" s="209">
        <v>15</v>
      </c>
      <c r="L42" s="210">
        <v>15</v>
      </c>
      <c r="M42" s="273">
        <f>5095.29+1605.75+430.65+529.04+145+1216.54+435</f>
        <v>9457.27</v>
      </c>
      <c r="N42" s="273">
        <f>5095.29+1605.75+430.65+529.04+145+1216.54+435</f>
        <v>9457.27</v>
      </c>
      <c r="O42" s="292">
        <f t="shared" si="1"/>
        <v>0</v>
      </c>
      <c r="P42" s="213">
        <v>5</v>
      </c>
      <c r="Q42" s="214">
        <v>5</v>
      </c>
      <c r="R42" s="215">
        <v>5</v>
      </c>
      <c r="S42" s="288">
        <v>5832.14</v>
      </c>
      <c r="T42" s="288">
        <v>5832.14</v>
      </c>
      <c r="U42" s="288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  <c r="AO42"/>
      <c r="AP42"/>
    </row>
    <row r="43" spans="1:42" x14ac:dyDescent="0.25">
      <c r="A43" s="257">
        <v>33</v>
      </c>
      <c r="B43" s="99">
        <f t="shared" si="3"/>
        <v>34</v>
      </c>
      <c r="C43" s="167" t="s">
        <v>49</v>
      </c>
      <c r="D43" s="168" t="s">
        <v>124</v>
      </c>
      <c r="E43" s="101"/>
      <c r="F43" s="170" t="s">
        <v>106</v>
      </c>
      <c r="G43" s="72" t="s">
        <v>167</v>
      </c>
      <c r="H43" s="77">
        <v>29</v>
      </c>
      <c r="I43" s="210">
        <v>16</v>
      </c>
      <c r="J43" s="210">
        <v>26</v>
      </c>
      <c r="K43" s="209">
        <v>26</v>
      </c>
      <c r="L43" s="210">
        <v>25</v>
      </c>
      <c r="M43" s="273">
        <f>28407.24+4596.5+580-144+2034.71</f>
        <v>35474.450000000004</v>
      </c>
      <c r="N43" s="273">
        <f>28407.24+4596.5+580-144+2034.71</f>
        <v>35474.450000000004</v>
      </c>
      <c r="O43" s="292">
        <f t="shared" si="1"/>
        <v>0</v>
      </c>
      <c r="P43" s="213">
        <v>7</v>
      </c>
      <c r="Q43" s="214">
        <v>7</v>
      </c>
      <c r="R43" s="215">
        <v>7</v>
      </c>
      <c r="S43" s="288">
        <v>7539.4</v>
      </c>
      <c r="T43" s="288">
        <v>7539.4</v>
      </c>
      <c r="U43" s="288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  <c r="AO43"/>
      <c r="AP43"/>
    </row>
    <row r="44" spans="1:42" x14ac:dyDescent="0.25">
      <c r="A44" s="257">
        <v>34</v>
      </c>
      <c r="B44" s="99">
        <f t="shared" si="3"/>
        <v>35</v>
      </c>
      <c r="C44" s="177" t="s">
        <v>50</v>
      </c>
      <c r="D44" s="168" t="s">
        <v>124</v>
      </c>
      <c r="E44" s="101"/>
      <c r="F44" s="170" t="s">
        <v>106</v>
      </c>
      <c r="G44" s="72" t="s">
        <v>168</v>
      </c>
      <c r="H44" s="77">
        <v>15</v>
      </c>
      <c r="I44" s="210">
        <v>12</v>
      </c>
      <c r="J44" s="210">
        <v>19</v>
      </c>
      <c r="K44" s="209">
        <v>19</v>
      </c>
      <c r="L44" s="210">
        <v>16</v>
      </c>
      <c r="M44" s="273">
        <f>22500.73-141.1</f>
        <v>22359.63</v>
      </c>
      <c r="N44" s="273">
        <f>22500.73-141.1</f>
        <v>22359.63</v>
      </c>
      <c r="O44" s="292">
        <f t="shared" si="1"/>
        <v>0</v>
      </c>
      <c r="P44" s="213">
        <v>11</v>
      </c>
      <c r="Q44" s="214">
        <v>11</v>
      </c>
      <c r="R44" s="215">
        <v>11</v>
      </c>
      <c r="S44" s="288">
        <f>3997.92+850.65+4367.7+2262.73+189.48+1019.96+473.69</f>
        <v>13162.13</v>
      </c>
      <c r="T44" s="288">
        <f>3997.92+850.65+4367.7+2262.73+189.48+1019.96+473.69</f>
        <v>13162.13</v>
      </c>
      <c r="U44" s="288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  <c r="AO44"/>
      <c r="AP44"/>
    </row>
    <row r="45" spans="1:42" x14ac:dyDescent="0.25">
      <c r="B45" s="99">
        <f t="shared" si="3"/>
        <v>36</v>
      </c>
      <c r="C45" s="171" t="s">
        <v>51</v>
      </c>
      <c r="D45" s="168" t="s">
        <v>124</v>
      </c>
      <c r="E45" s="101"/>
      <c r="F45" s="178" t="s">
        <v>112</v>
      </c>
      <c r="G45" s="72"/>
      <c r="H45" s="77"/>
      <c r="I45" s="210"/>
      <c r="J45" s="210"/>
      <c r="K45" s="209"/>
      <c r="L45" s="210"/>
      <c r="M45" s="273"/>
      <c r="N45" s="273"/>
      <c r="O45" s="292">
        <f t="shared" si="1"/>
        <v>0</v>
      </c>
      <c r="P45" s="213"/>
      <c r="Q45" s="214"/>
      <c r="R45" s="215"/>
      <c r="S45" s="288"/>
      <c r="T45" s="288"/>
      <c r="U45" s="288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  <c r="AO45"/>
      <c r="AP45"/>
    </row>
    <row r="46" spans="1:42" x14ac:dyDescent="0.25">
      <c r="A46" s="257">
        <v>37</v>
      </c>
      <c r="B46" s="99">
        <f t="shared" si="3"/>
        <v>37</v>
      </c>
      <c r="C46" s="171" t="s">
        <v>131</v>
      </c>
      <c r="D46" s="168" t="s">
        <v>124</v>
      </c>
      <c r="E46" s="101"/>
      <c r="F46" s="178" t="s">
        <v>106</v>
      </c>
      <c r="G46" s="72" t="s">
        <v>171</v>
      </c>
      <c r="H46" s="77">
        <v>24</v>
      </c>
      <c r="I46" s="210">
        <v>18</v>
      </c>
      <c r="J46" s="210">
        <v>21</v>
      </c>
      <c r="K46" s="209">
        <v>21</v>
      </c>
      <c r="L46" s="210">
        <v>19</v>
      </c>
      <c r="M46" s="273">
        <f>7372.32+580</f>
        <v>7952.32</v>
      </c>
      <c r="N46" s="273">
        <f>7372.32+580</f>
        <v>7952.32</v>
      </c>
      <c r="O46" s="292">
        <f t="shared" si="1"/>
        <v>0</v>
      </c>
      <c r="P46" s="213">
        <v>2</v>
      </c>
      <c r="Q46" s="214">
        <v>2</v>
      </c>
      <c r="R46" s="215">
        <v>2</v>
      </c>
      <c r="S46" s="288">
        <v>12091.23</v>
      </c>
      <c r="T46" s="288">
        <v>12091.23</v>
      </c>
      <c r="U46" s="288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  <c r="AO46"/>
      <c r="AP46"/>
    </row>
    <row r="47" spans="1:42" x14ac:dyDescent="0.25">
      <c r="A47" s="257">
        <v>35</v>
      </c>
      <c r="B47" s="99">
        <f t="shared" si="3"/>
        <v>38</v>
      </c>
      <c r="C47" s="177" t="s">
        <v>52</v>
      </c>
      <c r="D47" s="168" t="s">
        <v>124</v>
      </c>
      <c r="E47" s="101"/>
      <c r="F47" s="170" t="s">
        <v>106</v>
      </c>
      <c r="G47" s="72" t="s">
        <v>169</v>
      </c>
      <c r="H47" s="77">
        <v>70</v>
      </c>
      <c r="I47" s="210">
        <v>35</v>
      </c>
      <c r="J47" s="210">
        <v>51</v>
      </c>
      <c r="K47" s="209">
        <v>49</v>
      </c>
      <c r="L47" s="210">
        <v>47</v>
      </c>
      <c r="M47" s="273">
        <f>28405.79+645.98+291.1+4099.14</f>
        <v>33442.01</v>
      </c>
      <c r="N47" s="273">
        <f>28405.79+645.98+291.1+4099.14</f>
        <v>33442.01</v>
      </c>
      <c r="O47" s="292">
        <f t="shared" si="1"/>
        <v>0</v>
      </c>
      <c r="P47" s="213">
        <v>3</v>
      </c>
      <c r="Q47" s="214">
        <v>3</v>
      </c>
      <c r="R47" s="215">
        <v>3</v>
      </c>
      <c r="S47" s="288">
        <f>1209.11+1311.53</f>
        <v>2520.64</v>
      </c>
      <c r="T47" s="288">
        <f>1209.11+1311.53</f>
        <v>2520.64</v>
      </c>
      <c r="U47" s="288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  <c r="AO47"/>
      <c r="AP47"/>
    </row>
    <row r="48" spans="1:42" x14ac:dyDescent="0.25">
      <c r="A48" s="257">
        <v>36</v>
      </c>
      <c r="B48" s="99">
        <f t="shared" si="3"/>
        <v>39</v>
      </c>
      <c r="C48" s="167" t="s">
        <v>53</v>
      </c>
      <c r="D48" s="168" t="s">
        <v>124</v>
      </c>
      <c r="E48" s="101"/>
      <c r="F48" s="170" t="s">
        <v>105</v>
      </c>
      <c r="G48" s="72" t="s">
        <v>170</v>
      </c>
      <c r="H48" s="77">
        <v>22</v>
      </c>
      <c r="I48" s="210">
        <v>9</v>
      </c>
      <c r="J48" s="210">
        <v>12</v>
      </c>
      <c r="K48" s="209">
        <v>12</v>
      </c>
      <c r="L48" s="210">
        <v>12</v>
      </c>
      <c r="M48" s="273">
        <f>8890.84+1828.05+435+2479.5+5116.5</f>
        <v>18749.89</v>
      </c>
      <c r="N48" s="273">
        <f>8890.84+1828.05+435+2479.5+5116.5</f>
        <v>18749.89</v>
      </c>
      <c r="O48" s="292">
        <f t="shared" si="1"/>
        <v>0</v>
      </c>
      <c r="P48" s="213">
        <v>3</v>
      </c>
      <c r="Q48" s="214">
        <v>3</v>
      </c>
      <c r="R48" s="215">
        <v>3</v>
      </c>
      <c r="S48" s="288">
        <f>2800.4+5022.92</f>
        <v>7823.32</v>
      </c>
      <c r="T48" s="288">
        <f>2800.4+5022.92</f>
        <v>7823.32</v>
      </c>
      <c r="U48" s="288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  <c r="AO48"/>
      <c r="AP48"/>
    </row>
    <row r="49" spans="1:42" x14ac:dyDescent="0.25">
      <c r="A49" s="257">
        <v>38</v>
      </c>
      <c r="B49" s="99">
        <f t="shared" si="3"/>
        <v>40</v>
      </c>
      <c r="C49" s="167" t="s">
        <v>54</v>
      </c>
      <c r="D49" s="168" t="s">
        <v>124</v>
      </c>
      <c r="E49" s="101"/>
      <c r="F49" s="170" t="s">
        <v>106</v>
      </c>
      <c r="G49" s="72" t="s">
        <v>172</v>
      </c>
      <c r="H49" s="77">
        <v>23</v>
      </c>
      <c r="I49" s="210">
        <v>13</v>
      </c>
      <c r="J49" s="210">
        <v>22</v>
      </c>
      <c r="K49" s="209">
        <v>22</v>
      </c>
      <c r="L49" s="210">
        <v>17</v>
      </c>
      <c r="M49" s="273">
        <v>8028.06</v>
      </c>
      <c r="N49" s="273">
        <v>8028.06</v>
      </c>
      <c r="O49" s="292">
        <f t="shared" si="1"/>
        <v>0</v>
      </c>
      <c r="P49" s="213">
        <v>10</v>
      </c>
      <c r="Q49" s="214">
        <v>10</v>
      </c>
      <c r="R49" s="215">
        <v>10</v>
      </c>
      <c r="S49" s="288">
        <f>8296.23+1378+5368+1032.31</f>
        <v>16074.539999999999</v>
      </c>
      <c r="T49" s="288">
        <f>8296.23+1378+5368+1032.31</f>
        <v>16074.539999999999</v>
      </c>
      <c r="U49" s="288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  <c r="AO49"/>
      <c r="AP49"/>
    </row>
    <row r="50" spans="1:42" x14ac:dyDescent="0.25">
      <c r="A50" s="257">
        <v>39</v>
      </c>
      <c r="B50" s="99">
        <f t="shared" si="3"/>
        <v>41</v>
      </c>
      <c r="C50" s="167" t="s">
        <v>55</v>
      </c>
      <c r="D50" s="168" t="s">
        <v>124</v>
      </c>
      <c r="E50" s="101"/>
      <c r="F50" s="170" t="s">
        <v>106</v>
      </c>
      <c r="G50" s="72" t="s">
        <v>173</v>
      </c>
      <c r="H50" s="77">
        <v>68</v>
      </c>
      <c r="I50" s="210">
        <v>24</v>
      </c>
      <c r="J50" s="210">
        <v>27</v>
      </c>
      <c r="K50" s="209">
        <v>27</v>
      </c>
      <c r="L50" s="210">
        <v>25</v>
      </c>
      <c r="M50" s="273">
        <f>8308.92+786.44+453+302+1256.5+1232.5+2228.2+892.3+5116.5</f>
        <v>20576.36</v>
      </c>
      <c r="N50" s="273">
        <f>8308.92+786.44+453+302+1256.5+1232.5+2228.2+892.3+5116.5</f>
        <v>20576.36</v>
      </c>
      <c r="O50" s="292">
        <f t="shared" si="1"/>
        <v>0</v>
      </c>
      <c r="P50" s="213">
        <v>6</v>
      </c>
      <c r="Q50" s="214">
        <v>6</v>
      </c>
      <c r="R50" s="215">
        <v>6</v>
      </c>
      <c r="S50" s="288">
        <f>2457.28+1725.6+5017.9+1584.7</f>
        <v>10785.48</v>
      </c>
      <c r="T50" s="288">
        <f>2457.28+1725.6+5017.9+1584.7</f>
        <v>10785.48</v>
      </c>
      <c r="U50" s="288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  <c r="AO50"/>
      <c r="AP50"/>
    </row>
    <row r="51" spans="1:42" x14ac:dyDescent="0.25">
      <c r="A51" s="257">
        <v>40</v>
      </c>
      <c r="B51" s="99">
        <f t="shared" si="3"/>
        <v>42</v>
      </c>
      <c r="C51" s="167" t="s">
        <v>56</v>
      </c>
      <c r="D51" s="168" t="s">
        <v>124</v>
      </c>
      <c r="E51" s="101"/>
      <c r="F51" s="170" t="s">
        <v>106</v>
      </c>
      <c r="G51" s="72" t="s">
        <v>174</v>
      </c>
      <c r="H51" s="77">
        <v>36</v>
      </c>
      <c r="I51" s="210">
        <v>19</v>
      </c>
      <c r="J51" s="210">
        <v>23</v>
      </c>
      <c r="K51" s="209">
        <v>23</v>
      </c>
      <c r="L51" s="210">
        <v>19</v>
      </c>
      <c r="M51" s="273">
        <f>11276.82+870</f>
        <v>12146.82</v>
      </c>
      <c r="N51" s="273">
        <f>11276.82+870</f>
        <v>12146.82</v>
      </c>
      <c r="O51" s="292">
        <f t="shared" si="1"/>
        <v>0</v>
      </c>
      <c r="P51" s="213">
        <v>1</v>
      </c>
      <c r="Q51" s="214">
        <v>1</v>
      </c>
      <c r="R51" s="215">
        <v>1</v>
      </c>
      <c r="S51" s="288">
        <f>728.15</f>
        <v>728.15</v>
      </c>
      <c r="T51" s="288">
        <f>728.15</f>
        <v>728.15</v>
      </c>
      <c r="U51" s="288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  <c r="AO51"/>
      <c r="AP51"/>
    </row>
    <row r="52" spans="1:42" x14ac:dyDescent="0.25">
      <c r="A52" s="257">
        <v>41</v>
      </c>
      <c r="B52" s="99">
        <f t="shared" si="3"/>
        <v>43</v>
      </c>
      <c r="C52" s="177" t="s">
        <v>57</v>
      </c>
      <c r="D52" s="168" t="s">
        <v>124</v>
      </c>
      <c r="E52" s="101"/>
      <c r="F52" s="170" t="s">
        <v>106</v>
      </c>
      <c r="G52" s="72" t="s">
        <v>175</v>
      </c>
      <c r="H52" s="77">
        <v>26</v>
      </c>
      <c r="I52" s="210">
        <v>18</v>
      </c>
      <c r="J52" s="210">
        <v>21</v>
      </c>
      <c r="K52" s="209">
        <v>21</v>
      </c>
      <c r="L52" s="210">
        <v>18</v>
      </c>
      <c r="M52" s="273">
        <f>10557.44+145+1584.7</f>
        <v>12287.140000000001</v>
      </c>
      <c r="N52" s="273">
        <f>10557.44+145+1584.7</f>
        <v>12287.140000000001</v>
      </c>
      <c r="O52" s="292">
        <f t="shared" si="1"/>
        <v>0</v>
      </c>
      <c r="P52" s="213">
        <v>13</v>
      </c>
      <c r="Q52" s="214">
        <v>13</v>
      </c>
      <c r="R52" s="215">
        <v>12</v>
      </c>
      <c r="S52" s="288">
        <f>1535.39+1035.3+828.82+12756.45+716.22+1679.72</f>
        <v>18551.900000000001</v>
      </c>
      <c r="T52" s="288">
        <f>1535.39+1035.3+828.82+12756.45+716.22+1679.72</f>
        <v>18551.900000000001</v>
      </c>
      <c r="U52" s="288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  <c r="AO52"/>
      <c r="AP52"/>
    </row>
    <row r="53" spans="1:42" x14ac:dyDescent="0.25">
      <c r="A53" s="257">
        <v>42</v>
      </c>
      <c r="B53" s="99">
        <f t="shared" si="3"/>
        <v>44</v>
      </c>
      <c r="C53" s="177" t="s">
        <v>58</v>
      </c>
      <c r="D53" s="168" t="s">
        <v>124</v>
      </c>
      <c r="E53" s="101"/>
      <c r="F53" s="170" t="s">
        <v>106</v>
      </c>
      <c r="G53" s="72" t="s">
        <v>260</v>
      </c>
      <c r="H53" s="77">
        <v>22</v>
      </c>
      <c r="I53" s="210">
        <v>6</v>
      </c>
      <c r="J53" s="210">
        <v>6</v>
      </c>
      <c r="K53" s="209">
        <v>6</v>
      </c>
      <c r="L53" s="210">
        <v>4</v>
      </c>
      <c r="M53" s="273">
        <f>1102.4+328.37+1596</f>
        <v>3026.77</v>
      </c>
      <c r="N53" s="273">
        <f>1102.4+328.37+1596</f>
        <v>3026.77</v>
      </c>
      <c r="O53" s="292">
        <f t="shared" si="1"/>
        <v>0</v>
      </c>
      <c r="P53" s="213">
        <v>2</v>
      </c>
      <c r="Q53" s="214">
        <v>2</v>
      </c>
      <c r="R53" s="215">
        <v>2</v>
      </c>
      <c r="S53" s="288">
        <v>688</v>
      </c>
      <c r="T53" s="288">
        <v>688</v>
      </c>
      <c r="U53" s="288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  <c r="AO53"/>
      <c r="AP53"/>
    </row>
    <row r="54" spans="1:42" x14ac:dyDescent="0.25">
      <c r="A54" s="257">
        <v>43</v>
      </c>
      <c r="B54" s="99">
        <f t="shared" si="3"/>
        <v>45</v>
      </c>
      <c r="C54" s="177" t="s">
        <v>59</v>
      </c>
      <c r="D54" s="168" t="s">
        <v>124</v>
      </c>
      <c r="E54" s="101"/>
      <c r="F54" s="170" t="s">
        <v>112</v>
      </c>
      <c r="G54" s="72" t="s">
        <v>176</v>
      </c>
      <c r="H54" s="77">
        <v>147</v>
      </c>
      <c r="I54" s="210">
        <v>133</v>
      </c>
      <c r="J54" s="210">
        <v>157</v>
      </c>
      <c r="K54" s="209">
        <v>157</v>
      </c>
      <c r="L54" s="210">
        <v>140</v>
      </c>
      <c r="M54" s="273">
        <f>12032.27+4728.85+7137.01+1218+507+4175.93+5308.12+6184.37+6281.56+3934.58+7806.06+6078.39</f>
        <v>65392.140000000007</v>
      </c>
      <c r="N54" s="273">
        <f>12032.27+4728.85+7137.01+1218+507+4175.93+5308.12+6184.37+6281.56+3934.58+7806.06+6078.39</f>
        <v>65392.140000000007</v>
      </c>
      <c r="O54" s="292">
        <f t="shared" si="1"/>
        <v>0</v>
      </c>
      <c r="P54" s="213">
        <v>17</v>
      </c>
      <c r="Q54" s="214">
        <v>17</v>
      </c>
      <c r="R54" s="215">
        <v>17</v>
      </c>
      <c r="S54" s="288">
        <f>9629.72+1321.59</f>
        <v>10951.31</v>
      </c>
      <c r="T54" s="288">
        <f>9629.72+1321.59</f>
        <v>10951.31</v>
      </c>
      <c r="U54" s="288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  <c r="AO54"/>
      <c r="AP54"/>
    </row>
    <row r="55" spans="1:42" x14ac:dyDescent="0.25">
      <c r="A55" s="257">
        <v>44</v>
      </c>
      <c r="B55" s="99">
        <f t="shared" si="3"/>
        <v>46</v>
      </c>
      <c r="C55" s="177" t="s">
        <v>60</v>
      </c>
      <c r="D55" s="168" t="s">
        <v>125</v>
      </c>
      <c r="E55" s="106" t="s">
        <v>126</v>
      </c>
      <c r="F55" s="170" t="s">
        <v>106</v>
      </c>
      <c r="G55" s="72" t="s">
        <v>177</v>
      </c>
      <c r="H55" s="77">
        <v>8</v>
      </c>
      <c r="I55" s="210">
        <v>3</v>
      </c>
      <c r="J55" s="210">
        <v>5</v>
      </c>
      <c r="K55" s="209">
        <v>5</v>
      </c>
      <c r="L55" s="210">
        <v>4</v>
      </c>
      <c r="M55" s="273">
        <v>8188.55</v>
      </c>
      <c r="N55" s="273">
        <v>8188.55</v>
      </c>
      <c r="O55" s="292">
        <f t="shared" si="1"/>
        <v>0</v>
      </c>
      <c r="P55" s="213">
        <v>3</v>
      </c>
      <c r="Q55" s="214">
        <v>3</v>
      </c>
      <c r="R55" s="215">
        <v>3</v>
      </c>
      <c r="S55" s="288">
        <f>757.9+1321.55+620.1</f>
        <v>2699.5499999999997</v>
      </c>
      <c r="T55" s="288">
        <f>757.9+1321.55+620.1</f>
        <v>2699.5499999999997</v>
      </c>
      <c r="U55" s="288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  <c r="AO55"/>
      <c r="AP55"/>
    </row>
    <row r="56" spans="1:42" x14ac:dyDescent="0.25">
      <c r="A56" s="257">
        <v>45</v>
      </c>
      <c r="B56" s="99">
        <f t="shared" si="3"/>
        <v>47</v>
      </c>
      <c r="C56" s="171" t="s">
        <v>61</v>
      </c>
      <c r="D56" s="168" t="s">
        <v>124</v>
      </c>
      <c r="E56" s="101"/>
      <c r="F56" s="170" t="s">
        <v>107</v>
      </c>
      <c r="G56" s="72" t="s">
        <v>178</v>
      </c>
      <c r="H56" s="77">
        <v>80</v>
      </c>
      <c r="I56" s="210">
        <v>59</v>
      </c>
      <c r="J56" s="210">
        <v>85</v>
      </c>
      <c r="K56" s="209">
        <v>85</v>
      </c>
      <c r="L56" s="210">
        <v>76</v>
      </c>
      <c r="M56" s="273">
        <f>70230.55+4017.1+6903.23</f>
        <v>81150.880000000005</v>
      </c>
      <c r="N56" s="273">
        <f>70230.55+4017.1+6903.23</f>
        <v>81150.880000000005</v>
      </c>
      <c r="O56" s="292">
        <f t="shared" si="1"/>
        <v>0</v>
      </c>
      <c r="P56" s="213">
        <v>37</v>
      </c>
      <c r="Q56" s="214">
        <v>37</v>
      </c>
      <c r="R56" s="215">
        <v>33</v>
      </c>
      <c r="S56" s="288">
        <f>53733.15+4264.72+1524.74</f>
        <v>59522.61</v>
      </c>
      <c r="T56" s="288">
        <f>53733.15+4264.72+1524.74</f>
        <v>59522.61</v>
      </c>
      <c r="U56" s="288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  <c r="AO56"/>
      <c r="AP56"/>
    </row>
    <row r="57" spans="1:42" x14ac:dyDescent="0.25">
      <c r="A57" s="257">
        <v>46</v>
      </c>
      <c r="B57" s="99">
        <f t="shared" si="3"/>
        <v>48</v>
      </c>
      <c r="C57" s="171" t="s">
        <v>134</v>
      </c>
      <c r="D57" s="168" t="s">
        <v>124</v>
      </c>
      <c r="E57" s="101"/>
      <c r="F57" s="170" t="s">
        <v>112</v>
      </c>
      <c r="G57" s="72" t="s">
        <v>179</v>
      </c>
      <c r="H57" s="77">
        <v>16</v>
      </c>
      <c r="I57" s="210">
        <v>11</v>
      </c>
      <c r="J57" s="210">
        <v>12</v>
      </c>
      <c r="K57" s="209">
        <v>11</v>
      </c>
      <c r="L57" s="210">
        <v>11</v>
      </c>
      <c r="M57" s="273">
        <f>1200.96+483.68</f>
        <v>1684.64</v>
      </c>
      <c r="N57" s="273">
        <f>1200.96+483.68</f>
        <v>1684.64</v>
      </c>
      <c r="O57" s="292">
        <f t="shared" si="1"/>
        <v>0</v>
      </c>
      <c r="P57" s="213"/>
      <c r="Q57" s="214"/>
      <c r="R57" s="215"/>
      <c r="S57" s="288"/>
      <c r="T57" s="288"/>
      <c r="U57" s="288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  <c r="AO57"/>
      <c r="AP57"/>
    </row>
    <row r="58" spans="1:42" x14ac:dyDescent="0.25">
      <c r="B58" s="99">
        <f t="shared" si="3"/>
        <v>49</v>
      </c>
      <c r="C58" s="171" t="s">
        <v>62</v>
      </c>
      <c r="D58" s="168" t="s">
        <v>124</v>
      </c>
      <c r="E58" s="101"/>
      <c r="F58" s="170" t="s">
        <v>106</v>
      </c>
      <c r="G58" s="72" t="s">
        <v>230</v>
      </c>
      <c r="H58" s="77"/>
      <c r="I58" s="210"/>
      <c r="J58" s="210"/>
      <c r="K58" s="209"/>
      <c r="L58" s="210"/>
      <c r="M58" s="273"/>
      <c r="N58" s="273"/>
      <c r="O58" s="292">
        <f t="shared" si="1"/>
        <v>0</v>
      </c>
      <c r="P58" s="213">
        <v>1</v>
      </c>
      <c r="Q58" s="214">
        <v>1</v>
      </c>
      <c r="R58" s="215">
        <v>1</v>
      </c>
      <c r="S58" s="288">
        <v>548.1</v>
      </c>
      <c r="T58" s="288">
        <v>548.1</v>
      </c>
      <c r="U58" s="288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  <c r="AO58"/>
      <c r="AP58"/>
    </row>
    <row r="59" spans="1:42" x14ac:dyDescent="0.25">
      <c r="B59" s="99">
        <f t="shared" si="3"/>
        <v>50</v>
      </c>
      <c r="C59" s="171" t="s">
        <v>63</v>
      </c>
      <c r="D59" s="168" t="s">
        <v>124</v>
      </c>
      <c r="E59" s="101"/>
      <c r="F59" s="178" t="s">
        <v>112</v>
      </c>
      <c r="G59" s="72" t="s">
        <v>224</v>
      </c>
      <c r="H59" s="77"/>
      <c r="I59" s="210"/>
      <c r="J59" s="210"/>
      <c r="K59" s="209"/>
      <c r="L59" s="210"/>
      <c r="M59" s="273"/>
      <c r="N59" s="273"/>
      <c r="O59" s="292">
        <f t="shared" si="1"/>
        <v>0</v>
      </c>
      <c r="P59" s="213"/>
      <c r="Q59" s="214"/>
      <c r="R59" s="215"/>
      <c r="S59" s="288"/>
      <c r="T59" s="288"/>
      <c r="U59" s="288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  <c r="AO59"/>
      <c r="AP59"/>
    </row>
    <row r="60" spans="1:42" x14ac:dyDescent="0.25">
      <c r="A60" s="257">
        <v>48</v>
      </c>
      <c r="B60" s="99">
        <f t="shared" si="3"/>
        <v>51</v>
      </c>
      <c r="C60" s="171" t="s">
        <v>64</v>
      </c>
      <c r="D60" s="168" t="s">
        <v>124</v>
      </c>
      <c r="E60" s="101"/>
      <c r="F60" s="178" t="s">
        <v>107</v>
      </c>
      <c r="G60" s="72" t="s">
        <v>180</v>
      </c>
      <c r="H60" s="77">
        <v>79</v>
      </c>
      <c r="I60" s="210">
        <v>48</v>
      </c>
      <c r="J60" s="210">
        <v>67</v>
      </c>
      <c r="K60" s="209">
        <v>67</v>
      </c>
      <c r="L60" s="210">
        <v>55</v>
      </c>
      <c r="M60" s="273">
        <f>55406.35+5285.07</f>
        <v>60691.42</v>
      </c>
      <c r="N60" s="273">
        <f>55406.35+5285.07</f>
        <v>60691.42</v>
      </c>
      <c r="O60" s="292">
        <f t="shared" si="1"/>
        <v>0</v>
      </c>
      <c r="P60" s="213">
        <v>8</v>
      </c>
      <c r="Q60" s="214">
        <v>8</v>
      </c>
      <c r="R60" s="215">
        <v>7</v>
      </c>
      <c r="S60" s="288">
        <f>7737.36+1404.36</f>
        <v>9141.7199999999993</v>
      </c>
      <c r="T60" s="288">
        <f>7737.36+1404.36</f>
        <v>9141.7199999999993</v>
      </c>
      <c r="U60" s="288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  <c r="AO60"/>
      <c r="AP60"/>
    </row>
    <row r="61" spans="1:42" x14ac:dyDescent="0.25">
      <c r="A61" s="257">
        <v>47</v>
      </c>
      <c r="B61" s="99">
        <f t="shared" si="3"/>
        <v>52</v>
      </c>
      <c r="C61" s="171" t="s">
        <v>135</v>
      </c>
      <c r="D61" s="168" t="s">
        <v>124</v>
      </c>
      <c r="E61" s="101"/>
      <c r="F61" s="178" t="s">
        <v>111</v>
      </c>
      <c r="G61" s="72" t="s">
        <v>181</v>
      </c>
      <c r="H61" s="77">
        <v>36</v>
      </c>
      <c r="I61" s="210">
        <v>24</v>
      </c>
      <c r="J61" s="210">
        <v>34</v>
      </c>
      <c r="K61" s="209">
        <v>34</v>
      </c>
      <c r="L61" s="210">
        <v>31</v>
      </c>
      <c r="M61" s="273">
        <f>3986.21+989.8+3814.75+1492.92+2107.58+1990.86+3001.41+1940.89+2035.8+3263.5+1431.16</f>
        <v>26054.879999999997</v>
      </c>
      <c r="N61" s="273">
        <f>3986.21+989.8+3814.75+1492.92+2107.58+1990.86+3001.41+1940.89+2035.8+3263.5+1431.16</f>
        <v>26054.879999999997</v>
      </c>
      <c r="O61" s="292">
        <f t="shared" si="1"/>
        <v>0</v>
      </c>
      <c r="P61" s="213"/>
      <c r="Q61" s="214"/>
      <c r="R61" s="215"/>
      <c r="S61" s="288"/>
      <c r="T61" s="288"/>
      <c r="U61" s="288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  <c r="AO61"/>
      <c r="AP61"/>
    </row>
    <row r="62" spans="1:42" x14ac:dyDescent="0.25">
      <c r="A62" s="257">
        <v>49</v>
      </c>
      <c r="B62" s="99">
        <f t="shared" si="3"/>
        <v>53</v>
      </c>
      <c r="C62" s="238" t="s">
        <v>65</v>
      </c>
      <c r="D62" s="168" t="s">
        <v>124</v>
      </c>
      <c r="E62" s="101"/>
      <c r="F62" s="170" t="s">
        <v>106</v>
      </c>
      <c r="G62" s="72" t="s">
        <v>182</v>
      </c>
      <c r="H62" s="77">
        <v>22</v>
      </c>
      <c r="I62" s="210">
        <v>15</v>
      </c>
      <c r="J62" s="210">
        <v>26</v>
      </c>
      <c r="K62" s="209">
        <v>26</v>
      </c>
      <c r="L62" s="210">
        <v>22</v>
      </c>
      <c r="M62" s="273">
        <v>17435.95</v>
      </c>
      <c r="N62" s="273">
        <v>17435.95</v>
      </c>
      <c r="O62" s="292">
        <f t="shared" si="1"/>
        <v>0</v>
      </c>
      <c r="P62" s="213">
        <v>9</v>
      </c>
      <c r="Q62" s="214">
        <v>9</v>
      </c>
      <c r="R62" s="215">
        <v>9</v>
      </c>
      <c r="S62" s="288">
        <v>7582.54</v>
      </c>
      <c r="T62" s="288">
        <v>7582.54</v>
      </c>
      <c r="U62" s="288">
        <f t="shared" si="2"/>
        <v>0</v>
      </c>
      <c r="V62" s="161"/>
      <c r="AO62"/>
      <c r="AP62"/>
    </row>
    <row r="63" spans="1:42" x14ac:dyDescent="0.25">
      <c r="B63" s="99">
        <f t="shared" si="3"/>
        <v>54</v>
      </c>
      <c r="C63" s="177" t="s">
        <v>66</v>
      </c>
      <c r="D63" s="168" t="s">
        <v>124</v>
      </c>
      <c r="E63" s="101"/>
      <c r="F63" s="170" t="s">
        <v>112</v>
      </c>
      <c r="G63" s="72" t="s">
        <v>227</v>
      </c>
      <c r="H63" s="77"/>
      <c r="I63" s="210"/>
      <c r="J63" s="210"/>
      <c r="K63" s="209"/>
      <c r="L63" s="210"/>
      <c r="M63" s="273"/>
      <c r="N63" s="273"/>
      <c r="O63" s="292">
        <f t="shared" si="1"/>
        <v>0</v>
      </c>
      <c r="P63" s="213">
        <v>29</v>
      </c>
      <c r="Q63" s="214">
        <v>29</v>
      </c>
      <c r="R63" s="215">
        <v>29</v>
      </c>
      <c r="S63" s="288">
        <f>9392.68+482.3+2027.39</f>
        <v>11902.369999999999</v>
      </c>
      <c r="T63" s="288">
        <f>9392.68+482.3+2027.39</f>
        <v>11902.369999999999</v>
      </c>
      <c r="U63" s="288">
        <f t="shared" si="2"/>
        <v>0</v>
      </c>
      <c r="V63" s="161"/>
      <c r="AO63"/>
      <c r="AP63"/>
    </row>
    <row r="64" spans="1:42" x14ac:dyDescent="0.25">
      <c r="A64" s="257">
        <v>50</v>
      </c>
      <c r="B64" s="99">
        <f t="shared" si="3"/>
        <v>55</v>
      </c>
      <c r="C64" s="167" t="s">
        <v>67</v>
      </c>
      <c r="D64" s="168" t="s">
        <v>124</v>
      </c>
      <c r="E64" s="101"/>
      <c r="F64" s="170" t="s">
        <v>106</v>
      </c>
      <c r="G64" s="72" t="s">
        <v>183</v>
      </c>
      <c r="H64" s="77">
        <v>105</v>
      </c>
      <c r="I64" s="210">
        <v>26</v>
      </c>
      <c r="J64" s="210">
        <v>27</v>
      </c>
      <c r="K64" s="209">
        <v>27</v>
      </c>
      <c r="L64" s="210">
        <v>25</v>
      </c>
      <c r="M64" s="273">
        <f>20271.52+2756+435</f>
        <v>23462.52</v>
      </c>
      <c r="N64" s="273">
        <f>20271.52+2756+435</f>
        <v>23462.52</v>
      </c>
      <c r="O64" s="292">
        <f t="shared" si="1"/>
        <v>0</v>
      </c>
      <c r="P64" s="213">
        <v>12</v>
      </c>
      <c r="Q64" s="214">
        <v>12</v>
      </c>
      <c r="R64" s="215">
        <v>12</v>
      </c>
      <c r="S64" s="288">
        <f>6866.56+548.1</f>
        <v>7414.6600000000008</v>
      </c>
      <c r="T64" s="288">
        <f>6866.56+548.1</f>
        <v>7414.6600000000008</v>
      </c>
      <c r="U64" s="288">
        <f t="shared" si="2"/>
        <v>0</v>
      </c>
      <c r="V64" s="161"/>
      <c r="AO64"/>
      <c r="AP64"/>
    </row>
    <row r="65" spans="1:42" x14ac:dyDescent="0.25">
      <c r="A65" s="257">
        <v>51</v>
      </c>
      <c r="B65" s="99">
        <f t="shared" si="3"/>
        <v>56</v>
      </c>
      <c r="C65" s="167" t="s">
        <v>68</v>
      </c>
      <c r="D65" s="168" t="s">
        <v>124</v>
      </c>
      <c r="E65" s="101"/>
      <c r="F65" s="170" t="s">
        <v>111</v>
      </c>
      <c r="G65" s="72" t="s">
        <v>184</v>
      </c>
      <c r="H65" s="77">
        <v>72</v>
      </c>
      <c r="I65" s="210">
        <v>66</v>
      </c>
      <c r="J65" s="210">
        <v>75</v>
      </c>
      <c r="K65" s="209">
        <v>75</v>
      </c>
      <c r="L65" s="210">
        <v>67</v>
      </c>
      <c r="M65" s="273">
        <f>21562.61+5719.7+1305+4149.27+2397.37+5906.18+1251.03+829.55+4633.7+2607.11+652.5+3265.4+1216.55+3027.02+4762.53+494.81</f>
        <v>63780.33</v>
      </c>
      <c r="N65" s="273">
        <f>21562.61+5719.7+1305+4149.27+2397.37+5906.18+1251.03+829.55+4633.7+2607.11+652.5+3265.4+1216.55+3027.02+4762.53+494.81</f>
        <v>63780.33</v>
      </c>
      <c r="O65" s="292">
        <f t="shared" si="1"/>
        <v>0</v>
      </c>
      <c r="P65" s="213">
        <v>11</v>
      </c>
      <c r="Q65" s="214">
        <v>11</v>
      </c>
      <c r="R65" s="215">
        <v>11</v>
      </c>
      <c r="S65" s="288">
        <f>7456.7+19131.63</f>
        <v>26588.33</v>
      </c>
      <c r="T65" s="288">
        <f>7456.7+19131.63</f>
        <v>26588.33</v>
      </c>
      <c r="U65" s="288">
        <f t="shared" si="2"/>
        <v>0</v>
      </c>
      <c r="V65" s="161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</row>
    <row r="66" spans="1:42" x14ac:dyDescent="0.25">
      <c r="A66" s="257">
        <v>52</v>
      </c>
      <c r="B66" s="99">
        <f t="shared" si="3"/>
        <v>57</v>
      </c>
      <c r="C66" s="177" t="s">
        <v>69</v>
      </c>
      <c r="D66" s="168" t="s">
        <v>124</v>
      </c>
      <c r="E66" s="101"/>
      <c r="F66" s="170" t="s">
        <v>106</v>
      </c>
      <c r="G66" s="72" t="s">
        <v>185</v>
      </c>
      <c r="H66" s="77">
        <v>3</v>
      </c>
      <c r="I66" s="210">
        <v>2</v>
      </c>
      <c r="J66" s="210">
        <v>3</v>
      </c>
      <c r="K66" s="209">
        <v>3</v>
      </c>
      <c r="L66" s="210">
        <v>3</v>
      </c>
      <c r="M66" s="273">
        <f>464.83+1653.6</f>
        <v>2118.4299999999998</v>
      </c>
      <c r="N66" s="273">
        <f>464.83+1653.6</f>
        <v>2118.4299999999998</v>
      </c>
      <c r="O66" s="292">
        <f t="shared" si="1"/>
        <v>0</v>
      </c>
      <c r="P66" s="213">
        <v>4</v>
      </c>
      <c r="Q66" s="214">
        <v>4</v>
      </c>
      <c r="R66" s="215">
        <v>4</v>
      </c>
      <c r="S66" s="288">
        <v>3148.1</v>
      </c>
      <c r="T66" s="288">
        <v>3148.1</v>
      </c>
      <c r="U66" s="288">
        <f t="shared" si="2"/>
        <v>0</v>
      </c>
      <c r="V66" s="161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</row>
    <row r="67" spans="1:42" x14ac:dyDescent="0.25">
      <c r="A67" s="257">
        <v>53</v>
      </c>
      <c r="B67" s="99">
        <f t="shared" si="3"/>
        <v>58</v>
      </c>
      <c r="C67" s="171" t="s">
        <v>70</v>
      </c>
      <c r="D67" s="168" t="s">
        <v>124</v>
      </c>
      <c r="E67" s="101"/>
      <c r="F67" s="170" t="s">
        <v>107</v>
      </c>
      <c r="G67" s="72" t="s">
        <v>186</v>
      </c>
      <c r="H67" s="77">
        <v>74</v>
      </c>
      <c r="I67" s="210">
        <v>60</v>
      </c>
      <c r="J67" s="210">
        <v>83</v>
      </c>
      <c r="K67" s="209">
        <v>83</v>
      </c>
      <c r="L67" s="210">
        <v>69</v>
      </c>
      <c r="M67" s="273">
        <f>57336.7+3808.64+5209.38</f>
        <v>66354.720000000001</v>
      </c>
      <c r="N67" s="273">
        <f>57336.7+3808.64+5209.38</f>
        <v>66354.720000000001</v>
      </c>
      <c r="O67" s="292">
        <f t="shared" si="1"/>
        <v>0</v>
      </c>
      <c r="P67" s="213">
        <v>11</v>
      </c>
      <c r="Q67" s="214">
        <v>11</v>
      </c>
      <c r="R67" s="215">
        <v>11</v>
      </c>
      <c r="S67" s="288">
        <f>8355.57+1548.48+8943.77</f>
        <v>18847.82</v>
      </c>
      <c r="T67" s="288">
        <f>8355.57+1548.48+8943.77</f>
        <v>18847.82</v>
      </c>
      <c r="U67" s="288">
        <f t="shared" si="2"/>
        <v>0</v>
      </c>
      <c r="V67" s="161"/>
      <c r="W67"/>
      <c r="X67"/>
      <c r="Y67"/>
      <c r="Z67"/>
      <c r="AA67"/>
      <c r="AB67"/>
      <c r="AC67"/>
      <c r="AD67"/>
      <c r="AE67"/>
      <c r="AF67" s="59"/>
      <c r="AG67"/>
      <c r="AH67"/>
      <c r="AI67"/>
      <c r="AJ67"/>
      <c r="AK67"/>
      <c r="AL67"/>
      <c r="AM67"/>
      <c r="AN67"/>
      <c r="AO67"/>
      <c r="AP67"/>
    </row>
    <row r="68" spans="1:42" x14ac:dyDescent="0.25">
      <c r="A68" s="257">
        <v>54</v>
      </c>
      <c r="B68" s="99">
        <f t="shared" si="3"/>
        <v>59</v>
      </c>
      <c r="C68" s="171" t="s">
        <v>71</v>
      </c>
      <c r="D68" s="168" t="s">
        <v>124</v>
      </c>
      <c r="E68" s="101"/>
      <c r="F68" s="170" t="s">
        <v>117</v>
      </c>
      <c r="G68" s="72" t="s">
        <v>187</v>
      </c>
      <c r="H68" s="77">
        <v>49</v>
      </c>
      <c r="I68" s="210">
        <v>41</v>
      </c>
      <c r="J68" s="210">
        <v>67</v>
      </c>
      <c r="K68" s="209">
        <v>67</v>
      </c>
      <c r="L68" s="210">
        <v>63</v>
      </c>
      <c r="M68" s="273">
        <v>55504.13</v>
      </c>
      <c r="N68" s="273">
        <v>55504.13</v>
      </c>
      <c r="O68" s="292">
        <f t="shared" si="1"/>
        <v>0</v>
      </c>
      <c r="P68" s="213">
        <v>11</v>
      </c>
      <c r="Q68" s="214">
        <v>11</v>
      </c>
      <c r="R68" s="215">
        <v>11</v>
      </c>
      <c r="S68" s="288">
        <v>6249.15</v>
      </c>
      <c r="T68" s="288">
        <v>6249.15</v>
      </c>
      <c r="U68" s="288">
        <f t="shared" si="2"/>
        <v>0</v>
      </c>
      <c r="V68" s="161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</row>
    <row r="69" spans="1:42" x14ac:dyDescent="0.25">
      <c r="A69" s="257">
        <v>55</v>
      </c>
      <c r="B69" s="99">
        <f t="shared" si="3"/>
        <v>60</v>
      </c>
      <c r="C69" s="171" t="s">
        <v>72</v>
      </c>
      <c r="D69" s="168" t="s">
        <v>124</v>
      </c>
      <c r="E69" s="106"/>
      <c r="F69" s="170" t="s">
        <v>106</v>
      </c>
      <c r="G69" s="72" t="s">
        <v>188</v>
      </c>
      <c r="H69" s="77">
        <v>40</v>
      </c>
      <c r="I69" s="210">
        <v>21</v>
      </c>
      <c r="J69" s="210">
        <v>19</v>
      </c>
      <c r="K69" s="209">
        <v>19</v>
      </c>
      <c r="L69" s="210">
        <v>12</v>
      </c>
      <c r="M69" s="273">
        <f>2756+1240.2+1305+1087.5+1232.5+2915.4+2429</f>
        <v>12965.6</v>
      </c>
      <c r="N69" s="273">
        <f>2756+1240.2+1305+1087.5+1232.5+2915.4+2429</f>
        <v>12965.6</v>
      </c>
      <c r="O69" s="292">
        <f t="shared" si="1"/>
        <v>0</v>
      </c>
      <c r="P69" s="213"/>
      <c r="Q69" s="214"/>
      <c r="R69" s="215"/>
      <c r="S69" s="288"/>
      <c r="T69" s="288"/>
      <c r="U69" s="288">
        <f t="shared" si="2"/>
        <v>0</v>
      </c>
      <c r="V69" s="161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</row>
    <row r="70" spans="1:42" x14ac:dyDescent="0.25">
      <c r="A70" s="257">
        <v>56</v>
      </c>
      <c r="B70" s="99">
        <f t="shared" si="3"/>
        <v>61</v>
      </c>
      <c r="C70" s="167" t="s">
        <v>73</v>
      </c>
      <c r="D70" s="168" t="s">
        <v>124</v>
      </c>
      <c r="E70" s="101"/>
      <c r="F70" s="170" t="s">
        <v>106</v>
      </c>
      <c r="G70" s="72" t="s">
        <v>189</v>
      </c>
      <c r="H70" s="77">
        <v>21</v>
      </c>
      <c r="I70" s="210">
        <v>16</v>
      </c>
      <c r="J70" s="210">
        <v>18</v>
      </c>
      <c r="K70" s="209">
        <v>18</v>
      </c>
      <c r="L70" s="210">
        <v>17</v>
      </c>
      <c r="M70" s="273">
        <f>15374.68+947.21+1450</f>
        <v>17771.89</v>
      </c>
      <c r="N70" s="273">
        <f>15374.68+947.21+1450</f>
        <v>17771.89</v>
      </c>
      <c r="O70" s="292">
        <f t="shared" si="1"/>
        <v>0</v>
      </c>
      <c r="P70" s="213">
        <v>7</v>
      </c>
      <c r="Q70" s="214">
        <v>7</v>
      </c>
      <c r="R70" s="215">
        <v>7</v>
      </c>
      <c r="S70" s="288">
        <f>3513.9+460.56+401.94</f>
        <v>4376.3999999999996</v>
      </c>
      <c r="T70" s="288">
        <f>3513.9+460.56+401.94</f>
        <v>4376.3999999999996</v>
      </c>
      <c r="U70" s="288">
        <f t="shared" si="2"/>
        <v>0</v>
      </c>
      <c r="V70" s="161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</row>
    <row r="71" spans="1:42" s="249" customFormat="1" x14ac:dyDescent="0.25">
      <c r="A71" s="257">
        <v>57</v>
      </c>
      <c r="B71" s="291">
        <f t="shared" si="3"/>
        <v>62</v>
      </c>
      <c r="C71" s="250" t="s">
        <v>74</v>
      </c>
      <c r="D71" s="251" t="s">
        <v>124</v>
      </c>
      <c r="E71" s="252"/>
      <c r="F71" s="253" t="s">
        <v>111</v>
      </c>
      <c r="G71" s="254" t="s">
        <v>190</v>
      </c>
      <c r="H71" s="255">
        <v>35</v>
      </c>
      <c r="I71" s="210">
        <v>24</v>
      </c>
      <c r="J71" s="210">
        <v>28</v>
      </c>
      <c r="K71" s="209">
        <v>28</v>
      </c>
      <c r="L71" s="210">
        <v>26</v>
      </c>
      <c r="M71" s="273">
        <f>2383.53+3781.9+7505.17+507+5161.87+1335.02+1152.8-3276.5+5715.74+5512.93</f>
        <v>29779.46</v>
      </c>
      <c r="N71" s="273">
        <f>2383.53+3781.9+7505.17+507+5161.87+1335.02+1152.8-3276.5+5715.74+5512.93</f>
        <v>29779.46</v>
      </c>
      <c r="O71" s="292">
        <f t="shared" si="1"/>
        <v>0</v>
      </c>
      <c r="P71" s="213">
        <v>26</v>
      </c>
      <c r="Q71" s="214">
        <v>26</v>
      </c>
      <c r="R71" s="215">
        <v>26</v>
      </c>
      <c r="S71" s="288">
        <f>52337.46+18000.02+1926.09+5518.42+2515.16</f>
        <v>80297.149999999994</v>
      </c>
      <c r="T71" s="288">
        <f>52337.46+18000.02+1926.09+5518.42+2515.16</f>
        <v>80297.149999999994</v>
      </c>
      <c r="U71" s="288">
        <f t="shared" si="2"/>
        <v>0</v>
      </c>
      <c r="V71" s="161"/>
      <c r="W71" s="243"/>
      <c r="X71" s="243"/>
      <c r="Y71" s="243"/>
      <c r="Z71" s="243"/>
      <c r="AA71" s="243"/>
      <c r="AB71" s="243"/>
      <c r="AC71" s="243"/>
      <c r="AD71" s="243"/>
      <c r="AE71" s="243"/>
      <c r="AF71" s="256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</row>
    <row r="72" spans="1:42" x14ac:dyDescent="0.25">
      <c r="A72" s="257">
        <v>58</v>
      </c>
      <c r="B72" s="99">
        <f t="shared" si="3"/>
        <v>63</v>
      </c>
      <c r="C72" s="171" t="s">
        <v>75</v>
      </c>
      <c r="D72" s="168" t="s">
        <v>124</v>
      </c>
      <c r="E72" s="101"/>
      <c r="F72" s="170" t="s">
        <v>118</v>
      </c>
      <c r="G72" s="72" t="s">
        <v>191</v>
      </c>
      <c r="H72" s="77">
        <v>31</v>
      </c>
      <c r="I72" s="210">
        <v>17</v>
      </c>
      <c r="J72" s="210">
        <v>25</v>
      </c>
      <c r="K72" s="209">
        <v>25</v>
      </c>
      <c r="L72" s="210">
        <v>19</v>
      </c>
      <c r="M72" s="273">
        <f>4704.53+544.32+1960.26+2120.63+1914.44+822.15+4802.54</f>
        <v>16868.87</v>
      </c>
      <c r="N72" s="273">
        <f>4704.53+544.32+1960.26+2120.63+1914.44+822.15+4802.54</f>
        <v>16868.87</v>
      </c>
      <c r="O72" s="292">
        <f t="shared" si="1"/>
        <v>0</v>
      </c>
      <c r="P72" s="213">
        <v>7</v>
      </c>
      <c r="Q72" s="214">
        <v>7</v>
      </c>
      <c r="R72" s="215">
        <v>7</v>
      </c>
      <c r="S72" s="288">
        <f>3959.69+961.38</f>
        <v>4921.07</v>
      </c>
      <c r="T72" s="288">
        <f>3959.69+961.38</f>
        <v>4921.07</v>
      </c>
      <c r="U72" s="288">
        <f t="shared" si="2"/>
        <v>0</v>
      </c>
      <c r="V72" s="161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</row>
    <row r="73" spans="1:42" x14ac:dyDescent="0.25">
      <c r="A73" s="257">
        <v>59</v>
      </c>
      <c r="B73" s="99">
        <f t="shared" si="3"/>
        <v>64</v>
      </c>
      <c r="C73" s="167" t="s">
        <v>76</v>
      </c>
      <c r="D73" s="168" t="s">
        <v>124</v>
      </c>
      <c r="E73" s="101"/>
      <c r="F73" s="167" t="s">
        <v>105</v>
      </c>
      <c r="G73" s="72" t="s">
        <v>192</v>
      </c>
      <c r="H73" s="77">
        <v>49</v>
      </c>
      <c r="I73" s="210">
        <v>36</v>
      </c>
      <c r="J73" s="210">
        <v>38</v>
      </c>
      <c r="K73" s="209">
        <v>38</v>
      </c>
      <c r="L73" s="210">
        <v>32</v>
      </c>
      <c r="M73" s="273">
        <f>2096.52+746.9+4941.1+3310.3+2104.91+2516.25+6797.48</f>
        <v>22513.46</v>
      </c>
      <c r="N73" s="273">
        <f>2096.52+746.9+4941.1+3310.3+2104.91+2516.25+6797.48</f>
        <v>22513.46</v>
      </c>
      <c r="O73" s="292">
        <f t="shared" si="1"/>
        <v>0</v>
      </c>
      <c r="P73" s="213">
        <v>8</v>
      </c>
      <c r="Q73" s="214">
        <v>8</v>
      </c>
      <c r="R73" s="215">
        <v>8</v>
      </c>
      <c r="S73" s="288">
        <f>1821.06+4580.19+1240.2+1963.25</f>
        <v>9604.7000000000007</v>
      </c>
      <c r="T73" s="288">
        <f>1821.06+4580.19+1240.2+1963.25</f>
        <v>9604.7000000000007</v>
      </c>
      <c r="U73" s="288">
        <f t="shared" si="2"/>
        <v>0</v>
      </c>
      <c r="V73" s="161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</row>
    <row r="74" spans="1:42" x14ac:dyDescent="0.25">
      <c r="B74" s="99">
        <f t="shared" si="3"/>
        <v>65</v>
      </c>
      <c r="C74" s="171" t="s">
        <v>77</v>
      </c>
      <c r="D74" s="168" t="s">
        <v>124</v>
      </c>
      <c r="E74" s="101"/>
      <c r="F74" s="167" t="s">
        <v>111</v>
      </c>
      <c r="G74" s="72" t="s">
        <v>225</v>
      </c>
      <c r="H74" s="77"/>
      <c r="I74" s="210"/>
      <c r="J74" s="210"/>
      <c r="K74" s="209"/>
      <c r="L74" s="210"/>
      <c r="M74" s="273"/>
      <c r="N74" s="273"/>
      <c r="O74" s="292">
        <f t="shared" si="1"/>
        <v>0</v>
      </c>
      <c r="P74" s="213">
        <v>1</v>
      </c>
      <c r="Q74" s="214">
        <v>1</v>
      </c>
      <c r="R74" s="215">
        <v>1</v>
      </c>
      <c r="S74" s="288">
        <v>3278.32</v>
      </c>
      <c r="T74" s="288">
        <v>3278.32</v>
      </c>
      <c r="U74" s="288">
        <f t="shared" si="2"/>
        <v>0</v>
      </c>
      <c r="V74" s="161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</row>
    <row r="75" spans="1:42" x14ac:dyDescent="0.25">
      <c r="A75" s="257">
        <v>60</v>
      </c>
      <c r="B75" s="99">
        <f t="shared" si="3"/>
        <v>66</v>
      </c>
      <c r="C75" s="167" t="s">
        <v>78</v>
      </c>
      <c r="D75" s="168" t="s">
        <v>124</v>
      </c>
      <c r="E75" s="101"/>
      <c r="F75" s="179" t="s">
        <v>119</v>
      </c>
      <c r="G75" s="72" t="s">
        <v>193</v>
      </c>
      <c r="H75" s="77">
        <v>66</v>
      </c>
      <c r="I75" s="210">
        <v>15</v>
      </c>
      <c r="J75" s="210">
        <v>31</v>
      </c>
      <c r="K75" s="209">
        <v>31</v>
      </c>
      <c r="L75" s="210">
        <v>17</v>
      </c>
      <c r="M75" s="273">
        <f>275.6+741.36+14287.26+2399.03+7204.43-12858+4132.5</f>
        <v>16182.18</v>
      </c>
      <c r="N75" s="273">
        <f>275.6+741.36+14287.26+2399.03+7204.43-12858+4132.5</f>
        <v>16182.18</v>
      </c>
      <c r="O75" s="292">
        <f t="shared" ref="O75:O104" si="4" xml:space="preserve"> (M75-N75)</f>
        <v>0</v>
      </c>
      <c r="P75" s="213">
        <v>3</v>
      </c>
      <c r="Q75" s="214">
        <v>3</v>
      </c>
      <c r="R75" s="215">
        <v>3</v>
      </c>
      <c r="S75" s="288">
        <f>617.03+725.77</f>
        <v>1342.8</v>
      </c>
      <c r="T75" s="288">
        <f>617.03+725.77</f>
        <v>1342.8</v>
      </c>
      <c r="U75" s="288">
        <f t="shared" ref="U75:U104" si="5" xml:space="preserve"> (S75-T75)</f>
        <v>0</v>
      </c>
      <c r="V75" s="161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</row>
    <row r="76" spans="1:42" x14ac:dyDescent="0.25">
      <c r="A76" s="257">
        <v>61</v>
      </c>
      <c r="B76" s="99">
        <f t="shared" si="3"/>
        <v>67</v>
      </c>
      <c r="C76" s="171" t="s">
        <v>79</v>
      </c>
      <c r="D76" s="168" t="s">
        <v>124</v>
      </c>
      <c r="E76" s="101"/>
      <c r="F76" s="170" t="s">
        <v>106</v>
      </c>
      <c r="G76" s="72" t="s">
        <v>194</v>
      </c>
      <c r="H76" s="77">
        <v>48</v>
      </c>
      <c r="I76" s="210">
        <v>41</v>
      </c>
      <c r="J76" s="210">
        <v>53</v>
      </c>
      <c r="K76" s="209">
        <v>53</v>
      </c>
      <c r="L76" s="210">
        <v>46</v>
      </c>
      <c r="M76" s="273">
        <f>11803.63+1320.23+3132.15+12104.63+822.42+4875.99+435.02+2678.15+3594.84+4069.8-0.4</f>
        <v>44836.46</v>
      </c>
      <c r="N76" s="273">
        <f>11803.63+1320.23+3132.15+12104.63+822.42+4875.99+435.02+2678.15+3594.84+4069.8-0.4</f>
        <v>44836.46</v>
      </c>
      <c r="O76" s="292">
        <f t="shared" si="4"/>
        <v>0</v>
      </c>
      <c r="P76" s="213">
        <v>5</v>
      </c>
      <c r="Q76" s="214">
        <v>5</v>
      </c>
      <c r="R76" s="215">
        <v>5</v>
      </c>
      <c r="S76" s="288">
        <f>5751.78+461.63</f>
        <v>6213.41</v>
      </c>
      <c r="T76" s="288">
        <f>5751.78+461.63</f>
        <v>6213.41</v>
      </c>
      <c r="U76" s="288">
        <f t="shared" si="5"/>
        <v>0</v>
      </c>
      <c r="V76" s="161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</row>
    <row r="77" spans="1:42" x14ac:dyDescent="0.25">
      <c r="A77" s="257">
        <v>62</v>
      </c>
      <c r="B77" s="99">
        <f t="shared" ref="B77:B101" si="6">B76+1</f>
        <v>68</v>
      </c>
      <c r="C77" s="171" t="s">
        <v>80</v>
      </c>
      <c r="D77" s="168" t="s">
        <v>124</v>
      </c>
      <c r="E77" s="101"/>
      <c r="F77" s="170" t="s">
        <v>106</v>
      </c>
      <c r="G77" s="72" t="s">
        <v>195</v>
      </c>
      <c r="H77" s="77">
        <v>32</v>
      </c>
      <c r="I77" s="210">
        <v>16</v>
      </c>
      <c r="J77" s="210">
        <v>26</v>
      </c>
      <c r="K77" s="209">
        <v>26</v>
      </c>
      <c r="L77" s="210">
        <v>22</v>
      </c>
      <c r="M77" s="273">
        <f>20900.61+4738.34</f>
        <v>25638.95</v>
      </c>
      <c r="N77" s="273">
        <f>20900.61+4738.34</f>
        <v>25638.95</v>
      </c>
      <c r="O77" s="292">
        <f t="shared" si="4"/>
        <v>0</v>
      </c>
      <c r="P77" s="213"/>
      <c r="Q77" s="214"/>
      <c r="R77" s="215"/>
      <c r="S77" s="288"/>
      <c r="T77" s="288"/>
      <c r="U77" s="288">
        <f t="shared" si="5"/>
        <v>0</v>
      </c>
      <c r="V77" s="161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</row>
    <row r="78" spans="1:42" x14ac:dyDescent="0.25">
      <c r="A78" s="257" t="s">
        <v>315</v>
      </c>
      <c r="B78" s="99">
        <f t="shared" si="6"/>
        <v>69</v>
      </c>
      <c r="C78" s="239" t="s">
        <v>81</v>
      </c>
      <c r="D78" s="168" t="s">
        <v>124</v>
      </c>
      <c r="E78" s="101"/>
      <c r="F78" s="167" t="s">
        <v>106</v>
      </c>
      <c r="G78" s="72" t="s">
        <v>226</v>
      </c>
      <c r="H78" s="77"/>
      <c r="I78" s="210"/>
      <c r="J78" s="210"/>
      <c r="K78" s="209"/>
      <c r="L78" s="210"/>
      <c r="M78" s="273"/>
      <c r="N78" s="273"/>
      <c r="O78" s="292">
        <f t="shared" si="4"/>
        <v>0</v>
      </c>
      <c r="P78" s="213">
        <v>9</v>
      </c>
      <c r="Q78" s="214">
        <v>9</v>
      </c>
      <c r="R78" s="215">
        <v>9</v>
      </c>
      <c r="S78" s="288">
        <f>3889.76+778.48</f>
        <v>4668.24</v>
      </c>
      <c r="T78" s="288">
        <f>3889.76+778.48</f>
        <v>4668.24</v>
      </c>
      <c r="U78" s="288">
        <f t="shared" si="5"/>
        <v>0</v>
      </c>
      <c r="V78" s="161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</row>
    <row r="79" spans="1:42" x14ac:dyDescent="0.25">
      <c r="A79" s="257">
        <v>63</v>
      </c>
      <c r="B79" s="99">
        <f t="shared" si="6"/>
        <v>70</v>
      </c>
      <c r="C79" s="180" t="s">
        <v>82</v>
      </c>
      <c r="D79" s="168" t="s">
        <v>124</v>
      </c>
      <c r="E79" s="101"/>
      <c r="F79" s="167" t="s">
        <v>106</v>
      </c>
      <c r="G79" s="72" t="s">
        <v>196</v>
      </c>
      <c r="H79" s="77">
        <v>27</v>
      </c>
      <c r="I79" s="210">
        <v>19</v>
      </c>
      <c r="J79" s="210">
        <v>28</v>
      </c>
      <c r="K79" s="209">
        <v>28</v>
      </c>
      <c r="L79" s="210">
        <v>27</v>
      </c>
      <c r="M79" s="273">
        <f>8913.81+7027.61+1244.33+15395.91+4278.3+2683.35+2527.95</f>
        <v>42071.259999999995</v>
      </c>
      <c r="N79" s="273">
        <f>8913.81+7027.61+1244.33+15395.91+4278.3+2683.35+2527.95</f>
        <v>42071.259999999995</v>
      </c>
      <c r="O79" s="292">
        <f t="shared" si="4"/>
        <v>0</v>
      </c>
      <c r="P79" s="213">
        <v>4</v>
      </c>
      <c r="Q79" s="214">
        <v>4</v>
      </c>
      <c r="R79" s="215">
        <v>4</v>
      </c>
      <c r="S79" s="288">
        <f>275.6+4163.58</f>
        <v>4439.18</v>
      </c>
      <c r="T79" s="288">
        <f>275.6+4163.58</f>
        <v>4439.18</v>
      </c>
      <c r="U79" s="288">
        <f t="shared" si="5"/>
        <v>0</v>
      </c>
      <c r="V79" s="161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</row>
    <row r="80" spans="1:42" x14ac:dyDescent="0.25">
      <c r="A80" s="257">
        <v>64</v>
      </c>
      <c r="B80" s="99">
        <f t="shared" si="6"/>
        <v>71</v>
      </c>
      <c r="C80" s="180" t="s">
        <v>83</v>
      </c>
      <c r="D80" s="168" t="s">
        <v>124</v>
      </c>
      <c r="E80" s="101"/>
      <c r="F80" s="167" t="s">
        <v>106</v>
      </c>
      <c r="G80" s="72" t="s">
        <v>197</v>
      </c>
      <c r="H80" s="77">
        <v>21</v>
      </c>
      <c r="I80" s="210">
        <v>16</v>
      </c>
      <c r="J80" s="210">
        <v>26</v>
      </c>
      <c r="K80" s="209">
        <v>26</v>
      </c>
      <c r="L80" s="210">
        <v>22</v>
      </c>
      <c r="M80" s="273">
        <f>14959.64+7384.39+14758.51+362.5+822.42+1311.95-361.5</f>
        <v>39237.909999999996</v>
      </c>
      <c r="N80" s="273">
        <f>14959.64+7384.39+14758.51+362.5+822.42+1311.95-361.5</f>
        <v>39237.909999999996</v>
      </c>
      <c r="O80" s="292">
        <f t="shared" si="4"/>
        <v>0</v>
      </c>
      <c r="P80" s="213">
        <v>11</v>
      </c>
      <c r="Q80" s="214">
        <v>11</v>
      </c>
      <c r="R80" s="215">
        <v>10</v>
      </c>
      <c r="S80" s="288">
        <f>13554.7+2057.24+454.74</f>
        <v>16066.68</v>
      </c>
      <c r="T80" s="288">
        <f>13554.7+2057.24+454.74</f>
        <v>16066.68</v>
      </c>
      <c r="U80" s="288">
        <f t="shared" si="5"/>
        <v>0</v>
      </c>
      <c r="V80" s="161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</row>
    <row r="81" spans="1:42" ht="20.100000000000001" customHeight="1" x14ac:dyDescent="0.25">
      <c r="A81" s="257">
        <v>65</v>
      </c>
      <c r="B81" s="99">
        <f t="shared" si="6"/>
        <v>72</v>
      </c>
      <c r="C81" s="171" t="s">
        <v>84</v>
      </c>
      <c r="D81" s="168" t="s">
        <v>124</v>
      </c>
      <c r="E81" s="101"/>
      <c r="F81" s="167" t="s">
        <v>120</v>
      </c>
      <c r="G81" s="72" t="s">
        <v>198</v>
      </c>
      <c r="H81" s="77">
        <v>4</v>
      </c>
      <c r="I81" s="210">
        <v>2</v>
      </c>
      <c r="J81" s="210">
        <v>4</v>
      </c>
      <c r="K81" s="209">
        <v>4</v>
      </c>
      <c r="L81" s="210">
        <v>3</v>
      </c>
      <c r="M81" s="273">
        <f>287.1+4641.98</f>
        <v>4929.08</v>
      </c>
      <c r="N81" s="273">
        <f>287.1+4641.98</f>
        <v>4929.08</v>
      </c>
      <c r="O81" s="292">
        <f t="shared" si="4"/>
        <v>0</v>
      </c>
      <c r="P81" s="213">
        <v>1</v>
      </c>
      <c r="Q81" s="214">
        <v>1</v>
      </c>
      <c r="R81" s="215">
        <v>1</v>
      </c>
      <c r="S81" s="288">
        <v>2673.24</v>
      </c>
      <c r="T81" s="288">
        <v>2673.24</v>
      </c>
      <c r="U81" s="288">
        <f t="shared" si="5"/>
        <v>0</v>
      </c>
      <c r="V81" s="161"/>
    </row>
    <row r="82" spans="1:42" ht="20.100000000000001" customHeight="1" x14ac:dyDescent="0.25">
      <c r="A82" s="257">
        <v>66</v>
      </c>
      <c r="B82" s="99">
        <f t="shared" si="6"/>
        <v>73</v>
      </c>
      <c r="C82" s="177" t="s">
        <v>85</v>
      </c>
      <c r="D82" s="168" t="s">
        <v>124</v>
      </c>
      <c r="E82" s="101"/>
      <c r="F82" s="174" t="s">
        <v>106</v>
      </c>
      <c r="G82" s="72" t="s">
        <v>199</v>
      </c>
      <c r="H82" s="77">
        <v>29</v>
      </c>
      <c r="I82" s="210">
        <v>19</v>
      </c>
      <c r="J82" s="210">
        <v>25</v>
      </c>
      <c r="K82" s="209">
        <v>25</v>
      </c>
      <c r="L82" s="210">
        <v>19</v>
      </c>
      <c r="M82" s="273">
        <f>2626.75+8084.46+600.05+7445.83+942.5+668.95+1283.25+574.2</f>
        <v>22225.989999999998</v>
      </c>
      <c r="N82" s="273">
        <f>2626.75+8084.46+600.05+7445.83+942.5+668.95+1283.25+574.2</f>
        <v>22225.989999999998</v>
      </c>
      <c r="O82" s="292">
        <f t="shared" si="4"/>
        <v>0</v>
      </c>
      <c r="P82" s="213">
        <v>10</v>
      </c>
      <c r="Q82" s="214">
        <v>10</v>
      </c>
      <c r="R82" s="215">
        <v>10</v>
      </c>
      <c r="S82" s="288">
        <f>15935.59+881.06+1714.6+1015.59</f>
        <v>19546.84</v>
      </c>
      <c r="T82" s="288">
        <f>15935.59+881.06+1714.6+1015.59</f>
        <v>19546.84</v>
      </c>
      <c r="U82" s="288">
        <f t="shared" si="5"/>
        <v>0</v>
      </c>
      <c r="V82" s="161"/>
    </row>
    <row r="83" spans="1:42" ht="20.100000000000001" customHeight="1" x14ac:dyDescent="0.25">
      <c r="A83" s="257">
        <v>67</v>
      </c>
      <c r="B83" s="99">
        <f t="shared" si="6"/>
        <v>74</v>
      </c>
      <c r="C83" s="167" t="s">
        <v>86</v>
      </c>
      <c r="D83" s="168" t="s">
        <v>124</v>
      </c>
      <c r="E83" s="101"/>
      <c r="F83" s="178" t="s">
        <v>118</v>
      </c>
      <c r="G83" s="72" t="s">
        <v>200</v>
      </c>
      <c r="H83" s="77">
        <v>32</v>
      </c>
      <c r="I83" s="210">
        <v>25</v>
      </c>
      <c r="J83" s="210">
        <v>37</v>
      </c>
      <c r="K83" s="209">
        <v>37</v>
      </c>
      <c r="L83" s="210">
        <v>30</v>
      </c>
      <c r="M83" s="273">
        <f>11233.31+3440.1+14435.12-1360.99+3088.95+2556.06+1891.38+763.69</f>
        <v>36047.619999999995</v>
      </c>
      <c r="N83" s="273">
        <f>11233.31+3440.1+14435.12-1360.99+3088.95+2556.06+1891.38+763.69</f>
        <v>36047.619999999995</v>
      </c>
      <c r="O83" s="292">
        <f t="shared" si="4"/>
        <v>0</v>
      </c>
      <c r="P83" s="213">
        <v>7</v>
      </c>
      <c r="Q83" s="214">
        <v>7</v>
      </c>
      <c r="R83" s="215">
        <v>7</v>
      </c>
      <c r="S83" s="288">
        <f>6465.89+3406.65+1360.99</f>
        <v>11233.53</v>
      </c>
      <c r="T83" s="288">
        <f>6465.89+3406.65+1360.99</f>
        <v>11233.53</v>
      </c>
      <c r="U83" s="288">
        <f t="shared" si="5"/>
        <v>0</v>
      </c>
      <c r="V83" s="161"/>
    </row>
    <row r="84" spans="1:42" ht="20.100000000000001" customHeight="1" x14ac:dyDescent="0.25">
      <c r="A84" s="257">
        <v>68</v>
      </c>
      <c r="B84" s="99">
        <f t="shared" si="6"/>
        <v>75</v>
      </c>
      <c r="C84" s="167" t="s">
        <v>87</v>
      </c>
      <c r="D84" s="168" t="s">
        <v>124</v>
      </c>
      <c r="E84" s="101"/>
      <c r="F84" s="178" t="s">
        <v>115</v>
      </c>
      <c r="G84" s="72" t="s">
        <v>201</v>
      </c>
      <c r="H84" s="77">
        <v>25</v>
      </c>
      <c r="I84" s="210">
        <v>17</v>
      </c>
      <c r="J84" s="210">
        <v>29</v>
      </c>
      <c r="K84" s="209">
        <v>29</v>
      </c>
      <c r="L84" s="210">
        <v>27</v>
      </c>
      <c r="M84" s="273">
        <f>5429.56+2272.28+2029.9+2976.46+1243.6+3190.51+1864.46</f>
        <v>19006.77</v>
      </c>
      <c r="N84" s="273">
        <f>5429.56+2272.28+2029.9+2976.46+1243.6+3190.51+1864.46</f>
        <v>19006.77</v>
      </c>
      <c r="O84" s="292">
        <f t="shared" si="4"/>
        <v>0</v>
      </c>
      <c r="P84" s="213">
        <v>2</v>
      </c>
      <c r="Q84" s="214">
        <v>2</v>
      </c>
      <c r="R84" s="215">
        <v>1</v>
      </c>
      <c r="S84" s="288">
        <v>1515.31</v>
      </c>
      <c r="T84" s="288">
        <v>1515.31</v>
      </c>
      <c r="U84" s="288">
        <f t="shared" si="5"/>
        <v>0</v>
      </c>
      <c r="V84" s="161"/>
    </row>
    <row r="85" spans="1:42" ht="20.100000000000001" customHeight="1" x14ac:dyDescent="0.25">
      <c r="A85" s="257">
        <v>70</v>
      </c>
      <c r="B85" s="99">
        <f t="shared" si="6"/>
        <v>76</v>
      </c>
      <c r="C85" s="171" t="s">
        <v>88</v>
      </c>
      <c r="D85" s="168" t="s">
        <v>124</v>
      </c>
      <c r="E85" s="101"/>
      <c r="F85" s="170" t="s">
        <v>121</v>
      </c>
      <c r="G85" s="72" t="s">
        <v>203</v>
      </c>
      <c r="H85" s="77">
        <v>63</v>
      </c>
      <c r="I85" s="210">
        <v>50</v>
      </c>
      <c r="J85" s="210">
        <v>81</v>
      </c>
      <c r="K85" s="209">
        <v>81</v>
      </c>
      <c r="L85" s="210">
        <v>66</v>
      </c>
      <c r="M85" s="273">
        <f>15506.09+4089.12+1924.78+1267.55+6546.86+1962.04+654.22+1080.22+392.95+1059.68+8180.45+435+1409.81+1010.65</f>
        <v>45519.419999999991</v>
      </c>
      <c r="N85" s="273">
        <f>15506.09+4089.12+1924.78+1267.55+6546.86+1962.04+654.22+1080.22+392.95+1059.68+8180.45+435+1409.81+1010.65</f>
        <v>45519.419999999991</v>
      </c>
      <c r="O85" s="292">
        <f t="shared" si="4"/>
        <v>0</v>
      </c>
      <c r="P85" s="213">
        <v>5</v>
      </c>
      <c r="Q85" s="214">
        <v>5</v>
      </c>
      <c r="R85" s="215">
        <v>5</v>
      </c>
      <c r="S85" s="288">
        <f>2068.47+2492.49</f>
        <v>4560.9599999999991</v>
      </c>
      <c r="T85" s="288">
        <f>2068.47+2492.49</f>
        <v>4560.9599999999991</v>
      </c>
      <c r="U85" s="288">
        <f t="shared" si="5"/>
        <v>0</v>
      </c>
      <c r="V85" s="161"/>
    </row>
    <row r="86" spans="1:42" ht="20.100000000000001" customHeight="1" x14ac:dyDescent="0.25">
      <c r="A86" s="257">
        <v>69</v>
      </c>
      <c r="B86" s="99">
        <f t="shared" si="6"/>
        <v>77</v>
      </c>
      <c r="C86" s="180" t="s">
        <v>89</v>
      </c>
      <c r="D86" s="168" t="s">
        <v>124</v>
      </c>
      <c r="E86" s="101"/>
      <c r="F86" s="174" t="s">
        <v>106</v>
      </c>
      <c r="G86" s="72" t="s">
        <v>202</v>
      </c>
      <c r="H86" s="77">
        <v>23</v>
      </c>
      <c r="I86" s="210">
        <v>18</v>
      </c>
      <c r="J86" s="210">
        <v>21</v>
      </c>
      <c r="K86" s="209">
        <v>21</v>
      </c>
      <c r="L86" s="210">
        <v>21</v>
      </c>
      <c r="M86" s="273">
        <f>1957.76+1128.38+1752.82+1595+1761.46+1724.05</f>
        <v>9919.4699999999993</v>
      </c>
      <c r="N86" s="273">
        <f>1957.76+1128.38+1752.82+1595+1761.46+1724.05</f>
        <v>9919.4699999999993</v>
      </c>
      <c r="O86" s="292">
        <f t="shared" si="4"/>
        <v>0</v>
      </c>
      <c r="P86" s="213">
        <v>2</v>
      </c>
      <c r="Q86" s="214">
        <v>2</v>
      </c>
      <c r="R86" s="215">
        <v>2</v>
      </c>
      <c r="S86" s="288">
        <v>839.18</v>
      </c>
      <c r="T86" s="288">
        <v>839.18</v>
      </c>
      <c r="U86" s="288">
        <f t="shared" si="5"/>
        <v>0</v>
      </c>
      <c r="V86" s="161"/>
    </row>
    <row r="87" spans="1:42" ht="20.25" customHeight="1" x14ac:dyDescent="0.25">
      <c r="A87" s="257">
        <v>71</v>
      </c>
      <c r="B87" s="99">
        <f t="shared" si="6"/>
        <v>78</v>
      </c>
      <c r="C87" s="180" t="s">
        <v>90</v>
      </c>
      <c r="D87" s="168" t="s">
        <v>124</v>
      </c>
      <c r="E87" s="101"/>
      <c r="F87" s="174" t="s">
        <v>106</v>
      </c>
      <c r="G87" s="72" t="s">
        <v>204</v>
      </c>
      <c r="H87" s="77">
        <v>10</v>
      </c>
      <c r="I87" s="210">
        <v>8</v>
      </c>
      <c r="J87" s="210">
        <v>14</v>
      </c>
      <c r="K87" s="209">
        <v>14</v>
      </c>
      <c r="L87" s="210">
        <v>13</v>
      </c>
      <c r="M87" s="273">
        <f>795.8+4099.92+1305+358.88+1643.65+1026.38+1265.93+430.65+21</f>
        <v>10947.210000000001</v>
      </c>
      <c r="N87" s="273">
        <f>795.8+4099.92+1305+358.88+1643.65+1026.38+1265.93+430.65+21</f>
        <v>10947.210000000001</v>
      </c>
      <c r="O87" s="292">
        <f t="shared" si="4"/>
        <v>0</v>
      </c>
      <c r="P87" s="213">
        <v>6</v>
      </c>
      <c r="Q87" s="214">
        <v>6</v>
      </c>
      <c r="R87" s="215">
        <v>6</v>
      </c>
      <c r="S87" s="288">
        <f>2723.78+3718.48+4265.16+4595.62</f>
        <v>15303.04</v>
      </c>
      <c r="T87" s="288">
        <f>2723.78+3718.48+4265.16+4595.62</f>
        <v>15303.04</v>
      </c>
      <c r="U87" s="288">
        <f t="shared" si="5"/>
        <v>0</v>
      </c>
      <c r="V87" s="161"/>
    </row>
    <row r="88" spans="1:42" ht="20.100000000000001" customHeight="1" x14ac:dyDescent="0.25">
      <c r="B88" s="99">
        <f t="shared" si="6"/>
        <v>79</v>
      </c>
      <c r="C88" s="167" t="s">
        <v>91</v>
      </c>
      <c r="D88" s="168" t="s">
        <v>124</v>
      </c>
      <c r="E88" s="101"/>
      <c r="F88" s="170" t="s">
        <v>111</v>
      </c>
      <c r="G88" s="72" t="s">
        <v>231</v>
      </c>
      <c r="H88" s="77">
        <v>1</v>
      </c>
      <c r="I88" s="210"/>
      <c r="J88" s="210"/>
      <c r="K88" s="209"/>
      <c r="L88" s="210"/>
      <c r="M88" s="273"/>
      <c r="N88" s="273"/>
      <c r="O88" s="292">
        <f t="shared" si="4"/>
        <v>0</v>
      </c>
      <c r="P88" s="213">
        <v>6</v>
      </c>
      <c r="Q88" s="214">
        <v>6</v>
      </c>
      <c r="R88" s="215">
        <v>6</v>
      </c>
      <c r="S88" s="288">
        <v>7502.29</v>
      </c>
      <c r="T88" s="288">
        <v>7502.29</v>
      </c>
      <c r="U88" s="288">
        <f t="shared" si="5"/>
        <v>0</v>
      </c>
      <c r="V88" s="161"/>
    </row>
    <row r="89" spans="1:42" ht="20.100000000000001" customHeight="1" x14ac:dyDescent="0.25">
      <c r="A89" s="257">
        <v>72</v>
      </c>
      <c r="B89" s="99">
        <f t="shared" si="6"/>
        <v>80</v>
      </c>
      <c r="C89" s="167" t="s">
        <v>92</v>
      </c>
      <c r="D89" s="168" t="s">
        <v>124</v>
      </c>
      <c r="E89" s="101"/>
      <c r="F89" s="174" t="s">
        <v>106</v>
      </c>
      <c r="G89" s="72" t="s">
        <v>205</v>
      </c>
      <c r="H89" s="77">
        <v>20</v>
      </c>
      <c r="I89" s="210">
        <v>14</v>
      </c>
      <c r="J89" s="210">
        <v>16</v>
      </c>
      <c r="K89" s="209">
        <v>16</v>
      </c>
      <c r="L89" s="210">
        <v>11</v>
      </c>
      <c r="M89" s="273">
        <f>2874.33+1509.2+1943+315.81+145+874.35+533.98</f>
        <v>8195.67</v>
      </c>
      <c r="N89" s="273">
        <f>2874.33+1509.2+1943+315.81+145+874.35+533.98</f>
        <v>8195.67</v>
      </c>
      <c r="O89" s="292">
        <f t="shared" si="4"/>
        <v>0</v>
      </c>
      <c r="P89" s="213">
        <v>8</v>
      </c>
      <c r="Q89" s="214">
        <v>8</v>
      </c>
      <c r="R89" s="215">
        <v>8</v>
      </c>
      <c r="S89" s="288">
        <f>8161.92+1118.75+3779.58+1127.2+2077.34</f>
        <v>16264.79</v>
      </c>
      <c r="T89" s="288">
        <f>8161.92+1118.75+3779.58+1127.2+2077.34</f>
        <v>16264.79</v>
      </c>
      <c r="U89" s="288">
        <f t="shared" si="5"/>
        <v>0</v>
      </c>
      <c r="V89" s="161"/>
    </row>
    <row r="90" spans="1:42" ht="20.100000000000001" customHeight="1" x14ac:dyDescent="0.25">
      <c r="A90" s="257">
        <v>73</v>
      </c>
      <c r="B90" s="99">
        <f t="shared" si="6"/>
        <v>81</v>
      </c>
      <c r="C90" s="171" t="s">
        <v>93</v>
      </c>
      <c r="D90" s="168" t="s">
        <v>124</v>
      </c>
      <c r="E90" s="101"/>
      <c r="F90" s="170" t="s">
        <v>122</v>
      </c>
      <c r="G90" s="72" t="s">
        <v>206</v>
      </c>
      <c r="H90" s="77">
        <v>72</v>
      </c>
      <c r="I90" s="210">
        <v>64</v>
      </c>
      <c r="J90" s="210">
        <v>111</v>
      </c>
      <c r="K90" s="209">
        <v>111</v>
      </c>
      <c r="L90" s="210">
        <v>92</v>
      </c>
      <c r="M90" s="273">
        <f>14303.46+6714.67+1828.05+13505.93+582.9+8733.75+358.88+2031-1990+16472.8+9266.84</f>
        <v>71808.28</v>
      </c>
      <c r="N90" s="273">
        <f>14303.46+6714.67+1828.05+13505.93+582.9+8733.75+358.88+2031-1990+16472.8+9266.84</f>
        <v>71808.28</v>
      </c>
      <c r="O90" s="292">
        <f t="shared" si="4"/>
        <v>0</v>
      </c>
      <c r="P90" s="213">
        <v>8</v>
      </c>
      <c r="Q90" s="214">
        <v>8</v>
      </c>
      <c r="R90" s="215">
        <v>8</v>
      </c>
      <c r="S90" s="288">
        <v>3130.8</v>
      </c>
      <c r="T90" s="288">
        <v>3130.8</v>
      </c>
      <c r="U90" s="288">
        <f t="shared" si="5"/>
        <v>0</v>
      </c>
      <c r="V90" s="161"/>
    </row>
    <row r="91" spans="1:42" ht="20.100000000000001" customHeight="1" x14ac:dyDescent="0.25">
      <c r="A91" s="257">
        <v>74</v>
      </c>
      <c r="B91" s="99">
        <f t="shared" si="6"/>
        <v>82</v>
      </c>
      <c r="C91" s="171" t="s">
        <v>94</v>
      </c>
      <c r="D91" s="168" t="s">
        <v>124</v>
      </c>
      <c r="E91" s="101"/>
      <c r="F91" s="174" t="s">
        <v>106</v>
      </c>
      <c r="G91" s="72" t="s">
        <v>218</v>
      </c>
      <c r="H91" s="77">
        <v>36</v>
      </c>
      <c r="I91" s="210">
        <v>21</v>
      </c>
      <c r="J91" s="210">
        <v>34</v>
      </c>
      <c r="K91" s="209">
        <v>34</v>
      </c>
      <c r="L91" s="210">
        <v>32</v>
      </c>
      <c r="M91" s="273">
        <f>5384.83+3572.76+8100.09+725+145+1865.54-8102.05+6090.38</f>
        <v>17781.550000000003</v>
      </c>
      <c r="N91" s="273">
        <f>5384.83+3572.76+8100.09+725+145+1865.54-8102.05+6090.38</f>
        <v>17781.550000000003</v>
      </c>
      <c r="O91" s="292">
        <f t="shared" si="4"/>
        <v>0</v>
      </c>
      <c r="P91" s="213">
        <v>9</v>
      </c>
      <c r="Q91" s="214">
        <v>9</v>
      </c>
      <c r="R91" s="215">
        <v>7</v>
      </c>
      <c r="S91" s="288">
        <f>6219.66+748.35+1502.94</f>
        <v>8470.9500000000007</v>
      </c>
      <c r="T91" s="288">
        <f>6219.66+748.35+1502.94</f>
        <v>8470.9500000000007</v>
      </c>
      <c r="U91" s="288">
        <f t="shared" si="5"/>
        <v>0</v>
      </c>
      <c r="V91" s="161"/>
    </row>
    <row r="92" spans="1:42" ht="20.100000000000001" customHeight="1" x14ac:dyDescent="0.25">
      <c r="A92" s="257">
        <v>75</v>
      </c>
      <c r="B92" s="99">
        <f t="shared" si="6"/>
        <v>83</v>
      </c>
      <c r="C92" s="171" t="s">
        <v>95</v>
      </c>
      <c r="D92" s="168" t="s">
        <v>124</v>
      </c>
      <c r="E92" s="101"/>
      <c r="F92" s="174" t="s">
        <v>123</v>
      </c>
      <c r="G92" s="72" t="s">
        <v>217</v>
      </c>
      <c r="H92" s="77">
        <v>27</v>
      </c>
      <c r="I92" s="210">
        <v>20</v>
      </c>
      <c r="J92" s="210">
        <v>30</v>
      </c>
      <c r="K92" s="209">
        <v>30</v>
      </c>
      <c r="L92" s="210">
        <v>30</v>
      </c>
      <c r="M92" s="273">
        <f>2301.54+4352.56+3555.69+1798.94+1481.14+763.69+2342.6+947.21+1435.6+2658.12+788.44+3552.5+1744.93</f>
        <v>27722.959999999995</v>
      </c>
      <c r="N92" s="273">
        <f>2301.54+4352.56+3555.69+1798.94+1481.14+763.69+2342.6+947.21+1435.6+2658.12+788.44+3552.5+1744.93</f>
        <v>27722.959999999995</v>
      </c>
      <c r="O92" s="292">
        <f t="shared" si="4"/>
        <v>0</v>
      </c>
      <c r="P92" s="213">
        <v>1</v>
      </c>
      <c r="Q92" s="214">
        <v>1</v>
      </c>
      <c r="R92" s="215">
        <v>1</v>
      </c>
      <c r="S92" s="288">
        <v>206.7</v>
      </c>
      <c r="T92" s="288">
        <v>206.7</v>
      </c>
      <c r="U92" s="288">
        <f t="shared" si="5"/>
        <v>0</v>
      </c>
      <c r="V92" s="161"/>
    </row>
    <row r="93" spans="1:42" ht="20.100000000000001" customHeight="1" x14ac:dyDescent="0.25">
      <c r="A93" s="257">
        <v>76</v>
      </c>
      <c r="B93" s="99">
        <f t="shared" si="6"/>
        <v>84</v>
      </c>
      <c r="C93" s="171" t="s">
        <v>96</v>
      </c>
      <c r="D93" s="168" t="s">
        <v>124</v>
      </c>
      <c r="E93" s="101"/>
      <c r="F93" s="178" t="s">
        <v>112</v>
      </c>
      <c r="G93" s="72" t="s">
        <v>216</v>
      </c>
      <c r="H93" s="77">
        <v>131</v>
      </c>
      <c r="I93" s="210">
        <v>113</v>
      </c>
      <c r="J93" s="210">
        <v>132</v>
      </c>
      <c r="K93" s="209">
        <v>132</v>
      </c>
      <c r="L93" s="210">
        <v>109</v>
      </c>
      <c r="M93" s="273">
        <f>14656.12+3543.47+2420.25+2112.66+1299.21+2099.6+145+12320.24+7256.93+7391.73+3180.78+6298.93+4674.22+14249.72+7391.73-1965.34+2961.89-7862.9</f>
        <v>82174.239999999991</v>
      </c>
      <c r="N93" s="273">
        <f>14656.12+3543.47+2420.25+2112.66+1299.21+2099.6+145+12320.24+7256.93+7391.73+3180.78+6298.93+4674.22+14249.72+7391.73-1965.34+2961.89-7862.9</f>
        <v>82174.239999999991</v>
      </c>
      <c r="O93" s="292">
        <f t="shared" si="4"/>
        <v>0</v>
      </c>
      <c r="P93" s="213">
        <v>12</v>
      </c>
      <c r="Q93" s="214">
        <v>12</v>
      </c>
      <c r="R93" s="215">
        <v>11</v>
      </c>
      <c r="S93" s="288">
        <f>11083.64+344.5+3682.91</f>
        <v>15111.05</v>
      </c>
      <c r="T93" s="288">
        <f>11083.64+344.5+3682.91</f>
        <v>15111.05</v>
      </c>
      <c r="U93" s="288">
        <f t="shared" si="5"/>
        <v>0</v>
      </c>
      <c r="V93" s="161"/>
      <c r="AF93" s="145"/>
    </row>
    <row r="94" spans="1:42" s="58" customFormat="1" ht="20.100000000000001" customHeight="1" x14ac:dyDescent="0.25">
      <c r="A94" s="257">
        <v>77</v>
      </c>
      <c r="B94" s="99">
        <f t="shared" si="6"/>
        <v>85</v>
      </c>
      <c r="C94" s="171" t="s">
        <v>97</v>
      </c>
      <c r="D94" s="168" t="s">
        <v>124</v>
      </c>
      <c r="E94" s="101"/>
      <c r="F94" s="170" t="s">
        <v>111</v>
      </c>
      <c r="G94" s="72" t="s">
        <v>215</v>
      </c>
      <c r="H94" s="77">
        <v>53</v>
      </c>
      <c r="I94" s="210">
        <v>29</v>
      </c>
      <c r="J94" s="210">
        <v>41</v>
      </c>
      <c r="K94" s="210">
        <v>41</v>
      </c>
      <c r="L94" s="210">
        <v>38</v>
      </c>
      <c r="M94" s="273">
        <f>6576.32+217.5+2898.52+939.6+1008.45+1200.17+3722.95+4136.2+2392.5+736.89+7024.11+3460.88+3411.85</f>
        <v>37725.94</v>
      </c>
      <c r="N94" s="273">
        <f>6576.32+217.5+2898.52+939.6+1008.45+1200.17+3722.95+4136.2+2392.5+736.89+7024.11+3460.88+3411.85</f>
        <v>37725.94</v>
      </c>
      <c r="O94" s="292">
        <f t="shared" si="4"/>
        <v>0</v>
      </c>
      <c r="P94" s="213">
        <v>25</v>
      </c>
      <c r="Q94" s="215">
        <v>25</v>
      </c>
      <c r="R94" s="215">
        <v>24</v>
      </c>
      <c r="S94" s="288">
        <f>18253.04+4245.2+858.65+1546.26+14802.65</f>
        <v>39705.800000000003</v>
      </c>
      <c r="T94" s="288">
        <f>18253.04+4245.2+858.65+1546.26+14802.65</f>
        <v>39705.800000000003</v>
      </c>
      <c r="U94" s="288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257">
        <v>78</v>
      </c>
      <c r="B95" s="99">
        <f t="shared" si="6"/>
        <v>86</v>
      </c>
      <c r="C95" s="167" t="s">
        <v>98</v>
      </c>
      <c r="D95" s="168" t="s">
        <v>124</v>
      </c>
      <c r="E95" s="101"/>
      <c r="F95" s="174" t="s">
        <v>106</v>
      </c>
      <c r="G95" s="72" t="s">
        <v>214</v>
      </c>
      <c r="H95" s="77">
        <v>38</v>
      </c>
      <c r="I95" s="210">
        <v>18</v>
      </c>
      <c r="J95" s="210">
        <v>29</v>
      </c>
      <c r="K95" s="209">
        <v>29</v>
      </c>
      <c r="L95" s="210">
        <v>22</v>
      </c>
      <c r="M95" s="273">
        <f>2362.32+22110.36+455.21+2039.58+953.22+699.73+275.6+9654.91+1049.72+185.88+466.54-377.07+2356.1</f>
        <v>42232.1</v>
      </c>
      <c r="N95" s="273">
        <f>2362.32+22110.36+455.21+2039.58+953.22+699.73+275.6+9654.91+1049.72+185.88+466.54-377.07+2356.1</f>
        <v>42232.1</v>
      </c>
      <c r="O95" s="292">
        <f t="shared" si="4"/>
        <v>0</v>
      </c>
      <c r="P95" s="213">
        <v>17</v>
      </c>
      <c r="Q95" s="214">
        <v>17</v>
      </c>
      <c r="R95" s="215">
        <v>16</v>
      </c>
      <c r="S95" s="288">
        <f>24552.24+1001.28+122.46+1729.98-1</f>
        <v>27404.959999999999</v>
      </c>
      <c r="T95" s="288">
        <f>24552.24+1001.28+122.46+1729.98-1</f>
        <v>27404.959999999999</v>
      </c>
      <c r="U95" s="288">
        <f t="shared" si="5"/>
        <v>0</v>
      </c>
      <c r="V95" s="161"/>
    </row>
    <row r="96" spans="1:42" ht="20.100000000000001" customHeight="1" x14ac:dyDescent="0.25">
      <c r="A96" s="257">
        <v>80</v>
      </c>
      <c r="B96" s="99">
        <f t="shared" si="6"/>
        <v>87</v>
      </c>
      <c r="C96" s="167" t="s">
        <v>129</v>
      </c>
      <c r="D96" s="168" t="s">
        <v>124</v>
      </c>
      <c r="E96" s="101"/>
      <c r="F96" s="174" t="s">
        <v>106</v>
      </c>
      <c r="G96" s="72" t="s">
        <v>212</v>
      </c>
      <c r="H96" s="77">
        <v>11</v>
      </c>
      <c r="I96" s="210">
        <v>9</v>
      </c>
      <c r="J96" s="210">
        <v>13</v>
      </c>
      <c r="K96" s="209">
        <v>13</v>
      </c>
      <c r="L96" s="210">
        <v>12</v>
      </c>
      <c r="M96" s="273">
        <f>826.8+2786.41+2401.3+725</f>
        <v>6739.51</v>
      </c>
      <c r="N96" s="273">
        <f>826.8+2786.41+2401.3+725</f>
        <v>6739.51</v>
      </c>
      <c r="O96" s="292">
        <f t="shared" si="4"/>
        <v>0</v>
      </c>
      <c r="P96" s="213"/>
      <c r="Q96" s="214"/>
      <c r="R96" s="215"/>
      <c r="S96" s="288"/>
      <c r="T96" s="288"/>
      <c r="U96" s="288">
        <f t="shared" si="5"/>
        <v>0</v>
      </c>
      <c r="V96" s="161"/>
    </row>
    <row r="97" spans="1:42" x14ac:dyDescent="0.25">
      <c r="A97" s="257">
        <v>79</v>
      </c>
      <c r="B97" s="99">
        <f t="shared" si="6"/>
        <v>88</v>
      </c>
      <c r="C97" s="167" t="s">
        <v>99</v>
      </c>
      <c r="D97" s="168" t="s">
        <v>124</v>
      </c>
      <c r="E97" s="101"/>
      <c r="F97" s="174" t="s">
        <v>106</v>
      </c>
      <c r="G97" s="72" t="s">
        <v>213</v>
      </c>
      <c r="H97" s="77">
        <v>15</v>
      </c>
      <c r="I97" s="210">
        <v>9</v>
      </c>
      <c r="J97" s="210">
        <v>9</v>
      </c>
      <c r="K97" s="209">
        <v>9</v>
      </c>
      <c r="L97" s="210">
        <v>8</v>
      </c>
      <c r="M97" s="273">
        <f>3172.93+1457.25+380.63</f>
        <v>5010.8100000000004</v>
      </c>
      <c r="N97" s="273">
        <f>3172.93+1457.25+380.63</f>
        <v>5010.8100000000004</v>
      </c>
      <c r="O97" s="292">
        <f t="shared" si="4"/>
        <v>0</v>
      </c>
      <c r="P97" s="213">
        <v>5</v>
      </c>
      <c r="Q97" s="214">
        <v>5</v>
      </c>
      <c r="R97" s="215">
        <v>4</v>
      </c>
      <c r="S97" s="288">
        <v>1744.35</v>
      </c>
      <c r="T97" s="288">
        <v>1744.35</v>
      </c>
      <c r="U97" s="288">
        <f t="shared" si="5"/>
        <v>0</v>
      </c>
      <c r="V97" s="161"/>
      <c r="AJ97"/>
      <c r="AK97"/>
      <c r="AL97"/>
      <c r="AM97"/>
      <c r="AN97"/>
      <c r="AO97"/>
      <c r="AP97"/>
    </row>
    <row r="98" spans="1:42" x14ac:dyDescent="0.25">
      <c r="A98" s="257">
        <v>81</v>
      </c>
      <c r="B98" s="99">
        <f t="shared" si="6"/>
        <v>89</v>
      </c>
      <c r="C98" s="177" t="s">
        <v>100</v>
      </c>
      <c r="D98" s="168" t="s">
        <v>124</v>
      </c>
      <c r="E98" s="101"/>
      <c r="F98" s="174" t="s">
        <v>106</v>
      </c>
      <c r="G98" s="72" t="s">
        <v>211</v>
      </c>
      <c r="H98" s="77">
        <v>23</v>
      </c>
      <c r="I98" s="210">
        <v>14</v>
      </c>
      <c r="J98" s="210">
        <v>16</v>
      </c>
      <c r="K98" s="209">
        <v>16</v>
      </c>
      <c r="L98" s="210">
        <v>15</v>
      </c>
      <c r="M98" s="273">
        <f>757.9+551.2+895.7+290+725+841.2+290+725+2.07+275.6</f>
        <v>5353.67</v>
      </c>
      <c r="N98" s="273">
        <f>757.9+551.2+895.7+290+725+841.2+290+725+2.07+275.6</f>
        <v>5353.67</v>
      </c>
      <c r="O98" s="292">
        <f t="shared" si="4"/>
        <v>0</v>
      </c>
      <c r="P98" s="213">
        <v>13</v>
      </c>
      <c r="Q98" s="214">
        <v>13</v>
      </c>
      <c r="R98" s="215">
        <v>13</v>
      </c>
      <c r="S98" s="288">
        <f>8034.56+3466.13+4060.73+413.4</f>
        <v>15974.82</v>
      </c>
      <c r="T98" s="288">
        <f>8034.56+3466.13+4060.73+413.4</f>
        <v>15974.82</v>
      </c>
      <c r="U98" s="288">
        <f t="shared" si="5"/>
        <v>0</v>
      </c>
      <c r="V98" s="161"/>
      <c r="AJ98"/>
      <c r="AK98"/>
      <c r="AL98"/>
      <c r="AM98"/>
      <c r="AN98"/>
      <c r="AO98"/>
      <c r="AP98"/>
    </row>
    <row r="99" spans="1:42" x14ac:dyDescent="0.25">
      <c r="A99" s="257">
        <v>82</v>
      </c>
      <c r="B99" s="99">
        <f t="shared" si="6"/>
        <v>90</v>
      </c>
      <c r="C99" s="177" t="s">
        <v>101</v>
      </c>
      <c r="D99" s="168" t="s">
        <v>124</v>
      </c>
      <c r="E99" s="101"/>
      <c r="F99" s="170" t="s">
        <v>106</v>
      </c>
      <c r="G99" s="72" t="s">
        <v>210</v>
      </c>
      <c r="H99" s="77">
        <v>30</v>
      </c>
      <c r="I99" s="210">
        <v>22</v>
      </c>
      <c r="J99" s="210">
        <v>30</v>
      </c>
      <c r="K99" s="209">
        <v>30</v>
      </c>
      <c r="L99" s="210">
        <v>26</v>
      </c>
      <c r="M99" s="273">
        <f>4783.23+1353.89+2195.41+1197.7+1340.79+681.5+699.48+1909.51+3782.49</f>
        <v>17944</v>
      </c>
      <c r="N99" s="273">
        <f>4783.23+1353.89+2195.41+1197.7+1340.79+681.5+699.48+1909.51+3782.49</f>
        <v>17944</v>
      </c>
      <c r="O99" s="292">
        <f t="shared" si="4"/>
        <v>0</v>
      </c>
      <c r="P99" s="213">
        <v>12</v>
      </c>
      <c r="Q99" s="214">
        <v>12</v>
      </c>
      <c r="R99" s="215">
        <v>12</v>
      </c>
      <c r="S99" s="288">
        <f>12321.66+1021.27+487.2+781.96</f>
        <v>14612.09</v>
      </c>
      <c r="T99" s="288">
        <f>12321.66+1021.27+487.2+781.96</f>
        <v>14612.09</v>
      </c>
      <c r="U99" s="288">
        <f t="shared" si="5"/>
        <v>0</v>
      </c>
      <c r="V99" s="161"/>
      <c r="AJ99"/>
      <c r="AK99"/>
      <c r="AL99"/>
      <c r="AM99"/>
      <c r="AN99"/>
      <c r="AO99"/>
      <c r="AP99"/>
    </row>
    <row r="100" spans="1:42" x14ac:dyDescent="0.25">
      <c r="A100" s="257">
        <v>83</v>
      </c>
      <c r="B100" s="99">
        <f t="shared" si="6"/>
        <v>91</v>
      </c>
      <c r="C100" s="177" t="s">
        <v>102</v>
      </c>
      <c r="D100" s="168" t="s">
        <v>124</v>
      </c>
      <c r="E100" s="101"/>
      <c r="F100" s="170" t="s">
        <v>106</v>
      </c>
      <c r="G100" s="72" t="s">
        <v>209</v>
      </c>
      <c r="H100" s="77">
        <v>62</v>
      </c>
      <c r="I100" s="210">
        <v>21</v>
      </c>
      <c r="J100" s="210">
        <v>30</v>
      </c>
      <c r="K100" s="209">
        <v>30</v>
      </c>
      <c r="L100" s="210">
        <v>26</v>
      </c>
      <c r="M100" s="273">
        <f>10862.96+2375.03+5632.11+356.47+2077.94+875.35+630.95+4495</f>
        <v>27305.809999999998</v>
      </c>
      <c r="N100" s="273">
        <f>10862.96+2375.03+5632.11+356.47+2077.94+875.35+630.95+4495</f>
        <v>27305.809999999998</v>
      </c>
      <c r="O100" s="292">
        <f t="shared" si="4"/>
        <v>0</v>
      </c>
      <c r="P100" s="213">
        <v>11</v>
      </c>
      <c r="Q100" s="214">
        <v>11</v>
      </c>
      <c r="R100" s="215">
        <v>11</v>
      </c>
      <c r="S100" s="288">
        <f>4780.1+2135.9+620.1+1812.5</f>
        <v>9348.6</v>
      </c>
      <c r="T100" s="288">
        <f>4780.1+2135.9+620.1+1812.5</f>
        <v>9348.6</v>
      </c>
      <c r="U100" s="288">
        <f t="shared" si="5"/>
        <v>0</v>
      </c>
      <c r="V100" s="161"/>
      <c r="AF100" s="145"/>
      <c r="AJ100"/>
      <c r="AK100"/>
      <c r="AL100"/>
      <c r="AM100"/>
      <c r="AN100"/>
      <c r="AO100"/>
      <c r="AP100"/>
    </row>
    <row r="101" spans="1:42" x14ac:dyDescent="0.25">
      <c r="A101" s="257">
        <v>84</v>
      </c>
      <c r="B101" s="99">
        <f t="shared" si="6"/>
        <v>92</v>
      </c>
      <c r="C101" s="171" t="s">
        <v>103</v>
      </c>
      <c r="D101" s="168" t="s">
        <v>124</v>
      </c>
      <c r="E101" s="101"/>
      <c r="F101" s="178" t="s">
        <v>112</v>
      </c>
      <c r="G101" s="72" t="s">
        <v>208</v>
      </c>
      <c r="H101" s="77">
        <v>117</v>
      </c>
      <c r="I101" s="210">
        <v>86</v>
      </c>
      <c r="J101" s="210">
        <v>98</v>
      </c>
      <c r="K101" s="209">
        <v>98</v>
      </c>
      <c r="L101" s="210">
        <v>75</v>
      </c>
      <c r="M101" s="273">
        <f>16276.16+4466.66+1078.5+4011.53+435+1493.5+2243.15+1864.7+4804.86+840+5133.33+10737-380.89+4398.6+7811.98+1459.39+2529.16</f>
        <v>69202.63</v>
      </c>
      <c r="N101" s="273">
        <f>16276.16+4466.66+1078.5+4011.53+435+1493.5+2243.15+1864.7+4804.86+840+5133.33+10737-380.89+4398.6+7811.98+1459.39+2529.16</f>
        <v>69202.63</v>
      </c>
      <c r="O101" s="292">
        <f t="shared" si="4"/>
        <v>0</v>
      </c>
      <c r="P101" s="213">
        <v>38</v>
      </c>
      <c r="Q101" s="214">
        <v>38</v>
      </c>
      <c r="R101" s="215">
        <v>37</v>
      </c>
      <c r="S101" s="288">
        <f>21329.45-2252.12+532.3+345.99+26455.28+1.67+3039.85-3960.98+551.2+1658+1218+2016.16</f>
        <v>50934.799999999996</v>
      </c>
      <c r="T101" s="288">
        <f>21329.45-2252.12+532.3+345.99+26455.28+1.67+3039.85-3960.98+551.2+1658+1218+2016.16</f>
        <v>50934.799999999996</v>
      </c>
      <c r="U101" s="288">
        <f t="shared" si="5"/>
        <v>0</v>
      </c>
      <c r="V101" s="161"/>
      <c r="AH101" s="145"/>
      <c r="AJ101"/>
      <c r="AK101"/>
      <c r="AL101"/>
      <c r="AM101"/>
      <c r="AN101"/>
      <c r="AO101"/>
      <c r="AP101"/>
    </row>
    <row r="102" spans="1:42" x14ac:dyDescent="0.25">
      <c r="A102" s="257">
        <v>85</v>
      </c>
      <c r="B102" s="115">
        <f>B101+1</f>
        <v>93</v>
      </c>
      <c r="C102" s="181" t="s">
        <v>104</v>
      </c>
      <c r="D102" s="182" t="s">
        <v>124</v>
      </c>
      <c r="E102" s="112"/>
      <c r="F102" s="183" t="s">
        <v>106</v>
      </c>
      <c r="G102" s="118" t="s">
        <v>207</v>
      </c>
      <c r="H102" s="113">
        <v>16</v>
      </c>
      <c r="I102" s="217">
        <v>11</v>
      </c>
      <c r="J102" s="217">
        <v>15</v>
      </c>
      <c r="K102" s="216">
        <v>14</v>
      </c>
      <c r="L102" s="217">
        <v>14</v>
      </c>
      <c r="M102" s="293">
        <f>3259.83+1328.19+2964.21+8477.2+2525.13+577.1+702.39</f>
        <v>19834.05</v>
      </c>
      <c r="N102" s="293">
        <f>3259.83+1328.19+2964.21+8477.2+2525.13+577.1+702.39</f>
        <v>19834.05</v>
      </c>
      <c r="O102" s="292">
        <f t="shared" si="4"/>
        <v>0</v>
      </c>
      <c r="P102" s="219">
        <v>5</v>
      </c>
      <c r="Q102" s="220">
        <v>5</v>
      </c>
      <c r="R102" s="221">
        <v>5</v>
      </c>
      <c r="S102" s="290">
        <f>1193.3+5843.89</f>
        <v>7037.1900000000005</v>
      </c>
      <c r="T102" s="290">
        <f>1193.3+5843.89</f>
        <v>7037.1900000000005</v>
      </c>
      <c r="U102" s="290">
        <f t="shared" si="5"/>
        <v>0</v>
      </c>
      <c r="V102" s="161"/>
      <c r="AJ102"/>
      <c r="AK102"/>
      <c r="AL102"/>
      <c r="AM102"/>
      <c r="AN102"/>
      <c r="AO102"/>
      <c r="AP102"/>
    </row>
    <row r="103" spans="1:42" x14ac:dyDescent="0.25">
      <c r="A103" s="257">
        <v>88</v>
      </c>
      <c r="B103" s="106">
        <v>94</v>
      </c>
      <c r="C103" s="167" t="s">
        <v>258</v>
      </c>
      <c r="D103" s="182" t="s">
        <v>124</v>
      </c>
      <c r="E103" s="101"/>
      <c r="F103" s="173" t="s">
        <v>106</v>
      </c>
      <c r="G103" s="118" t="s">
        <v>261</v>
      </c>
      <c r="H103" s="75">
        <v>31</v>
      </c>
      <c r="I103" s="210">
        <v>8</v>
      </c>
      <c r="J103" s="210">
        <v>10</v>
      </c>
      <c r="K103" s="209">
        <v>10</v>
      </c>
      <c r="L103" s="210">
        <v>10</v>
      </c>
      <c r="M103" s="273">
        <f>699.33+580+1941.55+1384.15</f>
        <v>4605.0300000000007</v>
      </c>
      <c r="N103" s="273">
        <f>699.33+580+1941.55+1384.15</f>
        <v>4605.0300000000007</v>
      </c>
      <c r="O103" s="292">
        <f t="shared" si="4"/>
        <v>0</v>
      </c>
      <c r="P103" s="215"/>
      <c r="Q103" s="214"/>
      <c r="R103" s="215"/>
      <c r="S103" s="288"/>
      <c r="T103" s="288"/>
      <c r="U103" s="290">
        <f t="shared" si="5"/>
        <v>0</v>
      </c>
      <c r="V103" s="161"/>
      <c r="AJ103"/>
      <c r="AK103"/>
      <c r="AL103"/>
      <c r="AM103"/>
      <c r="AN103"/>
      <c r="AO103"/>
      <c r="AP103"/>
    </row>
    <row r="104" spans="1:42" x14ac:dyDescent="0.25">
      <c r="B104" s="106">
        <v>95</v>
      </c>
      <c r="C104" s="167" t="s">
        <v>242</v>
      </c>
      <c r="D104" s="182" t="s">
        <v>124</v>
      </c>
      <c r="E104" s="101"/>
      <c r="F104" s="173" t="s">
        <v>117</v>
      </c>
      <c r="G104" s="118" t="s">
        <v>274</v>
      </c>
      <c r="H104" s="158">
        <v>3</v>
      </c>
      <c r="I104" s="210">
        <v>2</v>
      </c>
      <c r="J104" s="210">
        <v>2</v>
      </c>
      <c r="K104" s="209">
        <v>2</v>
      </c>
      <c r="L104" s="210">
        <v>2</v>
      </c>
      <c r="M104" s="273">
        <v>2252.12</v>
      </c>
      <c r="N104" s="273">
        <v>2252.12</v>
      </c>
      <c r="O104" s="292">
        <f t="shared" si="4"/>
        <v>0</v>
      </c>
      <c r="P104" s="215"/>
      <c r="Q104" s="214"/>
      <c r="R104" s="215"/>
      <c r="S104" s="288"/>
      <c r="T104" s="288"/>
      <c r="U104" s="288">
        <f t="shared" si="5"/>
        <v>0</v>
      </c>
      <c r="V104" s="161"/>
      <c r="W104" s="145"/>
      <c r="AF104" s="145"/>
      <c r="AH104" s="145"/>
      <c r="AJ104"/>
      <c r="AK104"/>
      <c r="AL104"/>
      <c r="AM104"/>
      <c r="AN104"/>
      <c r="AO104"/>
      <c r="AP104"/>
    </row>
    <row r="105" spans="1:42" x14ac:dyDescent="0.25">
      <c r="B105" s="362"/>
      <c r="C105" s="362"/>
      <c r="D105" s="362"/>
      <c r="E105" s="362"/>
      <c r="F105" s="362"/>
      <c r="G105" s="362"/>
      <c r="H105" s="119">
        <f t="shared" ref="H105:O105" si="7">SUM(H10:H104)</f>
        <v>3415</v>
      </c>
      <c r="I105" s="223">
        <f t="shared" si="7"/>
        <v>2219</v>
      </c>
      <c r="J105" s="223">
        <f t="shared" si="7"/>
        <v>3009</v>
      </c>
      <c r="K105" s="222">
        <f t="shared" si="7"/>
        <v>3002</v>
      </c>
      <c r="L105" s="223">
        <f t="shared" si="7"/>
        <v>2611</v>
      </c>
      <c r="M105" s="224">
        <f t="shared" si="7"/>
        <v>2220749.7999999989</v>
      </c>
      <c r="N105" s="224">
        <f t="shared" si="7"/>
        <v>2220749.7999999989</v>
      </c>
      <c r="O105" s="224">
        <f t="shared" si="7"/>
        <v>0</v>
      </c>
      <c r="P105" s="225">
        <f>SUM(P10:P104)</f>
        <v>796</v>
      </c>
      <c r="Q105" s="226">
        <f>SUM(Q10:Q104)</f>
        <v>796</v>
      </c>
      <c r="R105" s="225">
        <f>SUM(R11:R104)</f>
        <v>766</v>
      </c>
      <c r="S105" s="263">
        <f>SUM(S10:S104)</f>
        <v>1087008.4000000001</v>
      </c>
      <c r="T105" s="263">
        <f>SUM(T10:T104)</f>
        <v>1087008.4000000001</v>
      </c>
      <c r="U105" s="263">
        <f>SUM(U10:U104)</f>
        <v>0</v>
      </c>
      <c r="V105" s="244"/>
      <c r="W105" s="245"/>
      <c r="X105" s="246"/>
      <c r="Y105" s="245"/>
      <c r="Z105" s="246"/>
      <c r="AA105" s="245"/>
      <c r="AB105" s="246"/>
      <c r="AC105" s="246"/>
      <c r="AD105" s="246"/>
      <c r="AE105" s="246"/>
      <c r="AF105" s="245"/>
      <c r="AG105" s="245"/>
      <c r="AH105" s="236"/>
      <c r="AJ105"/>
      <c r="AK105"/>
      <c r="AL105"/>
      <c r="AM105"/>
      <c r="AN105"/>
      <c r="AO105"/>
      <c r="AP105"/>
    </row>
    <row r="106" spans="1:42" x14ac:dyDescent="0.25">
      <c r="V106" s="245"/>
      <c r="W106" s="245"/>
      <c r="X106" s="246"/>
      <c r="Y106" s="245"/>
      <c r="Z106" s="246"/>
      <c r="AA106" s="246"/>
      <c r="AB106" s="246"/>
      <c r="AC106" s="246"/>
      <c r="AD106" s="246"/>
      <c r="AE106" s="246"/>
      <c r="AF106" s="245"/>
      <c r="AG106" s="246"/>
      <c r="AH106" s="235"/>
      <c r="AJ106"/>
      <c r="AK106"/>
      <c r="AL106"/>
      <c r="AM106"/>
      <c r="AN106"/>
      <c r="AO106"/>
      <c r="AP106"/>
    </row>
    <row r="107" spans="1:42" x14ac:dyDescent="0.25">
      <c r="V107" s="245"/>
      <c r="W107" s="245"/>
      <c r="X107" s="246"/>
      <c r="Y107" s="246"/>
      <c r="Z107" s="246"/>
      <c r="AA107" s="246"/>
      <c r="AB107" s="246"/>
      <c r="AC107" s="246"/>
      <c r="AD107" s="246"/>
      <c r="AE107" s="246"/>
      <c r="AF107" s="245"/>
      <c r="AG107" s="245"/>
      <c r="AH107" s="234"/>
      <c r="AI107" s="145"/>
      <c r="AJ107" s="59"/>
      <c r="AK107"/>
      <c r="AL107"/>
      <c r="AM107"/>
      <c r="AN107"/>
      <c r="AO107"/>
      <c r="AP107"/>
    </row>
    <row r="108" spans="1:42" x14ac:dyDescent="0.25">
      <c r="V108" s="145"/>
      <c r="W108" s="145"/>
      <c r="AF108" s="234"/>
      <c r="AG108" s="234"/>
      <c r="AH108" s="235"/>
      <c r="AJ108"/>
      <c r="AK108"/>
      <c r="AL108"/>
      <c r="AM108"/>
      <c r="AN108"/>
      <c r="AO108"/>
      <c r="AP108"/>
    </row>
    <row r="109" spans="1:42" x14ac:dyDescent="0.25">
      <c r="V109" s="145"/>
      <c r="AF109" s="235"/>
      <c r="AG109" s="235"/>
      <c r="AH109" s="234"/>
      <c r="AJ109"/>
      <c r="AK109"/>
      <c r="AL109"/>
      <c r="AM109"/>
      <c r="AN109"/>
      <c r="AO109"/>
      <c r="AP109"/>
    </row>
    <row r="110" spans="1:42" x14ac:dyDescent="0.25">
      <c r="V110" s="145"/>
      <c r="AF110" s="235"/>
      <c r="AG110" s="235"/>
      <c r="AH110" s="234"/>
      <c r="AJ110"/>
      <c r="AK110"/>
      <c r="AL110"/>
      <c r="AM110"/>
      <c r="AN110"/>
      <c r="AO110"/>
      <c r="AP110"/>
    </row>
    <row r="111" spans="1:42" x14ac:dyDescent="0.25">
      <c r="AF111" s="235"/>
      <c r="AG111" s="235"/>
      <c r="AH111" s="235"/>
      <c r="AJ111"/>
      <c r="AK111"/>
      <c r="AL111"/>
      <c r="AM111"/>
      <c r="AN111"/>
      <c r="AO111"/>
      <c r="AP111"/>
    </row>
    <row r="112" spans="1:42" x14ac:dyDescent="0.25">
      <c r="AF112" s="235"/>
      <c r="AG112" s="235"/>
      <c r="AH112" s="235"/>
      <c r="AJ112"/>
      <c r="AK112"/>
      <c r="AL112"/>
      <c r="AM112"/>
      <c r="AN112"/>
      <c r="AO112"/>
      <c r="AP112"/>
    </row>
    <row r="113" spans="1:42" ht="15" x14ac:dyDescent="0.25">
      <c r="A113" s="258"/>
      <c r="B113"/>
      <c r="C113"/>
      <c r="D113"/>
      <c r="E113"/>
      <c r="F113"/>
      <c r="G113"/>
      <c r="H113"/>
      <c r="I113"/>
      <c r="J113" s="243"/>
      <c r="K113" s="243"/>
      <c r="L113" s="243"/>
      <c r="M113" s="243"/>
      <c r="N113" s="243"/>
      <c r="O113" s="243"/>
      <c r="P113" s="243"/>
      <c r="Q113" s="243"/>
      <c r="R113" s="243"/>
      <c r="S113" s="265"/>
      <c r="T113" s="265"/>
      <c r="U113" s="287"/>
      <c r="V113" s="59"/>
      <c r="W113"/>
      <c r="X113"/>
      <c r="Y113"/>
      <c r="Z113"/>
      <c r="AA113"/>
      <c r="AB113"/>
      <c r="AC113"/>
      <c r="AD113"/>
      <c r="AE113"/>
      <c r="AF113" s="235"/>
      <c r="AG113" s="235"/>
      <c r="AH113" s="235"/>
      <c r="AI113"/>
      <c r="AJ113"/>
      <c r="AK113"/>
      <c r="AL113"/>
      <c r="AM113"/>
      <c r="AN113"/>
      <c r="AO113"/>
      <c r="AP113"/>
    </row>
    <row r="114" spans="1:42" ht="15" x14ac:dyDescent="0.25">
      <c r="A114" s="258"/>
      <c r="B114"/>
      <c r="C114"/>
      <c r="D114"/>
      <c r="E114"/>
      <c r="F114"/>
      <c r="G114"/>
      <c r="H114"/>
      <c r="I114"/>
      <c r="J114" s="243"/>
      <c r="K114" s="243"/>
      <c r="L114" s="243"/>
      <c r="M114" s="243"/>
      <c r="N114" s="243"/>
      <c r="O114" s="243"/>
      <c r="P114" s="243"/>
      <c r="Q114" s="243"/>
      <c r="R114" s="243"/>
      <c r="S114" s="265"/>
      <c r="T114" s="265"/>
      <c r="U114" s="265"/>
      <c r="V114"/>
      <c r="W114"/>
      <c r="X114"/>
      <c r="Y114"/>
      <c r="Z114"/>
      <c r="AA114"/>
      <c r="AB114"/>
      <c r="AC114"/>
      <c r="AD114"/>
      <c r="AE114"/>
      <c r="AF114" s="235"/>
      <c r="AG114" s="235"/>
      <c r="AH114" s="235"/>
      <c r="AI114"/>
      <c r="AJ114"/>
      <c r="AK114"/>
      <c r="AL114"/>
      <c r="AM114"/>
      <c r="AN114"/>
      <c r="AO114"/>
      <c r="AP114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conditionalFormatting sqref="S45">
    <cfRule type="cellIs" dxfId="76" priority="34" stopIfTrue="1" operator="equal">
      <formula>0</formula>
    </cfRule>
  </conditionalFormatting>
  <conditionalFormatting sqref="AL45">
    <cfRule type="cellIs" dxfId="75" priority="33" stopIfTrue="1" operator="equal">
      <formula>0</formula>
    </cfRule>
  </conditionalFormatting>
  <conditionalFormatting sqref="T45">
    <cfRule type="cellIs" dxfId="74" priority="32" stopIfTrue="1" operator="equal">
      <formula>0</formula>
    </cfRule>
  </conditionalFormatting>
  <conditionalFormatting sqref="T45">
    <cfRule type="cellIs" dxfId="73" priority="31" stopIfTrue="1" operator="equal">
      <formula>0</formula>
    </cfRule>
  </conditionalFormatting>
  <conditionalFormatting sqref="T45">
    <cfRule type="cellIs" dxfId="72" priority="30" stopIfTrue="1" operator="equal">
      <formula>0</formula>
    </cfRule>
  </conditionalFormatting>
  <conditionalFormatting sqref="T45">
    <cfRule type="cellIs" dxfId="71" priority="29" stopIfTrue="1" operator="equal">
      <formula>0</formula>
    </cfRule>
  </conditionalFormatting>
  <conditionalFormatting sqref="T45">
    <cfRule type="cellIs" dxfId="70" priority="28" stopIfTrue="1" operator="equal">
      <formula>0</formula>
    </cfRule>
  </conditionalFormatting>
  <conditionalFormatting sqref="T45">
    <cfRule type="cellIs" dxfId="69" priority="27" stopIfTrue="1" operator="equal">
      <formula>0</formula>
    </cfRule>
  </conditionalFormatting>
  <conditionalFormatting sqref="T45">
    <cfRule type="cellIs" dxfId="68" priority="26" stopIfTrue="1" operator="equal">
      <formula>0</formula>
    </cfRule>
  </conditionalFormatting>
  <conditionalFormatting sqref="T45">
    <cfRule type="cellIs" dxfId="67" priority="25" stopIfTrue="1" operator="equal">
      <formula>0</formula>
    </cfRule>
  </conditionalFormatting>
  <conditionalFormatting sqref="T45">
    <cfRule type="cellIs" dxfId="66" priority="24" stopIfTrue="1" operator="equal">
      <formula>0</formula>
    </cfRule>
  </conditionalFormatting>
  <conditionalFormatting sqref="S45">
    <cfRule type="cellIs" dxfId="65" priority="23" stopIfTrue="1" operator="equal">
      <formula>0</formula>
    </cfRule>
  </conditionalFormatting>
  <conditionalFormatting sqref="T45">
    <cfRule type="cellIs" dxfId="64" priority="22" stopIfTrue="1" operator="equal">
      <formula>0</formula>
    </cfRule>
  </conditionalFormatting>
  <conditionalFormatting sqref="T45">
    <cfRule type="cellIs" dxfId="63" priority="21" stopIfTrue="1" operator="equal">
      <formula>0</formula>
    </cfRule>
  </conditionalFormatting>
  <conditionalFormatting sqref="T45">
    <cfRule type="cellIs" dxfId="62" priority="20" stopIfTrue="1" operator="equal">
      <formula>0</formula>
    </cfRule>
  </conditionalFormatting>
  <conditionalFormatting sqref="T45">
    <cfRule type="cellIs" dxfId="61" priority="19" stopIfTrue="1" operator="equal">
      <formula>0</formula>
    </cfRule>
  </conditionalFormatting>
  <conditionalFormatting sqref="T45">
    <cfRule type="cellIs" dxfId="60" priority="18" stopIfTrue="1" operator="equal">
      <formula>0</formula>
    </cfRule>
  </conditionalFormatting>
  <conditionalFormatting sqref="T45">
    <cfRule type="cellIs" dxfId="59" priority="17" stopIfTrue="1" operator="equal">
      <formula>0</formula>
    </cfRule>
  </conditionalFormatting>
  <conditionalFormatting sqref="T45">
    <cfRule type="cellIs" dxfId="58" priority="16" stopIfTrue="1" operator="equal">
      <formula>0</formula>
    </cfRule>
  </conditionalFormatting>
  <conditionalFormatting sqref="T45">
    <cfRule type="cellIs" dxfId="57" priority="15" stopIfTrue="1" operator="equal">
      <formula>0</formula>
    </cfRule>
  </conditionalFormatting>
  <conditionalFormatting sqref="T45">
    <cfRule type="cellIs" dxfId="56" priority="14" stopIfTrue="1" operator="equal">
      <formula>0</formula>
    </cfRule>
  </conditionalFormatting>
  <conditionalFormatting sqref="S45">
    <cfRule type="cellIs" dxfId="55" priority="13" stopIfTrue="1" operator="equal">
      <formula>0</formula>
    </cfRule>
  </conditionalFormatting>
  <conditionalFormatting sqref="T45">
    <cfRule type="cellIs" dxfId="54" priority="12" stopIfTrue="1" operator="equal">
      <formula>0</formula>
    </cfRule>
  </conditionalFormatting>
  <conditionalFormatting sqref="T45">
    <cfRule type="cellIs" dxfId="53" priority="11" stopIfTrue="1" operator="equal">
      <formula>0</formula>
    </cfRule>
  </conditionalFormatting>
  <conditionalFormatting sqref="T45">
    <cfRule type="cellIs" dxfId="52" priority="10" stopIfTrue="1" operator="equal">
      <formula>0</formula>
    </cfRule>
  </conditionalFormatting>
  <conditionalFormatting sqref="T45">
    <cfRule type="cellIs" dxfId="51" priority="9" stopIfTrue="1" operator="equal">
      <formula>0</formula>
    </cfRule>
  </conditionalFormatting>
  <conditionalFormatting sqref="T45">
    <cfRule type="cellIs" dxfId="50" priority="8" stopIfTrue="1" operator="equal">
      <formula>0</formula>
    </cfRule>
  </conditionalFormatting>
  <conditionalFormatting sqref="T45">
    <cfRule type="cellIs" dxfId="49" priority="7" stopIfTrue="1" operator="equal">
      <formula>0</formula>
    </cfRule>
  </conditionalFormatting>
  <conditionalFormatting sqref="T45">
    <cfRule type="cellIs" dxfId="48" priority="6" stopIfTrue="1" operator="equal">
      <formula>0</formula>
    </cfRule>
  </conditionalFormatting>
  <conditionalFormatting sqref="T45">
    <cfRule type="cellIs" dxfId="47" priority="5" stopIfTrue="1" operator="equal">
      <formula>0</formula>
    </cfRule>
  </conditionalFormatting>
  <conditionalFormatting sqref="T45">
    <cfRule type="cellIs" dxfId="46" priority="4" stopIfTrue="1" operator="equal">
      <formula>0</formula>
    </cfRule>
  </conditionalFormatting>
  <conditionalFormatting sqref="T45">
    <cfRule type="cellIs" dxfId="45" priority="3" stopIfTrue="1" operator="equal">
      <formula>0</formula>
    </cfRule>
  </conditionalFormatting>
  <conditionalFormatting sqref="T45">
    <cfRule type="cellIs" dxfId="44" priority="2" stopIfTrue="1" operator="equal">
      <formula>0</formula>
    </cfRule>
  </conditionalFormatting>
  <conditionalFormatting sqref="T45">
    <cfRule type="cellIs" dxfId="4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14"/>
  <sheetViews>
    <sheetView tabSelected="1" topLeftCell="F1" zoomScale="80" zoomScaleNormal="80" workbookViewId="0">
      <selection activeCell="B2" sqref="B2:U6"/>
    </sheetView>
  </sheetViews>
  <sheetFormatPr defaultRowHeight="15.75" x14ac:dyDescent="0.25"/>
  <cols>
    <col min="1" max="1" width="6.28515625" style="367" hidden="1" customWidth="1"/>
    <col min="2" max="2" width="7.42578125" style="227" customWidth="1"/>
    <col min="3" max="3" width="35.7109375" style="227" customWidth="1"/>
    <col min="4" max="4" width="11.140625" style="227" customWidth="1"/>
    <col min="5" max="5" width="14.5703125" style="227" customWidth="1"/>
    <col min="6" max="6" width="20" style="227" customWidth="1"/>
    <col min="7" max="7" width="23.140625" style="227" customWidth="1"/>
    <col min="8" max="8" width="10.7109375" style="227" customWidth="1"/>
    <col min="9" max="12" width="9.140625" style="227" customWidth="1"/>
    <col min="13" max="13" width="16.5703125" style="228" customWidth="1"/>
    <col min="14" max="14" width="15.140625" style="228" customWidth="1"/>
    <col min="15" max="15" width="19.5703125" style="228" customWidth="1"/>
    <col min="16" max="17" width="11.85546875" style="228" customWidth="1"/>
    <col min="18" max="18" width="11.7109375" style="228" customWidth="1"/>
    <col min="19" max="19" width="16.7109375" style="228" customWidth="1"/>
    <col min="20" max="20" width="17.140625" style="228" customWidth="1"/>
    <col min="21" max="21" width="17.85546875" style="417" customWidth="1"/>
    <col min="22" max="22" width="15" style="134" customWidth="1"/>
    <col min="23" max="23" width="14" style="134" customWidth="1"/>
    <col min="24" max="24" width="9.140625" style="134" customWidth="1"/>
    <col min="25" max="25" width="18.5703125" style="134" customWidth="1"/>
    <col min="26" max="26" width="9.140625" style="134" customWidth="1"/>
    <col min="27" max="27" width="9.5703125" style="134" customWidth="1"/>
    <col min="28" max="30" width="9.140625" style="134" customWidth="1"/>
    <col min="31" max="31" width="7.7109375" style="134" customWidth="1"/>
    <col min="32" max="32" width="12.28515625" style="134" customWidth="1"/>
    <col min="33" max="33" width="12.140625" style="134" bestFit="1" customWidth="1"/>
    <col min="34" max="34" width="13" style="134" customWidth="1"/>
    <col min="35" max="35" width="9.140625" style="134" customWidth="1"/>
    <col min="36" max="36" width="11.7109375" style="134" customWidth="1"/>
    <col min="37" max="42" width="9.140625" style="134" customWidth="1"/>
    <col min="43" max="16384" width="9.140625" style="243"/>
  </cols>
  <sheetData>
    <row r="1" spans="1:42" ht="16.5" thickBot="1" x14ac:dyDescent="0.3">
      <c r="B1" s="368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70"/>
      <c r="S1" s="371" t="s">
        <v>17</v>
      </c>
      <c r="T1" s="371"/>
      <c r="U1" s="371"/>
      <c r="AO1" s="243"/>
      <c r="AP1" s="243"/>
    </row>
    <row r="2" spans="1:42" x14ac:dyDescent="0.25">
      <c r="B2" s="372" t="s">
        <v>337</v>
      </c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4"/>
      <c r="AO2" s="243"/>
      <c r="AP2" s="243"/>
    </row>
    <row r="3" spans="1:42" x14ac:dyDescent="0.25">
      <c r="B3" s="375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7"/>
      <c r="AO3" s="243"/>
      <c r="AP3" s="243"/>
    </row>
    <row r="4" spans="1:42" x14ac:dyDescent="0.25">
      <c r="B4" s="375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6"/>
      <c r="R4" s="376"/>
      <c r="S4" s="376"/>
      <c r="T4" s="376"/>
      <c r="U4" s="377"/>
      <c r="AO4" s="243"/>
      <c r="AP4" s="243"/>
    </row>
    <row r="5" spans="1:42" x14ac:dyDescent="0.25">
      <c r="B5" s="375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  <c r="S5" s="376"/>
      <c r="T5" s="376"/>
      <c r="U5" s="377"/>
      <c r="AO5" s="243"/>
      <c r="AP5" s="243"/>
    </row>
    <row r="6" spans="1:42" ht="16.5" thickBot="1" x14ac:dyDescent="0.3">
      <c r="B6" s="378"/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  <c r="O6" s="379"/>
      <c r="P6" s="379"/>
      <c r="Q6" s="379"/>
      <c r="R6" s="379"/>
      <c r="S6" s="379"/>
      <c r="T6" s="379"/>
      <c r="U6" s="380"/>
      <c r="AO6" s="243"/>
      <c r="AP6" s="243"/>
    </row>
    <row r="7" spans="1:42" ht="16.5" thickBot="1" x14ac:dyDescent="0.3">
      <c r="B7" s="381" t="s">
        <v>0</v>
      </c>
      <c r="C7" s="382" t="s">
        <v>1</v>
      </c>
      <c r="D7" s="383"/>
      <c r="E7" s="383"/>
      <c r="F7" s="383"/>
      <c r="G7" s="384"/>
      <c r="H7" s="382" t="s">
        <v>2</v>
      </c>
      <c r="I7" s="383"/>
      <c r="J7" s="383"/>
      <c r="K7" s="383"/>
      <c r="L7" s="383"/>
      <c r="M7" s="383"/>
      <c r="N7" s="383"/>
      <c r="O7" s="384"/>
      <c r="P7" s="385" t="s">
        <v>338</v>
      </c>
      <c r="Q7" s="386"/>
      <c r="R7" s="386"/>
      <c r="S7" s="386"/>
      <c r="T7" s="386"/>
      <c r="U7" s="387"/>
      <c r="AO7" s="243"/>
      <c r="AP7" s="243"/>
    </row>
    <row r="8" spans="1:42" ht="299.25" x14ac:dyDescent="0.25">
      <c r="B8" s="388"/>
      <c r="C8" s="198" t="s">
        <v>4</v>
      </c>
      <c r="D8" s="198" t="s">
        <v>5</v>
      </c>
      <c r="E8" s="198" t="s">
        <v>6</v>
      </c>
      <c r="F8" s="198" t="s">
        <v>7</v>
      </c>
      <c r="G8" s="389" t="s">
        <v>8</v>
      </c>
      <c r="H8" s="390" t="s">
        <v>9</v>
      </c>
      <c r="I8" s="198" t="s">
        <v>10</v>
      </c>
      <c r="J8" s="198" t="s">
        <v>11</v>
      </c>
      <c r="K8" s="197" t="s">
        <v>12</v>
      </c>
      <c r="L8" s="198" t="s">
        <v>13</v>
      </c>
      <c r="M8" s="199" t="s">
        <v>14</v>
      </c>
      <c r="N8" s="199" t="s">
        <v>15</v>
      </c>
      <c r="O8" s="200" t="s">
        <v>16</v>
      </c>
      <c r="P8" s="201" t="s">
        <v>11</v>
      </c>
      <c r="Q8" s="202" t="s">
        <v>12</v>
      </c>
      <c r="R8" s="199" t="s">
        <v>13</v>
      </c>
      <c r="S8" s="199" t="s">
        <v>14</v>
      </c>
      <c r="T8" s="199" t="s">
        <v>15</v>
      </c>
      <c r="U8" s="199" t="s">
        <v>16</v>
      </c>
      <c r="AO8" s="243"/>
      <c r="AP8" s="243"/>
    </row>
    <row r="9" spans="1:42" x14ac:dyDescent="0.25">
      <c r="B9" s="391">
        <v>1</v>
      </c>
      <c r="C9" s="204">
        <v>2</v>
      </c>
      <c r="D9" s="204">
        <v>3</v>
      </c>
      <c r="E9" s="204">
        <v>4</v>
      </c>
      <c r="F9" s="204">
        <v>5</v>
      </c>
      <c r="G9" s="392">
        <v>6</v>
      </c>
      <c r="H9" s="391">
        <f>G9+1</f>
        <v>7</v>
      </c>
      <c r="I9" s="204">
        <f t="shared" ref="I9:U9" si="0">H9+1</f>
        <v>8</v>
      </c>
      <c r="J9" s="204">
        <f t="shared" si="0"/>
        <v>9</v>
      </c>
      <c r="K9" s="203">
        <f t="shared" si="0"/>
        <v>10</v>
      </c>
      <c r="L9" s="204">
        <f t="shared" si="0"/>
        <v>11</v>
      </c>
      <c r="M9" s="205">
        <f>L9+1</f>
        <v>12</v>
      </c>
      <c r="N9" s="205">
        <f t="shared" si="0"/>
        <v>13</v>
      </c>
      <c r="O9" s="206">
        <f t="shared" si="0"/>
        <v>14</v>
      </c>
      <c r="P9" s="207">
        <f t="shared" si="0"/>
        <v>15</v>
      </c>
      <c r="Q9" s="208">
        <f t="shared" si="0"/>
        <v>16</v>
      </c>
      <c r="R9" s="205">
        <f t="shared" si="0"/>
        <v>17</v>
      </c>
      <c r="S9" s="205">
        <f t="shared" si="0"/>
        <v>18</v>
      </c>
      <c r="T9" s="393">
        <f t="shared" si="0"/>
        <v>19</v>
      </c>
      <c r="U9" s="205">
        <f t="shared" si="0"/>
        <v>20</v>
      </c>
      <c r="AO9" s="243"/>
      <c r="AP9" s="243"/>
    </row>
    <row r="10" spans="1:42" x14ac:dyDescent="0.25">
      <c r="A10" s="367">
        <v>1</v>
      </c>
      <c r="B10" s="394">
        <v>1</v>
      </c>
      <c r="C10" s="395" t="s">
        <v>18</v>
      </c>
      <c r="D10" s="251" t="s">
        <v>124</v>
      </c>
      <c r="E10" s="252"/>
      <c r="F10" s="233" t="s">
        <v>105</v>
      </c>
      <c r="G10" s="254" t="s">
        <v>138</v>
      </c>
      <c r="H10" s="255">
        <v>48</v>
      </c>
      <c r="I10" s="210">
        <v>33</v>
      </c>
      <c r="J10" s="210">
        <v>37</v>
      </c>
      <c r="K10" s="209">
        <v>36</v>
      </c>
      <c r="L10" s="210">
        <v>36</v>
      </c>
      <c r="M10" s="273">
        <f>14941.14+3757.24+634.38</f>
        <v>19332.759999999998</v>
      </c>
      <c r="N10" s="273">
        <f>14941.14+3757.24+634.38</f>
        <v>19332.759999999998</v>
      </c>
      <c r="O10" s="292">
        <f xml:space="preserve"> (M10-N10)</f>
        <v>0</v>
      </c>
      <c r="P10" s="213">
        <v>8</v>
      </c>
      <c r="Q10" s="214">
        <v>8</v>
      </c>
      <c r="R10" s="215">
        <v>8</v>
      </c>
      <c r="S10" s="273">
        <f>4246.75+895.7+2557.8</f>
        <v>7700.25</v>
      </c>
      <c r="T10" s="273">
        <f>4246.75+895.7+2557.8</f>
        <v>7700.25</v>
      </c>
      <c r="U10" s="273">
        <f xml:space="preserve"> (S10-T10)</f>
        <v>0</v>
      </c>
      <c r="V10" s="161"/>
      <c r="W10" s="136"/>
      <c r="X10" s="137"/>
      <c r="Y10" s="135"/>
      <c r="Z10" s="137"/>
      <c r="AA10" s="138"/>
      <c r="AB10" s="138"/>
      <c r="AC10" s="138"/>
      <c r="AD10" s="138"/>
      <c r="AE10" s="138"/>
      <c r="AF10" s="139"/>
      <c r="AG10" s="139"/>
      <c r="AH10" s="139"/>
      <c r="AI10" s="140"/>
      <c r="AJ10" s="140"/>
      <c r="AK10" s="140"/>
      <c r="AL10" s="139"/>
      <c r="AM10" s="139"/>
      <c r="AN10" s="139"/>
      <c r="AO10" s="243"/>
      <c r="AP10" s="243"/>
    </row>
    <row r="11" spans="1:42" x14ac:dyDescent="0.25">
      <c r="A11" s="367">
        <v>2</v>
      </c>
      <c r="B11" s="394">
        <f>B10+1</f>
        <v>2</v>
      </c>
      <c r="C11" s="395" t="s">
        <v>19</v>
      </c>
      <c r="D11" s="251" t="s">
        <v>124</v>
      </c>
      <c r="E11" s="252"/>
      <c r="F11" s="253" t="s">
        <v>106</v>
      </c>
      <c r="G11" s="254" t="s">
        <v>139</v>
      </c>
      <c r="H11" s="255">
        <v>22</v>
      </c>
      <c r="I11" s="210">
        <v>15</v>
      </c>
      <c r="J11" s="210">
        <v>18</v>
      </c>
      <c r="K11" s="209">
        <v>18</v>
      </c>
      <c r="L11" s="210">
        <v>18</v>
      </c>
      <c r="M11" s="273">
        <f>5772.86+960.63+1414.3</f>
        <v>8147.79</v>
      </c>
      <c r="N11" s="273">
        <f>5772.86+960.63+1414.3</f>
        <v>8147.79</v>
      </c>
      <c r="O11" s="292">
        <f t="shared" ref="O11:O74" si="1" xml:space="preserve"> (M11-N11)</f>
        <v>0</v>
      </c>
      <c r="P11" s="213">
        <v>2</v>
      </c>
      <c r="Q11" s="214">
        <v>2</v>
      </c>
      <c r="R11" s="215">
        <v>2</v>
      </c>
      <c r="S11" s="273">
        <f>234.26+1035.3</f>
        <v>1269.56</v>
      </c>
      <c r="T11" s="273">
        <f>234.26+1035.3</f>
        <v>1269.56</v>
      </c>
      <c r="U11" s="273">
        <f t="shared" ref="U11:U74" si="2" xml:space="preserve"> (S11-T11)</f>
        <v>0</v>
      </c>
      <c r="V11" s="161"/>
      <c r="W11" s="136"/>
      <c r="X11" s="137"/>
      <c r="Y11" s="135"/>
      <c r="Z11" s="137"/>
      <c r="AA11" s="138"/>
      <c r="AB11" s="138"/>
      <c r="AC11" s="138"/>
      <c r="AD11" s="138"/>
      <c r="AE11" s="138"/>
      <c r="AF11" s="139"/>
      <c r="AG11" s="139"/>
      <c r="AH11" s="139"/>
      <c r="AI11" s="140"/>
      <c r="AJ11" s="140"/>
      <c r="AK11" s="140"/>
      <c r="AL11" s="139"/>
      <c r="AM11" s="139"/>
      <c r="AN11" s="139"/>
      <c r="AO11" s="243"/>
      <c r="AP11" s="243"/>
    </row>
    <row r="12" spans="1:42" x14ac:dyDescent="0.25">
      <c r="A12" s="367" t="s">
        <v>241</v>
      </c>
      <c r="B12" s="394">
        <v>3</v>
      </c>
      <c r="C12" s="250" t="s">
        <v>20</v>
      </c>
      <c r="D12" s="251" t="s">
        <v>124</v>
      </c>
      <c r="E12" s="252"/>
      <c r="F12" s="253" t="s">
        <v>107</v>
      </c>
      <c r="G12" s="396" t="s">
        <v>223</v>
      </c>
      <c r="H12" s="255"/>
      <c r="I12" s="210"/>
      <c r="J12" s="210"/>
      <c r="K12" s="209"/>
      <c r="L12" s="210"/>
      <c r="M12" s="273"/>
      <c r="N12" s="273"/>
      <c r="O12" s="292">
        <f t="shared" si="1"/>
        <v>0</v>
      </c>
      <c r="P12" s="213">
        <v>3</v>
      </c>
      <c r="Q12" s="214">
        <v>3</v>
      </c>
      <c r="R12" s="215">
        <v>3</v>
      </c>
      <c r="S12" s="273">
        <v>8035.44</v>
      </c>
      <c r="T12" s="273">
        <v>8035.44</v>
      </c>
      <c r="U12" s="273">
        <f t="shared" si="2"/>
        <v>0</v>
      </c>
      <c r="V12" s="161"/>
      <c r="W12" s="136"/>
      <c r="X12" s="137"/>
      <c r="Y12" s="135"/>
      <c r="Z12" s="137"/>
      <c r="AA12" s="138"/>
      <c r="AB12" s="138"/>
      <c r="AC12" s="138"/>
      <c r="AD12" s="138"/>
      <c r="AE12" s="138"/>
      <c r="AF12" s="139"/>
      <c r="AG12" s="139"/>
      <c r="AH12" s="139"/>
      <c r="AI12" s="140"/>
      <c r="AJ12" s="140"/>
      <c r="AK12" s="140"/>
      <c r="AL12" s="139"/>
      <c r="AM12" s="139"/>
      <c r="AN12" s="139"/>
      <c r="AO12" s="243"/>
      <c r="AP12" s="243"/>
    </row>
    <row r="13" spans="1:42" x14ac:dyDescent="0.25">
      <c r="A13" s="367">
        <v>7</v>
      </c>
      <c r="B13" s="394">
        <f t="shared" ref="B13:B76" si="3">B12+1</f>
        <v>4</v>
      </c>
      <c r="C13" s="250" t="s">
        <v>21</v>
      </c>
      <c r="D13" s="251" t="s">
        <v>124</v>
      </c>
      <c r="E13" s="252"/>
      <c r="F13" s="253" t="s">
        <v>108</v>
      </c>
      <c r="G13" s="254" t="s">
        <v>140</v>
      </c>
      <c r="H13" s="255">
        <v>49</v>
      </c>
      <c r="I13" s="210">
        <v>33</v>
      </c>
      <c r="J13" s="210">
        <v>45</v>
      </c>
      <c r="K13" s="209">
        <v>45</v>
      </c>
      <c r="L13" s="210">
        <v>45</v>
      </c>
      <c r="M13" s="273">
        <f>20604.96+5180.38-1144.43</f>
        <v>24640.91</v>
      </c>
      <c r="N13" s="273">
        <f>20604.96+5180.38-1144.43</f>
        <v>24640.91</v>
      </c>
      <c r="O13" s="292">
        <f t="shared" si="1"/>
        <v>0</v>
      </c>
      <c r="P13" s="213">
        <v>8</v>
      </c>
      <c r="Q13" s="214">
        <v>8</v>
      </c>
      <c r="R13" s="215">
        <v>8</v>
      </c>
      <c r="S13" s="273">
        <f>7385.53+1228.66+7042.2+301.46+2403.86+1144.43</f>
        <v>19506.14</v>
      </c>
      <c r="T13" s="273">
        <f>7385.53+1228.66+7042.2+301.46+2403.86+1144.43</f>
        <v>19506.14</v>
      </c>
      <c r="U13" s="273">
        <f t="shared" si="2"/>
        <v>0</v>
      </c>
      <c r="V13" s="161"/>
      <c r="W13" s="136"/>
      <c r="X13" s="137"/>
      <c r="Y13" s="135"/>
      <c r="Z13" s="137"/>
      <c r="AA13" s="138"/>
      <c r="AB13" s="138"/>
      <c r="AC13" s="138"/>
      <c r="AD13" s="138"/>
      <c r="AE13" s="138"/>
      <c r="AF13" s="139"/>
      <c r="AG13" s="139"/>
      <c r="AH13" s="139"/>
      <c r="AI13" s="140"/>
      <c r="AJ13" s="140"/>
      <c r="AK13" s="140"/>
      <c r="AL13" s="139"/>
      <c r="AM13" s="139"/>
      <c r="AN13" s="139"/>
      <c r="AO13" s="243"/>
      <c r="AP13" s="243"/>
    </row>
    <row r="14" spans="1:42" x14ac:dyDescent="0.25">
      <c r="A14" s="367">
        <v>8</v>
      </c>
      <c r="B14" s="394">
        <f t="shared" si="3"/>
        <v>5</v>
      </c>
      <c r="C14" s="395" t="s">
        <v>22</v>
      </c>
      <c r="D14" s="251" t="s">
        <v>124</v>
      </c>
      <c r="E14" s="252"/>
      <c r="F14" s="253" t="s">
        <v>106</v>
      </c>
      <c r="G14" s="254" t="s">
        <v>141</v>
      </c>
      <c r="H14" s="255">
        <v>42</v>
      </c>
      <c r="I14" s="210">
        <v>25</v>
      </c>
      <c r="J14" s="210">
        <v>33</v>
      </c>
      <c r="K14" s="209">
        <v>31</v>
      </c>
      <c r="L14" s="210">
        <v>31</v>
      </c>
      <c r="M14" s="273">
        <f>4932.74+3257.04+137+2487.39+344.5+725+7097.92+895.7+6261.98+0.8+1911.61</f>
        <v>28051.679999999997</v>
      </c>
      <c r="N14" s="273">
        <f>4932.74+3257.04+137+2487.39+344.5+725+7097.92+895.7+6261.98+0.8+1911.61</f>
        <v>28051.679999999997</v>
      </c>
      <c r="O14" s="292">
        <f t="shared" si="1"/>
        <v>0</v>
      </c>
      <c r="P14" s="213">
        <v>7</v>
      </c>
      <c r="Q14" s="214">
        <v>7</v>
      </c>
      <c r="R14" s="215">
        <v>7</v>
      </c>
      <c r="S14" s="273">
        <f>2847.1+1515.8</f>
        <v>4362.8999999999996</v>
      </c>
      <c r="T14" s="273">
        <f>2847.1+1515.8</f>
        <v>4362.8999999999996</v>
      </c>
      <c r="U14" s="273">
        <f t="shared" si="2"/>
        <v>0</v>
      </c>
      <c r="V14" s="161"/>
      <c r="W14" s="136"/>
      <c r="X14" s="137"/>
      <c r="Y14" s="135"/>
      <c r="Z14" s="137"/>
      <c r="AA14" s="138"/>
      <c r="AB14" s="138"/>
      <c r="AC14" s="138"/>
      <c r="AD14" s="138"/>
      <c r="AE14" s="138"/>
      <c r="AF14" s="139"/>
      <c r="AG14" s="139"/>
      <c r="AH14" s="139"/>
      <c r="AI14" s="140"/>
      <c r="AJ14" s="140"/>
      <c r="AK14" s="140"/>
      <c r="AL14" s="139"/>
      <c r="AM14" s="139"/>
      <c r="AN14" s="139"/>
      <c r="AO14" s="243"/>
      <c r="AP14" s="243"/>
    </row>
    <row r="15" spans="1:42" x14ac:dyDescent="0.25">
      <c r="A15" s="367">
        <v>9</v>
      </c>
      <c r="B15" s="394">
        <f t="shared" si="3"/>
        <v>6</v>
      </c>
      <c r="C15" s="395" t="s">
        <v>23</v>
      </c>
      <c r="D15" s="251" t="s">
        <v>124</v>
      </c>
      <c r="E15" s="252"/>
      <c r="F15" s="253" t="s">
        <v>106</v>
      </c>
      <c r="G15" s="254" t="s">
        <v>142</v>
      </c>
      <c r="H15" s="255">
        <v>43</v>
      </c>
      <c r="I15" s="210">
        <v>30</v>
      </c>
      <c r="J15" s="210">
        <v>34</v>
      </c>
      <c r="K15" s="209">
        <v>34</v>
      </c>
      <c r="L15" s="210">
        <v>34</v>
      </c>
      <c r="M15" s="273">
        <f>25965.08+1738.54</f>
        <v>27703.620000000003</v>
      </c>
      <c r="N15" s="273">
        <f>25965.08+1738.54</f>
        <v>27703.620000000003</v>
      </c>
      <c r="O15" s="292">
        <f t="shared" si="1"/>
        <v>0</v>
      </c>
      <c r="P15" s="213">
        <v>16</v>
      </c>
      <c r="Q15" s="214">
        <v>16</v>
      </c>
      <c r="R15" s="215">
        <v>16</v>
      </c>
      <c r="S15" s="273">
        <f>13813.9+1491.1+372.78+454.21</f>
        <v>16131.99</v>
      </c>
      <c r="T15" s="273">
        <f>13813.9+1491.1+372.78+454.21</f>
        <v>16131.99</v>
      </c>
      <c r="U15" s="273">
        <f t="shared" si="2"/>
        <v>0</v>
      </c>
      <c r="V15" s="161"/>
      <c r="W15" s="136"/>
      <c r="X15" s="137"/>
      <c r="Y15" s="135"/>
      <c r="Z15" s="137"/>
      <c r="AA15" s="138"/>
      <c r="AB15" s="138"/>
      <c r="AC15" s="138"/>
      <c r="AD15" s="138"/>
      <c r="AE15" s="138"/>
      <c r="AF15" s="139"/>
      <c r="AG15" s="139"/>
      <c r="AH15" s="139"/>
      <c r="AI15" s="140"/>
      <c r="AJ15" s="140"/>
      <c r="AK15" s="140"/>
      <c r="AL15" s="139"/>
      <c r="AM15" s="139"/>
      <c r="AN15" s="139"/>
      <c r="AO15" s="243"/>
      <c r="AP15" s="243"/>
    </row>
    <row r="16" spans="1:42" x14ac:dyDescent="0.25">
      <c r="A16" s="367">
        <v>3</v>
      </c>
      <c r="B16" s="394">
        <f t="shared" si="3"/>
        <v>7</v>
      </c>
      <c r="C16" s="395" t="s">
        <v>133</v>
      </c>
      <c r="D16" s="251" t="s">
        <v>124</v>
      </c>
      <c r="E16" s="252"/>
      <c r="F16" s="253" t="s">
        <v>106</v>
      </c>
      <c r="G16" s="254" t="s">
        <v>143</v>
      </c>
      <c r="H16" s="255"/>
      <c r="I16" s="210"/>
      <c r="J16" s="210"/>
      <c r="K16" s="209"/>
      <c r="L16" s="210"/>
      <c r="M16" s="273"/>
      <c r="N16" s="273"/>
      <c r="O16" s="292">
        <f t="shared" si="1"/>
        <v>0</v>
      </c>
      <c r="P16" s="213"/>
      <c r="Q16" s="214"/>
      <c r="R16" s="215"/>
      <c r="S16" s="273"/>
      <c r="T16" s="273"/>
      <c r="U16" s="273">
        <f t="shared" si="2"/>
        <v>0</v>
      </c>
      <c r="V16" s="161"/>
      <c r="W16" s="136"/>
      <c r="X16" s="137"/>
      <c r="Y16" s="135"/>
      <c r="Z16" s="137"/>
      <c r="AA16" s="138"/>
      <c r="AB16" s="138"/>
      <c r="AC16" s="138"/>
      <c r="AD16" s="138"/>
      <c r="AE16" s="138"/>
      <c r="AF16" s="139"/>
      <c r="AG16" s="139"/>
      <c r="AH16" s="139"/>
      <c r="AI16" s="140"/>
      <c r="AJ16" s="140"/>
      <c r="AK16" s="140"/>
      <c r="AL16" s="139"/>
      <c r="AM16" s="139"/>
      <c r="AN16" s="139"/>
      <c r="AO16" s="243"/>
      <c r="AP16" s="243"/>
    </row>
    <row r="17" spans="1:42" ht="20.100000000000001" customHeight="1" x14ac:dyDescent="0.25">
      <c r="A17" s="367">
        <v>5</v>
      </c>
      <c r="B17" s="394">
        <f t="shared" si="3"/>
        <v>8</v>
      </c>
      <c r="C17" s="395" t="s">
        <v>24</v>
      </c>
      <c r="D17" s="251" t="s">
        <v>124</v>
      </c>
      <c r="E17" s="252"/>
      <c r="F17" s="253" t="s">
        <v>109</v>
      </c>
      <c r="G17" s="254" t="s">
        <v>144</v>
      </c>
      <c r="H17" s="255">
        <v>58</v>
      </c>
      <c r="I17" s="210">
        <v>34</v>
      </c>
      <c r="J17" s="210">
        <v>40</v>
      </c>
      <c r="K17" s="209">
        <v>39</v>
      </c>
      <c r="L17" s="210">
        <v>39</v>
      </c>
      <c r="M17" s="273">
        <f>7235.14+4416.12+1559.66+658.56+1087.5+652.5+1377.5+1615.75+2829.41+7208.27+5247.45+1087.5+2299.6</f>
        <v>37274.959999999999</v>
      </c>
      <c r="N17" s="273">
        <f>7235.14+4416.12+1559.66+658.56+1087.5+652.5+1377.5+1615.75+2829.41+7208.27+5247.45+1087.5+2299.6</f>
        <v>37274.959999999999</v>
      </c>
      <c r="O17" s="292">
        <f t="shared" si="1"/>
        <v>0</v>
      </c>
      <c r="P17" s="213">
        <v>1</v>
      </c>
      <c r="Q17" s="214">
        <v>1</v>
      </c>
      <c r="R17" s="215">
        <v>1</v>
      </c>
      <c r="S17" s="273">
        <v>1033.5</v>
      </c>
      <c r="T17" s="273">
        <v>1033.5</v>
      </c>
      <c r="U17" s="273">
        <f t="shared" si="2"/>
        <v>0</v>
      </c>
      <c r="V17" s="161"/>
      <c r="W17" s="136"/>
      <c r="X17" s="137"/>
      <c r="Y17" s="135"/>
      <c r="Z17" s="137"/>
      <c r="AA17" s="138"/>
      <c r="AB17" s="138"/>
      <c r="AC17" s="138"/>
      <c r="AD17" s="138"/>
      <c r="AE17" s="138"/>
      <c r="AF17" s="139"/>
      <c r="AG17" s="139"/>
      <c r="AH17" s="139"/>
      <c r="AI17" s="140"/>
      <c r="AJ17" s="140"/>
      <c r="AK17" s="140"/>
      <c r="AL17" s="139"/>
      <c r="AM17" s="139"/>
      <c r="AN17" s="139"/>
    </row>
    <row r="18" spans="1:42" s="227" customFormat="1" ht="20.100000000000001" customHeight="1" x14ac:dyDescent="0.25">
      <c r="A18" s="367">
        <v>10</v>
      </c>
      <c r="B18" s="394">
        <f t="shared" si="3"/>
        <v>9</v>
      </c>
      <c r="C18" s="395" t="s">
        <v>25</v>
      </c>
      <c r="D18" s="251" t="s">
        <v>124</v>
      </c>
      <c r="E18" s="252"/>
      <c r="F18" s="397" t="s">
        <v>110</v>
      </c>
      <c r="G18" s="254" t="s">
        <v>145</v>
      </c>
      <c r="H18" s="255">
        <v>43</v>
      </c>
      <c r="I18" s="210">
        <v>31</v>
      </c>
      <c r="J18" s="210">
        <v>37</v>
      </c>
      <c r="K18" s="210">
        <v>32</v>
      </c>
      <c r="L18" s="210">
        <v>32</v>
      </c>
      <c r="M18" s="273">
        <f>2118.92+12936.58+4403.89+2411.49+2972.12+403.47+2654.68+806.94+1188.45+2382.18</f>
        <v>32278.719999999998</v>
      </c>
      <c r="N18" s="273">
        <f>2118.92+12936.58+4403.89+2411.49+2972.12+403.47+2654.68+806.94+1188.45+2382.18</f>
        <v>32278.719999999998</v>
      </c>
      <c r="O18" s="292">
        <f t="shared" si="1"/>
        <v>0</v>
      </c>
      <c r="P18" s="213">
        <v>7</v>
      </c>
      <c r="Q18" s="215">
        <v>7</v>
      </c>
      <c r="R18" s="215">
        <v>7</v>
      </c>
      <c r="S18" s="273">
        <f>14748.55+934.31</f>
        <v>15682.859999999999</v>
      </c>
      <c r="T18" s="273">
        <f>14748.55+934.31</f>
        <v>15682.859999999999</v>
      </c>
      <c r="U18" s="273">
        <f t="shared" si="2"/>
        <v>0</v>
      </c>
      <c r="V18" s="229"/>
      <c r="W18" s="231"/>
      <c r="X18" s="137"/>
      <c r="Y18" s="232"/>
      <c r="Z18" s="137"/>
      <c r="AA18" s="138"/>
      <c r="AB18" s="138"/>
      <c r="AC18" s="138"/>
      <c r="AD18" s="138"/>
      <c r="AE18" s="138"/>
      <c r="AF18" s="139"/>
      <c r="AG18" s="139"/>
      <c r="AH18" s="139"/>
      <c r="AI18" s="140"/>
      <c r="AJ18" s="140"/>
      <c r="AK18" s="140"/>
      <c r="AL18" s="139"/>
      <c r="AM18" s="139"/>
      <c r="AN18" s="139"/>
      <c r="AO18" s="230"/>
      <c r="AP18" s="230"/>
    </row>
    <row r="19" spans="1:42" ht="20.100000000000001" customHeight="1" x14ac:dyDescent="0.25">
      <c r="A19" s="367">
        <v>11</v>
      </c>
      <c r="B19" s="394">
        <f t="shared" si="3"/>
        <v>10</v>
      </c>
      <c r="C19" s="398" t="s">
        <v>26</v>
      </c>
      <c r="D19" s="251" t="s">
        <v>124</v>
      </c>
      <c r="E19" s="252"/>
      <c r="F19" s="399" t="s">
        <v>107</v>
      </c>
      <c r="G19" s="254" t="s">
        <v>146</v>
      </c>
      <c r="H19" s="255">
        <v>44</v>
      </c>
      <c r="I19" s="210">
        <v>25</v>
      </c>
      <c r="J19" s="210">
        <v>43</v>
      </c>
      <c r="K19" s="209">
        <v>42</v>
      </c>
      <c r="L19" s="210">
        <v>42</v>
      </c>
      <c r="M19" s="273">
        <f>28952.05+4575.15+4305.64</f>
        <v>37832.839999999997</v>
      </c>
      <c r="N19" s="273">
        <f>28952.05+4575.15+4305.64</f>
        <v>37832.839999999997</v>
      </c>
      <c r="O19" s="292">
        <f t="shared" si="1"/>
        <v>0</v>
      </c>
      <c r="P19" s="213">
        <v>16</v>
      </c>
      <c r="Q19" s="214">
        <v>16</v>
      </c>
      <c r="R19" s="215">
        <v>16</v>
      </c>
      <c r="S19" s="273">
        <f>33206.03+1234.29</f>
        <v>34440.32</v>
      </c>
      <c r="T19" s="273">
        <f>33206.03+1234.29</f>
        <v>34440.32</v>
      </c>
      <c r="U19" s="273">
        <f t="shared" si="2"/>
        <v>0</v>
      </c>
      <c r="V19" s="161"/>
      <c r="W19" s="136"/>
      <c r="X19" s="137"/>
      <c r="Y19" s="143"/>
      <c r="Z19" s="137"/>
      <c r="AA19" s="138"/>
      <c r="AB19" s="138"/>
      <c r="AC19" s="138"/>
      <c r="AD19" s="138"/>
      <c r="AE19" s="138"/>
      <c r="AF19" s="139"/>
      <c r="AG19" s="139"/>
      <c r="AH19" s="139"/>
      <c r="AI19" s="140"/>
      <c r="AJ19" s="140"/>
      <c r="AK19" s="140"/>
      <c r="AL19" s="139"/>
      <c r="AM19" s="139"/>
      <c r="AN19" s="139"/>
    </row>
    <row r="20" spans="1:42" s="227" customFormat="1" ht="20.100000000000001" customHeight="1" x14ac:dyDescent="0.25">
      <c r="A20" s="367">
        <v>12</v>
      </c>
      <c r="B20" s="394">
        <f t="shared" si="3"/>
        <v>11</v>
      </c>
      <c r="C20" s="250" t="s">
        <v>27</v>
      </c>
      <c r="D20" s="251" t="s">
        <v>124</v>
      </c>
      <c r="E20" s="252"/>
      <c r="F20" s="253" t="s">
        <v>111</v>
      </c>
      <c r="G20" s="254" t="s">
        <v>147</v>
      </c>
      <c r="H20" s="255">
        <v>58</v>
      </c>
      <c r="I20" s="210">
        <v>39</v>
      </c>
      <c r="J20" s="210">
        <v>45</v>
      </c>
      <c r="K20" s="210">
        <v>42</v>
      </c>
      <c r="L20" s="210">
        <v>42</v>
      </c>
      <c r="M20" s="273">
        <f>5728.14+3727.02+315.94+2507.59+652.5+2191.47+1855.28+358.88+2503.15+5297.67+1579.05+5739.83+1713.14+145+749.82</f>
        <v>35064.479999999996</v>
      </c>
      <c r="N20" s="273">
        <f>5728.14+3727.02+315.94+2507.59+652.5+2191.47+1855.28+358.88+2503.15+5297.67+1579.05+5739.83+1713.14+145+749.82</f>
        <v>35064.479999999996</v>
      </c>
      <c r="O20" s="292">
        <f t="shared" si="1"/>
        <v>0</v>
      </c>
      <c r="P20" s="213">
        <v>28</v>
      </c>
      <c r="Q20" s="215">
        <v>28</v>
      </c>
      <c r="R20" s="215">
        <v>28</v>
      </c>
      <c r="S20" s="273">
        <f>36404.57+1488.24+1902.09+2012.82</f>
        <v>41807.719999999994</v>
      </c>
      <c r="T20" s="273">
        <f>36404.57+1488.24+1902.09+2012.82</f>
        <v>41807.719999999994</v>
      </c>
      <c r="U20" s="273">
        <f t="shared" si="2"/>
        <v>0</v>
      </c>
      <c r="V20" s="229"/>
      <c r="W20" s="231"/>
      <c r="X20" s="137"/>
      <c r="Y20" s="233"/>
      <c r="Z20" s="137"/>
      <c r="AA20" s="138"/>
      <c r="AB20" s="138"/>
      <c r="AC20" s="138"/>
      <c r="AD20" s="138"/>
      <c r="AE20" s="138"/>
      <c r="AF20" s="139"/>
      <c r="AG20" s="139"/>
      <c r="AH20" s="139"/>
      <c r="AI20" s="140"/>
      <c r="AJ20" s="140"/>
      <c r="AK20" s="140"/>
      <c r="AL20" s="139"/>
      <c r="AM20" s="139"/>
      <c r="AN20" s="139"/>
      <c r="AO20" s="230"/>
      <c r="AP20" s="230"/>
    </row>
    <row r="21" spans="1:42" ht="20.100000000000001" customHeight="1" x14ac:dyDescent="0.25">
      <c r="A21" s="367">
        <v>13</v>
      </c>
      <c r="B21" s="394">
        <f t="shared" si="3"/>
        <v>12</v>
      </c>
      <c r="C21" s="395" t="s">
        <v>28</v>
      </c>
      <c r="D21" s="251" t="s">
        <v>124</v>
      </c>
      <c r="E21" s="252"/>
      <c r="F21" s="253" t="s">
        <v>106</v>
      </c>
      <c r="G21" s="254" t="s">
        <v>148</v>
      </c>
      <c r="H21" s="255">
        <v>32</v>
      </c>
      <c r="I21" s="210">
        <v>18</v>
      </c>
      <c r="J21" s="210">
        <v>23</v>
      </c>
      <c r="K21" s="209">
        <v>22</v>
      </c>
      <c r="L21" s="210">
        <v>22</v>
      </c>
      <c r="M21" s="273">
        <f>17955.67+413.4+5.9+2225.9</f>
        <v>20600.870000000003</v>
      </c>
      <c r="N21" s="273">
        <f>17955.67+413.4+5.9+2225.9</f>
        <v>20600.870000000003</v>
      </c>
      <c r="O21" s="292">
        <f t="shared" si="1"/>
        <v>0</v>
      </c>
      <c r="P21" s="213">
        <v>10</v>
      </c>
      <c r="Q21" s="214">
        <v>10</v>
      </c>
      <c r="R21" s="215">
        <v>10</v>
      </c>
      <c r="S21" s="273">
        <f>10636.43+413.4</f>
        <v>11049.83</v>
      </c>
      <c r="T21" s="273">
        <f>10636.43+413.4</f>
        <v>11049.83</v>
      </c>
      <c r="U21" s="273">
        <f t="shared" si="2"/>
        <v>0</v>
      </c>
      <c r="V21" s="161"/>
      <c r="W21" s="136"/>
      <c r="X21" s="137"/>
      <c r="Y21" s="135"/>
      <c r="Z21" s="137"/>
      <c r="AA21" s="138"/>
      <c r="AB21" s="138"/>
      <c r="AC21" s="138"/>
      <c r="AD21" s="138"/>
      <c r="AE21" s="138"/>
      <c r="AF21" s="139"/>
      <c r="AG21" s="139"/>
      <c r="AH21" s="139"/>
      <c r="AI21" s="140"/>
      <c r="AJ21" s="140"/>
      <c r="AK21" s="140"/>
      <c r="AL21" s="139"/>
      <c r="AM21" s="139"/>
      <c r="AN21" s="139"/>
    </row>
    <row r="22" spans="1:42" s="227" customFormat="1" ht="20.100000000000001" customHeight="1" x14ac:dyDescent="0.25">
      <c r="A22" s="367">
        <v>14</v>
      </c>
      <c r="B22" s="394">
        <f t="shared" si="3"/>
        <v>13</v>
      </c>
      <c r="C22" s="395" t="s">
        <v>29</v>
      </c>
      <c r="D22" s="251" t="s">
        <v>124</v>
      </c>
      <c r="E22" s="252"/>
      <c r="F22" s="400" t="s">
        <v>112</v>
      </c>
      <c r="G22" s="254" t="s">
        <v>149</v>
      </c>
      <c r="H22" s="255">
        <v>146</v>
      </c>
      <c r="I22" s="210">
        <v>104</v>
      </c>
      <c r="J22" s="210">
        <v>126</v>
      </c>
      <c r="K22" s="210">
        <v>125</v>
      </c>
      <c r="L22" s="210">
        <v>125</v>
      </c>
      <c r="M22" s="273">
        <f>19787.02+2513.73+2255.05+12081.39+6786.96+4545.76+7112.29+9234.79+3303.99+8291.91+15678.65-6933.47</f>
        <v>84658.07</v>
      </c>
      <c r="N22" s="273">
        <f>19787.02+2513.73+2255.05+12081.39+6786.96+4545.76+7112.29+9234.79+3303.99+8291.91+15678.65-6933.47</f>
        <v>84658.07</v>
      </c>
      <c r="O22" s="292">
        <f t="shared" si="1"/>
        <v>0</v>
      </c>
      <c r="P22" s="213">
        <v>27</v>
      </c>
      <c r="Q22" s="215">
        <v>27</v>
      </c>
      <c r="R22" s="215">
        <v>27</v>
      </c>
      <c r="S22" s="273">
        <f>24103.23+3334.5+1378+3155.14+1090.31+6933.47</f>
        <v>39994.65</v>
      </c>
      <c r="T22" s="273">
        <f>24103.23+3334.5+1378+3155.14+1090.31+6933.47</f>
        <v>39994.65</v>
      </c>
      <c r="U22" s="273">
        <f t="shared" si="2"/>
        <v>0</v>
      </c>
      <c r="V22" s="229"/>
      <c r="W22" s="231"/>
      <c r="X22" s="137"/>
      <c r="Y22" s="232"/>
      <c r="Z22" s="137"/>
      <c r="AA22" s="138"/>
      <c r="AB22" s="138"/>
      <c r="AC22" s="138"/>
      <c r="AD22" s="138"/>
      <c r="AE22" s="138"/>
      <c r="AF22" s="139"/>
      <c r="AG22" s="139"/>
      <c r="AH22" s="139"/>
      <c r="AI22" s="140"/>
      <c r="AJ22" s="140"/>
      <c r="AK22" s="140"/>
      <c r="AL22" s="139"/>
      <c r="AM22" s="139"/>
      <c r="AN22" s="139"/>
      <c r="AO22" s="230"/>
      <c r="AP22" s="230"/>
    </row>
    <row r="23" spans="1:42" ht="20.100000000000001" customHeight="1" x14ac:dyDescent="0.25">
      <c r="A23" s="367">
        <v>15</v>
      </c>
      <c r="B23" s="394">
        <f t="shared" si="3"/>
        <v>14</v>
      </c>
      <c r="C23" s="398" t="s">
        <v>30</v>
      </c>
      <c r="D23" s="251" t="s">
        <v>124</v>
      </c>
      <c r="E23" s="252"/>
      <c r="F23" s="399" t="s">
        <v>111</v>
      </c>
      <c r="G23" s="254" t="s">
        <v>150</v>
      </c>
      <c r="H23" s="255">
        <v>23</v>
      </c>
      <c r="I23" s="210">
        <v>19</v>
      </c>
      <c r="J23" s="210">
        <v>27</v>
      </c>
      <c r="K23" s="209">
        <v>25</v>
      </c>
      <c r="L23" s="210">
        <v>25</v>
      </c>
      <c r="M23" s="273">
        <f>5739.04+1828.05+1440.72+631.62+564.05+641.19+793.15+2475.51+1311.53+5430.51+1513.04-3246.27+942.5+972.69</f>
        <v>21037.33</v>
      </c>
      <c r="N23" s="273">
        <f>5739.04+1828.05+1440.72+631.62+564.05+641.19+793.15+2475.51+1311.53+5430.51+1513.04-3246.27+942.5+972.69</f>
        <v>21037.33</v>
      </c>
      <c r="O23" s="292">
        <f t="shared" si="1"/>
        <v>0</v>
      </c>
      <c r="P23" s="213">
        <v>12</v>
      </c>
      <c r="Q23" s="214">
        <v>12</v>
      </c>
      <c r="R23" s="215">
        <v>12</v>
      </c>
      <c r="S23" s="273">
        <f>26607.02+6387.23</f>
        <v>32994.25</v>
      </c>
      <c r="T23" s="273">
        <f>26607.02+6387.23</f>
        <v>32994.25</v>
      </c>
      <c r="U23" s="273">
        <f t="shared" si="2"/>
        <v>0</v>
      </c>
      <c r="V23" s="161"/>
      <c r="W23" s="136"/>
      <c r="X23" s="137"/>
      <c r="Y23" s="143"/>
      <c r="Z23" s="137"/>
      <c r="AA23" s="138"/>
      <c r="AB23" s="138"/>
      <c r="AC23" s="138"/>
      <c r="AD23" s="138"/>
      <c r="AE23" s="138"/>
      <c r="AF23" s="139"/>
      <c r="AG23" s="139"/>
      <c r="AH23" s="139"/>
      <c r="AI23" s="140"/>
      <c r="AJ23" s="140"/>
      <c r="AK23" s="140"/>
      <c r="AL23" s="139"/>
      <c r="AM23" s="139"/>
      <c r="AN23" s="139"/>
    </row>
    <row r="24" spans="1:42" ht="20.100000000000001" customHeight="1" x14ac:dyDescent="0.25">
      <c r="A24" s="367">
        <v>16</v>
      </c>
      <c r="B24" s="394">
        <f t="shared" si="3"/>
        <v>15</v>
      </c>
      <c r="C24" s="395" t="s">
        <v>31</v>
      </c>
      <c r="D24" s="251" t="s">
        <v>124</v>
      </c>
      <c r="E24" s="252"/>
      <c r="F24" s="253" t="s">
        <v>107</v>
      </c>
      <c r="G24" s="254" t="s">
        <v>151</v>
      </c>
      <c r="H24" s="255">
        <v>24</v>
      </c>
      <c r="I24" s="210">
        <v>24</v>
      </c>
      <c r="J24" s="210">
        <v>28</v>
      </c>
      <c r="K24" s="209">
        <v>28</v>
      </c>
      <c r="L24" s="210">
        <v>28</v>
      </c>
      <c r="M24" s="273">
        <f>1515.11+3525.12+1811.05+3675.45+2597.65</f>
        <v>13124.38</v>
      </c>
      <c r="N24" s="273">
        <f>1515.11+3525.12+1811.05+3675.45+2597.65</f>
        <v>13124.38</v>
      </c>
      <c r="O24" s="292">
        <f t="shared" si="1"/>
        <v>0</v>
      </c>
      <c r="P24" s="213">
        <v>7</v>
      </c>
      <c r="Q24" s="214">
        <v>7</v>
      </c>
      <c r="R24" s="215">
        <v>7</v>
      </c>
      <c r="S24" s="273">
        <v>6720.87</v>
      </c>
      <c r="T24" s="273">
        <v>6720.87</v>
      </c>
      <c r="U24" s="273">
        <f t="shared" si="2"/>
        <v>0</v>
      </c>
      <c r="V24" s="161"/>
      <c r="W24" s="136"/>
      <c r="X24" s="137"/>
      <c r="Y24" s="135"/>
      <c r="Z24" s="137"/>
      <c r="AA24" s="138"/>
      <c r="AB24" s="138"/>
      <c r="AC24" s="138"/>
      <c r="AD24" s="138"/>
      <c r="AE24" s="138"/>
      <c r="AF24" s="139"/>
      <c r="AG24" s="139"/>
      <c r="AH24" s="139"/>
      <c r="AI24" s="140"/>
      <c r="AJ24" s="140"/>
      <c r="AK24" s="140"/>
      <c r="AL24" s="139"/>
      <c r="AM24" s="139"/>
      <c r="AN24" s="139"/>
    </row>
    <row r="25" spans="1:42" s="227" customFormat="1" ht="20.100000000000001" customHeight="1" x14ac:dyDescent="0.25">
      <c r="A25" s="367">
        <v>17</v>
      </c>
      <c r="B25" s="394">
        <f t="shared" si="3"/>
        <v>16</v>
      </c>
      <c r="C25" s="397" t="s">
        <v>32</v>
      </c>
      <c r="D25" s="251" t="s">
        <v>124</v>
      </c>
      <c r="E25" s="252"/>
      <c r="F25" s="253" t="s">
        <v>106</v>
      </c>
      <c r="G25" s="254" t="s">
        <v>152</v>
      </c>
      <c r="H25" s="255">
        <v>49</v>
      </c>
      <c r="I25" s="210">
        <v>16</v>
      </c>
      <c r="J25" s="210">
        <v>46</v>
      </c>
      <c r="K25" s="210">
        <v>45</v>
      </c>
      <c r="L25" s="210">
        <v>45</v>
      </c>
      <c r="M25" s="273">
        <f>9005.69+15068.32+3714.72+1200.78+3057.6+836.9+31+8681.33</f>
        <v>41596.340000000004</v>
      </c>
      <c r="N25" s="273">
        <f>9005.69+15068.32+3714.72+1200.78+3057.6+836.9+31+8681.33</f>
        <v>41596.340000000004</v>
      </c>
      <c r="O25" s="292">
        <f t="shared" si="1"/>
        <v>0</v>
      </c>
      <c r="P25" s="213">
        <v>22</v>
      </c>
      <c r="Q25" s="215">
        <v>22</v>
      </c>
      <c r="R25" s="215">
        <v>22</v>
      </c>
      <c r="S25" s="273">
        <f>24213.05+6197.08+341.06</f>
        <v>30751.19</v>
      </c>
      <c r="T25" s="273">
        <f>24213.05+6197.08+341.06</f>
        <v>30751.19</v>
      </c>
      <c r="U25" s="273">
        <f t="shared" si="2"/>
        <v>0</v>
      </c>
      <c r="V25" s="229"/>
      <c r="W25" s="231"/>
      <c r="X25" s="137"/>
      <c r="Y25" s="233"/>
      <c r="Z25" s="137"/>
      <c r="AA25" s="138"/>
      <c r="AB25" s="138"/>
      <c r="AC25" s="138"/>
      <c r="AD25" s="138"/>
      <c r="AE25" s="138"/>
      <c r="AF25" s="139"/>
      <c r="AG25" s="139"/>
      <c r="AH25" s="139"/>
      <c r="AI25" s="140"/>
      <c r="AJ25" s="140"/>
      <c r="AK25" s="140"/>
      <c r="AL25" s="139"/>
      <c r="AM25" s="139"/>
      <c r="AN25" s="139"/>
      <c r="AO25" s="230"/>
      <c r="AP25" s="230"/>
    </row>
    <row r="26" spans="1:42" ht="20.100000000000001" customHeight="1" x14ac:dyDescent="0.25">
      <c r="A26" s="367">
        <v>18</v>
      </c>
      <c r="B26" s="394">
        <f t="shared" si="3"/>
        <v>17</v>
      </c>
      <c r="C26" s="395" t="s">
        <v>33</v>
      </c>
      <c r="D26" s="251" t="s">
        <v>124</v>
      </c>
      <c r="E26" s="252"/>
      <c r="F26" s="253" t="s">
        <v>106</v>
      </c>
      <c r="G26" s="254" t="s">
        <v>153</v>
      </c>
      <c r="H26" s="255">
        <v>28</v>
      </c>
      <c r="I26" s="210">
        <v>11</v>
      </c>
      <c r="J26" s="210">
        <v>18</v>
      </c>
      <c r="K26" s="209">
        <v>18</v>
      </c>
      <c r="L26" s="210">
        <v>18</v>
      </c>
      <c r="M26" s="273">
        <f>3777.1+6399.51+6251.64+358.88</f>
        <v>16787.13</v>
      </c>
      <c r="N26" s="273">
        <f>3777.1+6399.51+6251.64+358.88</f>
        <v>16787.13</v>
      </c>
      <c r="O26" s="292">
        <f t="shared" si="1"/>
        <v>0</v>
      </c>
      <c r="P26" s="213">
        <v>12</v>
      </c>
      <c r="Q26" s="214">
        <v>12</v>
      </c>
      <c r="R26" s="215">
        <v>12</v>
      </c>
      <c r="S26" s="273">
        <f>3386.7+2140.45</f>
        <v>5527.15</v>
      </c>
      <c r="T26" s="273">
        <f>3386.7+2140.45</f>
        <v>5527.15</v>
      </c>
      <c r="U26" s="273">
        <f t="shared" si="2"/>
        <v>0</v>
      </c>
      <c r="V26" s="161"/>
      <c r="W26" s="136"/>
      <c r="X26" s="137"/>
      <c r="Y26" s="135"/>
      <c r="Z26" s="137"/>
      <c r="AA26" s="138"/>
      <c r="AB26" s="138"/>
      <c r="AC26" s="138"/>
      <c r="AD26" s="138"/>
      <c r="AE26" s="138"/>
      <c r="AF26" s="139"/>
      <c r="AG26" s="139"/>
      <c r="AH26" s="139"/>
      <c r="AI26" s="140"/>
      <c r="AJ26" s="140"/>
      <c r="AK26" s="140"/>
      <c r="AL26" s="139"/>
      <c r="AM26" s="139"/>
      <c r="AN26" s="139"/>
    </row>
    <row r="27" spans="1:42" ht="20.100000000000001" customHeight="1" x14ac:dyDescent="0.25">
      <c r="A27" s="367">
        <v>19</v>
      </c>
      <c r="B27" s="394">
        <f t="shared" si="3"/>
        <v>18</v>
      </c>
      <c r="C27" s="395" t="s">
        <v>34</v>
      </c>
      <c r="D27" s="251" t="s">
        <v>124</v>
      </c>
      <c r="E27" s="252"/>
      <c r="F27" s="253" t="s">
        <v>113</v>
      </c>
      <c r="G27" s="254" t="s">
        <v>154</v>
      </c>
      <c r="H27" s="255">
        <v>43</v>
      </c>
      <c r="I27" s="210">
        <v>24</v>
      </c>
      <c r="J27" s="210">
        <v>43</v>
      </c>
      <c r="K27" s="209">
        <v>43</v>
      </c>
      <c r="L27" s="210">
        <v>43</v>
      </c>
      <c r="M27" s="273">
        <f>24273.31+574.2+300.99+2472.98</f>
        <v>27621.480000000003</v>
      </c>
      <c r="N27" s="273">
        <f>24273.31+574.2+300.99+2472.98</f>
        <v>27621.480000000003</v>
      </c>
      <c r="O27" s="292">
        <f t="shared" si="1"/>
        <v>0</v>
      </c>
      <c r="P27" s="213">
        <v>14</v>
      </c>
      <c r="Q27" s="214">
        <v>14</v>
      </c>
      <c r="R27" s="215">
        <v>14</v>
      </c>
      <c r="S27" s="273">
        <v>13025.83</v>
      </c>
      <c r="T27" s="273">
        <v>13025.83</v>
      </c>
      <c r="U27" s="273">
        <f t="shared" si="2"/>
        <v>0</v>
      </c>
      <c r="V27" s="161"/>
      <c r="W27" s="136"/>
      <c r="X27" s="137"/>
      <c r="Y27" s="135"/>
      <c r="Z27" s="137"/>
      <c r="AA27" s="138"/>
      <c r="AB27" s="138"/>
      <c r="AC27" s="138"/>
      <c r="AD27" s="138"/>
      <c r="AE27" s="138"/>
      <c r="AF27" s="139"/>
      <c r="AG27" s="139"/>
      <c r="AH27" s="139"/>
      <c r="AI27" s="140"/>
      <c r="AJ27" s="140"/>
      <c r="AK27" s="140"/>
      <c r="AL27" s="139"/>
      <c r="AM27" s="139"/>
      <c r="AN27" s="139"/>
    </row>
    <row r="28" spans="1:42" ht="18" customHeight="1" x14ac:dyDescent="0.25">
      <c r="B28" s="394">
        <f t="shared" si="3"/>
        <v>19</v>
      </c>
      <c r="C28" s="395" t="s">
        <v>35</v>
      </c>
      <c r="D28" s="251" t="s">
        <v>124</v>
      </c>
      <c r="E28" s="252"/>
      <c r="F28" s="253" t="s">
        <v>105</v>
      </c>
      <c r="G28" s="396" t="s">
        <v>228</v>
      </c>
      <c r="H28" s="255"/>
      <c r="I28" s="210"/>
      <c r="J28" s="210"/>
      <c r="K28" s="209"/>
      <c r="L28" s="210"/>
      <c r="M28" s="273"/>
      <c r="N28" s="273"/>
      <c r="O28" s="292">
        <f t="shared" si="1"/>
        <v>0</v>
      </c>
      <c r="P28" s="213"/>
      <c r="Q28" s="214"/>
      <c r="R28" s="215"/>
      <c r="S28" s="273"/>
      <c r="T28" s="273"/>
      <c r="U28" s="273">
        <f t="shared" si="2"/>
        <v>0</v>
      </c>
      <c r="V28" s="161"/>
      <c r="W28" s="136"/>
      <c r="X28" s="137"/>
      <c r="Y28" s="135"/>
      <c r="Z28" s="137"/>
      <c r="AA28" s="138"/>
      <c r="AB28" s="138"/>
      <c r="AC28" s="138"/>
      <c r="AD28" s="138"/>
      <c r="AE28" s="138"/>
      <c r="AF28" s="139"/>
      <c r="AG28" s="139"/>
      <c r="AH28" s="139"/>
      <c r="AI28" s="140"/>
      <c r="AJ28" s="140"/>
      <c r="AK28" s="140"/>
      <c r="AL28" s="139"/>
      <c r="AM28" s="139"/>
      <c r="AN28" s="139"/>
    </row>
    <row r="29" spans="1:42" ht="20.100000000000001" customHeight="1" x14ac:dyDescent="0.25">
      <c r="A29" s="367">
        <v>21</v>
      </c>
      <c r="B29" s="394">
        <f t="shared" si="3"/>
        <v>20</v>
      </c>
      <c r="C29" s="398" t="s">
        <v>36</v>
      </c>
      <c r="D29" s="251" t="s">
        <v>124</v>
      </c>
      <c r="E29" s="252"/>
      <c r="F29" s="399" t="s">
        <v>114</v>
      </c>
      <c r="G29" s="254" t="s">
        <v>155</v>
      </c>
      <c r="H29" s="255">
        <v>40</v>
      </c>
      <c r="I29" s="210">
        <v>29</v>
      </c>
      <c r="J29" s="210">
        <v>49</v>
      </c>
      <c r="K29" s="209">
        <v>46</v>
      </c>
      <c r="L29" s="210">
        <v>46</v>
      </c>
      <c r="M29" s="273">
        <f>7765.28+1107.91+3282.4+1320.23+1580.98+622.05+447.4+992.16+691.25+3323.84+3765.77+639.43+3380.83+6677.62</f>
        <v>35597.15</v>
      </c>
      <c r="N29" s="273">
        <f>7765.28+1107.91+3282.4+1320.23+1580.98+622.05+447.4+992.16+691.25+3323.84+3765.77+639.43+3380.83+6677.62</f>
        <v>35597.15</v>
      </c>
      <c r="O29" s="292">
        <f t="shared" si="1"/>
        <v>0</v>
      </c>
      <c r="P29" s="213">
        <v>14</v>
      </c>
      <c r="Q29" s="214">
        <v>14</v>
      </c>
      <c r="R29" s="215">
        <v>14</v>
      </c>
      <c r="S29" s="273">
        <f>15185.09+570.43</f>
        <v>15755.52</v>
      </c>
      <c r="T29" s="273">
        <f>15185.09+570.43</f>
        <v>15755.52</v>
      </c>
      <c r="U29" s="273">
        <f t="shared" si="2"/>
        <v>0</v>
      </c>
      <c r="V29" s="161"/>
      <c r="W29" s="136"/>
      <c r="X29" s="137"/>
      <c r="Y29" s="143"/>
      <c r="Z29" s="137"/>
      <c r="AA29" s="138"/>
      <c r="AB29" s="138"/>
      <c r="AC29" s="138"/>
      <c r="AD29" s="138"/>
      <c r="AE29" s="138"/>
      <c r="AF29" s="139"/>
      <c r="AG29" s="139"/>
      <c r="AH29" s="139"/>
      <c r="AI29" s="140"/>
      <c r="AJ29" s="140"/>
      <c r="AK29" s="140"/>
      <c r="AL29" s="139"/>
      <c r="AM29" s="139"/>
      <c r="AN29" s="139"/>
    </row>
    <row r="30" spans="1:42" s="227" customFormat="1" ht="20.100000000000001" customHeight="1" x14ac:dyDescent="0.25">
      <c r="A30" s="367">
        <v>22</v>
      </c>
      <c r="B30" s="394">
        <f t="shared" si="3"/>
        <v>21</v>
      </c>
      <c r="C30" s="250" t="s">
        <v>37</v>
      </c>
      <c r="D30" s="251" t="s">
        <v>124</v>
      </c>
      <c r="E30" s="252"/>
      <c r="F30" s="253" t="s">
        <v>108</v>
      </c>
      <c r="G30" s="254" t="s">
        <v>156</v>
      </c>
      <c r="H30" s="255">
        <v>57</v>
      </c>
      <c r="I30" s="210">
        <v>46</v>
      </c>
      <c r="J30" s="210">
        <v>68</v>
      </c>
      <c r="K30" s="210">
        <v>63</v>
      </c>
      <c r="L30" s="210">
        <v>63</v>
      </c>
      <c r="M30" s="273">
        <f>38400.01+16025.07</f>
        <v>54425.08</v>
      </c>
      <c r="N30" s="273">
        <f>38400.01+16025.07</f>
        <v>54425.08</v>
      </c>
      <c r="O30" s="292">
        <f t="shared" si="1"/>
        <v>0</v>
      </c>
      <c r="P30" s="213">
        <v>23</v>
      </c>
      <c r="Q30" s="215">
        <v>23</v>
      </c>
      <c r="R30" s="215">
        <v>23</v>
      </c>
      <c r="S30" s="273">
        <v>49912.160000000003</v>
      </c>
      <c r="T30" s="273">
        <v>49912.160000000003</v>
      </c>
      <c r="U30" s="273">
        <f t="shared" si="2"/>
        <v>0</v>
      </c>
      <c r="V30" s="229"/>
      <c r="W30" s="231"/>
      <c r="X30" s="137"/>
      <c r="Y30" s="233"/>
      <c r="Z30" s="137"/>
      <c r="AA30" s="138"/>
      <c r="AB30" s="138"/>
      <c r="AC30" s="138"/>
      <c r="AD30" s="138"/>
      <c r="AE30" s="138"/>
      <c r="AF30" s="139"/>
      <c r="AG30" s="139"/>
      <c r="AH30" s="139"/>
      <c r="AI30" s="140"/>
      <c r="AJ30" s="140"/>
      <c r="AK30" s="140"/>
      <c r="AL30" s="139"/>
      <c r="AM30" s="139"/>
      <c r="AN30" s="139"/>
      <c r="AO30" s="230"/>
      <c r="AP30" s="230"/>
    </row>
    <row r="31" spans="1:42" ht="20.100000000000001" customHeight="1" x14ac:dyDescent="0.25">
      <c r="A31" s="367">
        <v>23</v>
      </c>
      <c r="B31" s="394">
        <f>B30+1</f>
        <v>22</v>
      </c>
      <c r="C31" s="250" t="s">
        <v>38</v>
      </c>
      <c r="D31" s="251" t="s">
        <v>124</v>
      </c>
      <c r="E31" s="252"/>
      <c r="F31" s="253" t="s">
        <v>106</v>
      </c>
      <c r="G31" s="254" t="s">
        <v>157</v>
      </c>
      <c r="H31" s="255">
        <v>4</v>
      </c>
      <c r="I31" s="210">
        <v>1</v>
      </c>
      <c r="J31" s="210">
        <v>2</v>
      </c>
      <c r="K31" s="209">
        <v>2</v>
      </c>
      <c r="L31" s="210">
        <v>2</v>
      </c>
      <c r="M31" s="273">
        <v>860.25</v>
      </c>
      <c r="N31" s="273">
        <v>860.25</v>
      </c>
      <c r="O31" s="292">
        <f t="shared" si="1"/>
        <v>0</v>
      </c>
      <c r="P31" s="213">
        <v>2</v>
      </c>
      <c r="Q31" s="214">
        <v>2</v>
      </c>
      <c r="R31" s="215">
        <v>2</v>
      </c>
      <c r="S31" s="273">
        <f>442.37+1014.7</f>
        <v>1457.0700000000002</v>
      </c>
      <c r="T31" s="273">
        <f>442.37+1014.7</f>
        <v>1457.0700000000002</v>
      </c>
      <c r="U31" s="273">
        <f t="shared" si="2"/>
        <v>0</v>
      </c>
      <c r="V31" s="161"/>
      <c r="W31" s="136"/>
      <c r="X31" s="137"/>
      <c r="Y31" s="135"/>
      <c r="Z31" s="137"/>
      <c r="AA31" s="138"/>
      <c r="AB31" s="138"/>
      <c r="AC31" s="138"/>
      <c r="AD31" s="138"/>
      <c r="AE31" s="138"/>
      <c r="AF31" s="139"/>
      <c r="AG31" s="139"/>
      <c r="AH31" s="139"/>
      <c r="AI31" s="140"/>
      <c r="AJ31" s="140"/>
      <c r="AK31" s="140"/>
      <c r="AL31" s="139"/>
      <c r="AM31" s="139"/>
      <c r="AN31" s="139"/>
    </row>
    <row r="32" spans="1:42" ht="20.100000000000001" customHeight="1" x14ac:dyDescent="0.25">
      <c r="B32" s="394">
        <f t="shared" si="3"/>
        <v>23</v>
      </c>
      <c r="C32" s="395" t="s">
        <v>39</v>
      </c>
      <c r="D32" s="251" t="s">
        <v>124</v>
      </c>
      <c r="E32" s="252"/>
      <c r="F32" s="395" t="s">
        <v>105</v>
      </c>
      <c r="G32" s="254" t="s">
        <v>220</v>
      </c>
      <c r="H32" s="255">
        <v>12</v>
      </c>
      <c r="I32" s="210"/>
      <c r="J32" s="210"/>
      <c r="K32" s="209"/>
      <c r="L32" s="210"/>
      <c r="M32" s="273"/>
      <c r="N32" s="273"/>
      <c r="O32" s="292">
        <f t="shared" si="1"/>
        <v>0</v>
      </c>
      <c r="P32" s="213"/>
      <c r="Q32" s="214"/>
      <c r="R32" s="215"/>
      <c r="S32" s="273"/>
      <c r="T32" s="273"/>
      <c r="U32" s="273">
        <f t="shared" si="2"/>
        <v>0</v>
      </c>
      <c r="V32" s="161"/>
      <c r="W32" s="136"/>
      <c r="X32" s="137"/>
      <c r="Y32" s="135"/>
      <c r="Z32" s="137"/>
      <c r="AA32" s="138"/>
      <c r="AB32" s="138"/>
      <c r="AC32" s="138"/>
      <c r="AD32" s="138"/>
      <c r="AE32" s="138"/>
      <c r="AF32" s="139"/>
      <c r="AG32" s="139"/>
      <c r="AH32" s="139"/>
      <c r="AI32" s="140"/>
      <c r="AJ32" s="140"/>
      <c r="AK32" s="140"/>
      <c r="AL32" s="139"/>
      <c r="AM32" s="139"/>
      <c r="AN32" s="139"/>
    </row>
    <row r="33" spans="1:42" x14ac:dyDescent="0.25">
      <c r="A33" s="367">
        <v>86</v>
      </c>
      <c r="B33" s="394">
        <f t="shared" si="3"/>
        <v>24</v>
      </c>
      <c r="C33" s="395" t="s">
        <v>137</v>
      </c>
      <c r="D33" s="251" t="s">
        <v>124</v>
      </c>
      <c r="E33" s="252"/>
      <c r="F33" s="253" t="s">
        <v>106</v>
      </c>
      <c r="G33" s="254" t="s">
        <v>158</v>
      </c>
      <c r="H33" s="255">
        <v>15</v>
      </c>
      <c r="I33" s="210">
        <v>11</v>
      </c>
      <c r="J33" s="210">
        <v>15</v>
      </c>
      <c r="K33" s="209">
        <v>14</v>
      </c>
      <c r="L33" s="210">
        <v>14</v>
      </c>
      <c r="M33" s="273">
        <f>4065+2226.4+2915.4+290+826.9+2392.5</f>
        <v>12716.199999999999</v>
      </c>
      <c r="N33" s="273">
        <f>4065+2226.4+2915.4+290+826.9+2392.5</f>
        <v>12716.199999999999</v>
      </c>
      <c r="O33" s="292">
        <f t="shared" si="1"/>
        <v>0</v>
      </c>
      <c r="P33" s="213"/>
      <c r="Q33" s="214"/>
      <c r="R33" s="215"/>
      <c r="S33" s="273"/>
      <c r="T33" s="273"/>
      <c r="U33" s="273">
        <f t="shared" si="2"/>
        <v>0</v>
      </c>
      <c r="V33" s="161"/>
      <c r="W33" s="136"/>
      <c r="X33" s="137"/>
      <c r="Y33" s="135"/>
      <c r="Z33" s="137"/>
      <c r="AA33" s="138"/>
      <c r="AB33" s="138"/>
      <c r="AC33" s="138"/>
      <c r="AD33" s="138"/>
      <c r="AE33" s="138"/>
      <c r="AF33" s="139"/>
      <c r="AG33" s="139"/>
      <c r="AH33" s="139"/>
      <c r="AI33" s="140"/>
      <c r="AJ33" s="140"/>
      <c r="AK33" s="140"/>
      <c r="AL33" s="139"/>
      <c r="AM33" s="139"/>
      <c r="AN33" s="139"/>
      <c r="AO33" s="243"/>
      <c r="AP33" s="243"/>
    </row>
    <row r="34" spans="1:42" x14ac:dyDescent="0.25">
      <c r="A34" s="367">
        <v>24</v>
      </c>
      <c r="B34" s="394">
        <f t="shared" si="3"/>
        <v>25</v>
      </c>
      <c r="C34" s="398" t="s">
        <v>40</v>
      </c>
      <c r="D34" s="251" t="s">
        <v>124</v>
      </c>
      <c r="E34" s="252"/>
      <c r="F34" s="399" t="s">
        <v>115</v>
      </c>
      <c r="G34" s="254" t="s">
        <v>159</v>
      </c>
      <c r="H34" s="255">
        <v>17</v>
      </c>
      <c r="I34" s="210">
        <v>14</v>
      </c>
      <c r="J34" s="210">
        <v>22</v>
      </c>
      <c r="K34" s="209">
        <v>22</v>
      </c>
      <c r="L34" s="210">
        <v>22</v>
      </c>
      <c r="M34" s="273">
        <f>8742.16+2424.59+5871.23</f>
        <v>17037.98</v>
      </c>
      <c r="N34" s="273">
        <f>8742.16+2424.59+5871.23</f>
        <v>17037.98</v>
      </c>
      <c r="O34" s="292">
        <f t="shared" si="1"/>
        <v>0</v>
      </c>
      <c r="P34" s="213">
        <v>2</v>
      </c>
      <c r="Q34" s="214">
        <v>2</v>
      </c>
      <c r="R34" s="215">
        <v>2</v>
      </c>
      <c r="S34" s="273">
        <v>872.59</v>
      </c>
      <c r="T34" s="273">
        <v>872.59</v>
      </c>
      <c r="U34" s="273">
        <f t="shared" si="2"/>
        <v>0</v>
      </c>
      <c r="V34" s="161"/>
      <c r="W34" s="136"/>
      <c r="X34" s="137"/>
      <c r="Y34" s="143"/>
      <c r="Z34" s="137"/>
      <c r="AA34" s="138"/>
      <c r="AB34" s="138"/>
      <c r="AC34" s="138"/>
      <c r="AD34" s="138"/>
      <c r="AE34" s="138"/>
      <c r="AF34" s="139"/>
      <c r="AG34" s="139"/>
      <c r="AH34" s="139"/>
      <c r="AI34" s="140"/>
      <c r="AJ34" s="140"/>
      <c r="AK34" s="140"/>
      <c r="AL34" s="139"/>
      <c r="AM34" s="139"/>
      <c r="AN34" s="139"/>
      <c r="AO34" s="243"/>
      <c r="AP34" s="243"/>
    </row>
    <row r="35" spans="1:42" x14ac:dyDescent="0.25">
      <c r="A35" s="367">
        <v>25</v>
      </c>
      <c r="B35" s="394">
        <f t="shared" si="3"/>
        <v>26</v>
      </c>
      <c r="C35" s="250" t="s">
        <v>41</v>
      </c>
      <c r="D35" s="251" t="s">
        <v>124</v>
      </c>
      <c r="E35" s="252"/>
      <c r="F35" s="253" t="s">
        <v>106</v>
      </c>
      <c r="G35" s="254" t="s">
        <v>160</v>
      </c>
      <c r="H35" s="255">
        <v>18</v>
      </c>
      <c r="I35" s="210">
        <v>6</v>
      </c>
      <c r="J35" s="210">
        <v>14</v>
      </c>
      <c r="K35" s="209">
        <v>14</v>
      </c>
      <c r="L35" s="210">
        <v>14</v>
      </c>
      <c r="M35" s="273">
        <f>8755.24+1745.06+1162.89+1044</f>
        <v>12707.189999999999</v>
      </c>
      <c r="N35" s="273">
        <f>8755.24+1745.06+1162.89+1044</f>
        <v>12707.189999999999</v>
      </c>
      <c r="O35" s="292">
        <f t="shared" si="1"/>
        <v>0</v>
      </c>
      <c r="P35" s="213">
        <v>10</v>
      </c>
      <c r="Q35" s="214">
        <v>10</v>
      </c>
      <c r="R35" s="215">
        <v>10</v>
      </c>
      <c r="S35" s="273">
        <f>9249.99+1156.49</f>
        <v>10406.48</v>
      </c>
      <c r="T35" s="273">
        <f>9249.99+1156.49</f>
        <v>10406.48</v>
      </c>
      <c r="U35" s="273">
        <f t="shared" si="2"/>
        <v>0</v>
      </c>
      <c r="V35" s="161"/>
      <c r="W35" s="136"/>
      <c r="X35" s="137"/>
      <c r="Y35" s="135"/>
      <c r="Z35" s="137"/>
      <c r="AA35" s="138"/>
      <c r="AB35" s="138"/>
      <c r="AC35" s="138"/>
      <c r="AD35" s="138"/>
      <c r="AE35" s="138"/>
      <c r="AF35" s="139"/>
      <c r="AG35" s="139"/>
      <c r="AH35" s="139"/>
      <c r="AI35" s="140"/>
      <c r="AJ35" s="140"/>
      <c r="AK35" s="140"/>
      <c r="AL35" s="139"/>
      <c r="AM35" s="139"/>
      <c r="AN35" s="139"/>
      <c r="AO35" s="243"/>
      <c r="AP35" s="243"/>
    </row>
    <row r="36" spans="1:42" x14ac:dyDescent="0.25">
      <c r="A36" s="367">
        <v>87</v>
      </c>
      <c r="B36" s="394">
        <f t="shared" si="3"/>
        <v>27</v>
      </c>
      <c r="C36" s="397" t="s">
        <v>42</v>
      </c>
      <c r="D36" s="251" t="s">
        <v>124</v>
      </c>
      <c r="E36" s="252"/>
      <c r="F36" s="253" t="s">
        <v>106</v>
      </c>
      <c r="G36" s="254" t="s">
        <v>221</v>
      </c>
      <c r="H36" s="255">
        <v>29</v>
      </c>
      <c r="I36" s="210">
        <v>15</v>
      </c>
      <c r="J36" s="210">
        <v>16</v>
      </c>
      <c r="K36" s="209">
        <v>16</v>
      </c>
      <c r="L36" s="210">
        <v>16</v>
      </c>
      <c r="M36" s="273">
        <f>2360+2665.25+2800.06+3488.89+1050.79+1436.08</f>
        <v>13801.069999999998</v>
      </c>
      <c r="N36" s="273">
        <f>2360+2665.25+2800.06+3488.89+1050.79+1436.08</f>
        <v>13801.069999999998</v>
      </c>
      <c r="O36" s="292">
        <f t="shared" si="1"/>
        <v>0</v>
      </c>
      <c r="P36" s="213">
        <v>8</v>
      </c>
      <c r="Q36" s="214">
        <v>6</v>
      </c>
      <c r="R36" s="215">
        <v>6</v>
      </c>
      <c r="S36" s="273">
        <f>3433.93+5939.33+1723.52</f>
        <v>11096.78</v>
      </c>
      <c r="T36" s="273">
        <f>3433.93+5939.33+1723.52</f>
        <v>11096.78</v>
      </c>
      <c r="U36" s="273">
        <f t="shared" si="2"/>
        <v>0</v>
      </c>
      <c r="V36" s="161"/>
      <c r="W36" s="136"/>
      <c r="X36" s="137"/>
      <c r="Y36" s="135"/>
      <c r="Z36" s="137"/>
      <c r="AA36" s="138"/>
      <c r="AB36" s="138"/>
      <c r="AC36" s="138"/>
      <c r="AD36" s="138"/>
      <c r="AE36" s="138"/>
      <c r="AF36" s="139"/>
      <c r="AG36" s="139"/>
      <c r="AH36" s="139"/>
      <c r="AI36" s="140"/>
      <c r="AJ36" s="140"/>
      <c r="AK36" s="140"/>
      <c r="AL36" s="139"/>
      <c r="AM36" s="139"/>
      <c r="AN36" s="139"/>
      <c r="AO36" s="243"/>
      <c r="AP36" s="243"/>
    </row>
    <row r="37" spans="1:42" x14ac:dyDescent="0.25">
      <c r="A37" s="367">
        <v>26</v>
      </c>
      <c r="B37" s="394">
        <f t="shared" si="3"/>
        <v>28</v>
      </c>
      <c r="C37" s="397" t="s">
        <v>43</v>
      </c>
      <c r="D37" s="251" t="s">
        <v>124</v>
      </c>
      <c r="E37" s="252"/>
      <c r="F37" s="253" t="s">
        <v>106</v>
      </c>
      <c r="G37" s="254" t="s">
        <v>161</v>
      </c>
      <c r="H37" s="255">
        <v>30</v>
      </c>
      <c r="I37" s="210">
        <v>17</v>
      </c>
      <c r="J37" s="210">
        <v>25</v>
      </c>
      <c r="K37" s="209">
        <v>25</v>
      </c>
      <c r="L37" s="210">
        <v>25</v>
      </c>
      <c r="M37" s="273">
        <f>4126.56+990.2+862.75+145+358.88+1424.06+2121.03+508.5+1472.48+3750.99</f>
        <v>15760.45</v>
      </c>
      <c r="N37" s="273">
        <f>4126.56+990.2+862.75+145+358.88+1424.06+2121.03+508.5+1472.48+3750.99</f>
        <v>15760.45</v>
      </c>
      <c r="O37" s="292">
        <f t="shared" si="1"/>
        <v>0</v>
      </c>
      <c r="P37" s="213">
        <v>2</v>
      </c>
      <c r="Q37" s="214">
        <v>2</v>
      </c>
      <c r="R37" s="215">
        <v>2</v>
      </c>
      <c r="S37" s="273">
        <f>552.96+1556.69</f>
        <v>2109.65</v>
      </c>
      <c r="T37" s="273">
        <f>552.96+1556.69</f>
        <v>2109.65</v>
      </c>
      <c r="U37" s="273">
        <f t="shared" si="2"/>
        <v>0</v>
      </c>
      <c r="V37" s="161"/>
      <c r="W37" s="136"/>
      <c r="X37" s="137"/>
      <c r="Y37" s="135"/>
      <c r="Z37" s="137"/>
      <c r="AA37" s="138"/>
      <c r="AB37" s="138"/>
      <c r="AC37" s="138"/>
      <c r="AD37" s="138"/>
      <c r="AE37" s="138"/>
      <c r="AF37" s="139"/>
      <c r="AG37" s="139"/>
      <c r="AH37" s="139"/>
      <c r="AI37" s="140"/>
      <c r="AJ37" s="140"/>
      <c r="AK37" s="140"/>
      <c r="AL37" s="139"/>
      <c r="AM37" s="139"/>
      <c r="AN37" s="139"/>
      <c r="AO37" s="243"/>
      <c r="AP37" s="243"/>
    </row>
    <row r="38" spans="1:42" x14ac:dyDescent="0.25">
      <c r="A38" s="367">
        <v>27</v>
      </c>
      <c r="B38" s="394">
        <f t="shared" si="3"/>
        <v>29</v>
      </c>
      <c r="C38" s="250" t="s">
        <v>44</v>
      </c>
      <c r="D38" s="251" t="s">
        <v>124</v>
      </c>
      <c r="E38" s="252"/>
      <c r="F38" s="253" t="s">
        <v>105</v>
      </c>
      <c r="G38" s="254" t="s">
        <v>162</v>
      </c>
      <c r="H38" s="255">
        <v>104</v>
      </c>
      <c r="I38" s="210">
        <v>62</v>
      </c>
      <c r="J38" s="210">
        <v>88</v>
      </c>
      <c r="K38" s="209">
        <v>88</v>
      </c>
      <c r="L38" s="210">
        <v>88</v>
      </c>
      <c r="M38" s="273">
        <f>78646.37+5508.02-250.2+5288.53+13878.32-2204.8</f>
        <v>100866.24000000001</v>
      </c>
      <c r="N38" s="273">
        <f>78646.37+5508.02-250.2+5288.53+13878.32-2204.8</f>
        <v>100866.24000000001</v>
      </c>
      <c r="O38" s="292">
        <f t="shared" si="1"/>
        <v>0</v>
      </c>
      <c r="P38" s="213">
        <v>22</v>
      </c>
      <c r="Q38" s="214">
        <v>22</v>
      </c>
      <c r="R38" s="215">
        <v>22</v>
      </c>
      <c r="S38" s="273">
        <f>23775.77+2740.5+2204.8</f>
        <v>28721.07</v>
      </c>
      <c r="T38" s="273">
        <f>23775.77+2740.5+2204.8</f>
        <v>28721.07</v>
      </c>
      <c r="U38" s="273">
        <f t="shared" si="2"/>
        <v>0</v>
      </c>
      <c r="V38" s="161"/>
      <c r="W38" s="136"/>
      <c r="X38" s="137"/>
      <c r="Y38" s="135"/>
      <c r="Z38" s="137"/>
      <c r="AA38" s="138"/>
      <c r="AB38" s="138"/>
      <c r="AC38" s="138"/>
      <c r="AD38" s="138"/>
      <c r="AE38" s="138"/>
      <c r="AF38" s="139"/>
      <c r="AG38" s="139"/>
      <c r="AH38" s="139"/>
      <c r="AI38" s="140"/>
      <c r="AJ38" s="140"/>
      <c r="AK38" s="140"/>
      <c r="AL38" s="139"/>
      <c r="AM38" s="139"/>
      <c r="AN38" s="139"/>
      <c r="AO38" s="243"/>
      <c r="AP38" s="243"/>
    </row>
    <row r="39" spans="1:42" x14ac:dyDescent="0.25">
      <c r="A39" s="367">
        <v>28</v>
      </c>
      <c r="B39" s="394">
        <f t="shared" si="3"/>
        <v>30</v>
      </c>
      <c r="C39" s="250" t="s">
        <v>45</v>
      </c>
      <c r="D39" s="251" t="s">
        <v>124</v>
      </c>
      <c r="E39" s="252"/>
      <c r="F39" s="253" t="s">
        <v>111</v>
      </c>
      <c r="G39" s="254" t="s">
        <v>163</v>
      </c>
      <c r="H39" s="255">
        <v>29</v>
      </c>
      <c r="I39" s="210">
        <v>17</v>
      </c>
      <c r="J39" s="210">
        <v>25</v>
      </c>
      <c r="K39" s="209">
        <v>24</v>
      </c>
      <c r="L39" s="210">
        <v>24</v>
      </c>
      <c r="M39" s="273">
        <f>16746.85+582.9+730.32</f>
        <v>18060.07</v>
      </c>
      <c r="N39" s="273">
        <f>16746.85+582.9+730.32</f>
        <v>18060.07</v>
      </c>
      <c r="O39" s="292">
        <f t="shared" si="1"/>
        <v>0</v>
      </c>
      <c r="P39" s="213">
        <v>4</v>
      </c>
      <c r="Q39" s="214">
        <v>4</v>
      </c>
      <c r="R39" s="215">
        <v>4</v>
      </c>
      <c r="S39" s="273">
        <v>2740.5</v>
      </c>
      <c r="T39" s="273">
        <v>2740.5</v>
      </c>
      <c r="U39" s="273">
        <f t="shared" si="2"/>
        <v>0</v>
      </c>
      <c r="V39" s="161"/>
      <c r="W39" s="136"/>
      <c r="X39" s="137"/>
      <c r="Y39" s="135"/>
      <c r="Z39" s="137"/>
      <c r="AA39" s="138"/>
      <c r="AB39" s="138"/>
      <c r="AC39" s="138"/>
      <c r="AD39" s="138"/>
      <c r="AE39" s="138"/>
      <c r="AF39" s="139"/>
      <c r="AG39" s="139"/>
      <c r="AH39" s="139"/>
      <c r="AI39" s="140"/>
      <c r="AJ39" s="140"/>
      <c r="AK39" s="140"/>
      <c r="AL39" s="139"/>
      <c r="AM39" s="139"/>
      <c r="AN39" s="139"/>
      <c r="AO39" s="243"/>
      <c r="AP39" s="243"/>
    </row>
    <row r="40" spans="1:42" x14ac:dyDescent="0.25">
      <c r="A40" s="367">
        <v>29</v>
      </c>
      <c r="B40" s="394">
        <f>B39+1</f>
        <v>31</v>
      </c>
      <c r="C40" s="395" t="s">
        <v>46</v>
      </c>
      <c r="D40" s="251" t="s">
        <v>124</v>
      </c>
      <c r="E40" s="252"/>
      <c r="F40" s="253" t="s">
        <v>106</v>
      </c>
      <c r="G40" s="254" t="s">
        <v>164</v>
      </c>
      <c r="H40" s="255">
        <v>14</v>
      </c>
      <c r="I40" s="210">
        <v>6</v>
      </c>
      <c r="J40" s="210">
        <v>9</v>
      </c>
      <c r="K40" s="209">
        <v>7</v>
      </c>
      <c r="L40" s="210">
        <v>7</v>
      </c>
      <c r="M40" s="273">
        <f>5430.01+288.1+942.05</f>
        <v>6660.1600000000008</v>
      </c>
      <c r="N40" s="273">
        <f>5430.01+288.1+942.05</f>
        <v>6660.1600000000008</v>
      </c>
      <c r="O40" s="292">
        <f t="shared" si="1"/>
        <v>0</v>
      </c>
      <c r="P40" s="213">
        <v>5</v>
      </c>
      <c r="Q40" s="214">
        <v>5</v>
      </c>
      <c r="R40" s="215">
        <v>5</v>
      </c>
      <c r="S40" s="273">
        <f>3996.7+1341.47+7404.94+502.73</f>
        <v>13245.84</v>
      </c>
      <c r="T40" s="273">
        <f>3996.7+1341.47+7404.94+502.73</f>
        <v>13245.84</v>
      </c>
      <c r="U40" s="273">
        <f t="shared" si="2"/>
        <v>0</v>
      </c>
      <c r="V40" s="161"/>
      <c r="W40" s="136"/>
      <c r="X40" s="137"/>
      <c r="Y40" s="135"/>
      <c r="Z40" s="137"/>
      <c r="AA40" s="138"/>
      <c r="AB40" s="138"/>
      <c r="AC40" s="138"/>
      <c r="AD40" s="138"/>
      <c r="AE40" s="138"/>
      <c r="AF40" s="139"/>
      <c r="AG40" s="139"/>
      <c r="AH40" s="139"/>
      <c r="AI40" s="140"/>
      <c r="AJ40" s="140"/>
      <c r="AK40" s="140"/>
      <c r="AL40" s="139"/>
      <c r="AM40" s="139"/>
      <c r="AN40" s="139"/>
      <c r="AO40" s="243"/>
      <c r="AP40" s="243"/>
    </row>
    <row r="41" spans="1:42" x14ac:dyDescent="0.25">
      <c r="A41" s="367">
        <v>30</v>
      </c>
      <c r="B41" s="394">
        <f t="shared" si="3"/>
        <v>32</v>
      </c>
      <c r="C41" s="395" t="s">
        <v>47</v>
      </c>
      <c r="D41" s="251" t="s">
        <v>124</v>
      </c>
      <c r="E41" s="252"/>
      <c r="F41" s="253" t="s">
        <v>116</v>
      </c>
      <c r="G41" s="254" t="s">
        <v>165</v>
      </c>
      <c r="H41" s="255">
        <v>44</v>
      </c>
      <c r="I41" s="210">
        <v>28</v>
      </c>
      <c r="J41" s="210">
        <v>30</v>
      </c>
      <c r="K41" s="209">
        <v>30</v>
      </c>
      <c r="L41" s="210">
        <v>30</v>
      </c>
      <c r="M41" s="273">
        <f>4892.78+1033.5+545.69+1551.08+3520.24+1598.15+4243.46+2717.97</f>
        <v>20102.87</v>
      </c>
      <c r="N41" s="273">
        <f>4892.78+1033.5+545.69+1551.08+3520.24+1598.15+4243.46+2717.97</f>
        <v>20102.87</v>
      </c>
      <c r="O41" s="292">
        <f t="shared" si="1"/>
        <v>0</v>
      </c>
      <c r="P41" s="213">
        <v>4</v>
      </c>
      <c r="Q41" s="214">
        <v>4</v>
      </c>
      <c r="R41" s="215">
        <v>4</v>
      </c>
      <c r="S41" s="273">
        <f>1842.88+373.68</f>
        <v>2216.56</v>
      </c>
      <c r="T41" s="273">
        <f>1842.88+373.68</f>
        <v>2216.56</v>
      </c>
      <c r="U41" s="273">
        <f t="shared" si="2"/>
        <v>0</v>
      </c>
      <c r="V41" s="161"/>
      <c r="W41" s="136"/>
      <c r="X41" s="137"/>
      <c r="Y41" s="135"/>
      <c r="Z41" s="137"/>
      <c r="AA41" s="138"/>
      <c r="AB41" s="138"/>
      <c r="AC41" s="138"/>
      <c r="AD41" s="138"/>
      <c r="AE41" s="138"/>
      <c r="AF41" s="139"/>
      <c r="AG41" s="139"/>
      <c r="AH41" s="139"/>
      <c r="AI41" s="140"/>
      <c r="AJ41" s="140"/>
      <c r="AK41" s="140"/>
      <c r="AL41" s="139"/>
      <c r="AM41" s="139"/>
      <c r="AN41" s="139"/>
      <c r="AO41" s="243"/>
      <c r="AP41" s="243"/>
    </row>
    <row r="42" spans="1:42" x14ac:dyDescent="0.25">
      <c r="A42" s="367">
        <v>32</v>
      </c>
      <c r="B42" s="394">
        <f t="shared" si="3"/>
        <v>33</v>
      </c>
      <c r="C42" s="401" t="s">
        <v>48</v>
      </c>
      <c r="D42" s="251" t="s">
        <v>124</v>
      </c>
      <c r="E42" s="252"/>
      <c r="F42" s="253" t="s">
        <v>106</v>
      </c>
      <c r="G42" s="254" t="s">
        <v>166</v>
      </c>
      <c r="H42" s="255">
        <v>16</v>
      </c>
      <c r="I42" s="210">
        <v>7</v>
      </c>
      <c r="J42" s="210">
        <v>15</v>
      </c>
      <c r="K42" s="209">
        <v>15</v>
      </c>
      <c r="L42" s="210">
        <v>15</v>
      </c>
      <c r="M42" s="273">
        <f>5095.29+1605.75+430.65+529.04+145+1216.54+435</f>
        <v>9457.27</v>
      </c>
      <c r="N42" s="273">
        <f>5095.29+1605.75+430.65+529.04+145+1216.54+435</f>
        <v>9457.27</v>
      </c>
      <c r="O42" s="292">
        <f t="shared" si="1"/>
        <v>0</v>
      </c>
      <c r="P42" s="213">
        <v>5</v>
      </c>
      <c r="Q42" s="214">
        <v>5</v>
      </c>
      <c r="R42" s="215">
        <v>5</v>
      </c>
      <c r="S42" s="273">
        <v>5832.14</v>
      </c>
      <c r="T42" s="273">
        <v>5832.14</v>
      </c>
      <c r="U42" s="273">
        <f t="shared" si="2"/>
        <v>0</v>
      </c>
      <c r="V42" s="161"/>
      <c r="W42" s="136"/>
      <c r="X42" s="137"/>
      <c r="Y42" s="135"/>
      <c r="Z42" s="137"/>
      <c r="AA42" s="138"/>
      <c r="AB42" s="138"/>
      <c r="AC42" s="138"/>
      <c r="AD42" s="138"/>
      <c r="AE42" s="138"/>
      <c r="AF42" s="139"/>
      <c r="AG42" s="139"/>
      <c r="AH42" s="139"/>
      <c r="AI42" s="140"/>
      <c r="AJ42" s="140"/>
      <c r="AK42" s="140"/>
      <c r="AL42" s="139"/>
      <c r="AM42" s="139"/>
      <c r="AN42" s="139"/>
      <c r="AO42" s="243"/>
      <c r="AP42" s="243"/>
    </row>
    <row r="43" spans="1:42" x14ac:dyDescent="0.25">
      <c r="A43" s="367">
        <v>33</v>
      </c>
      <c r="B43" s="394">
        <f t="shared" si="3"/>
        <v>34</v>
      </c>
      <c r="C43" s="395" t="s">
        <v>49</v>
      </c>
      <c r="D43" s="251" t="s">
        <v>124</v>
      </c>
      <c r="E43" s="252"/>
      <c r="F43" s="253" t="s">
        <v>106</v>
      </c>
      <c r="G43" s="254" t="s">
        <v>167</v>
      </c>
      <c r="H43" s="255">
        <v>30</v>
      </c>
      <c r="I43" s="210">
        <v>16</v>
      </c>
      <c r="J43" s="210">
        <v>26</v>
      </c>
      <c r="K43" s="209">
        <v>25</v>
      </c>
      <c r="L43" s="210">
        <v>25</v>
      </c>
      <c r="M43" s="273">
        <f>28407.24+4596.5+580-144+2034.71</f>
        <v>35474.450000000004</v>
      </c>
      <c r="N43" s="273">
        <f>28407.24+4596.5+580-144+2034.71</f>
        <v>35474.450000000004</v>
      </c>
      <c r="O43" s="292">
        <f t="shared" si="1"/>
        <v>0</v>
      </c>
      <c r="P43" s="213">
        <v>7</v>
      </c>
      <c r="Q43" s="214">
        <v>7</v>
      </c>
      <c r="R43" s="215">
        <v>7</v>
      </c>
      <c r="S43" s="273">
        <v>7539.4</v>
      </c>
      <c r="T43" s="273">
        <v>7539.4</v>
      </c>
      <c r="U43" s="273">
        <f t="shared" si="2"/>
        <v>0</v>
      </c>
      <c r="V43" s="161"/>
      <c r="W43" s="136"/>
      <c r="X43" s="137"/>
      <c r="Y43" s="135"/>
      <c r="Z43" s="137"/>
      <c r="AA43" s="138"/>
      <c r="AB43" s="138"/>
      <c r="AC43" s="138"/>
      <c r="AD43" s="138"/>
      <c r="AE43" s="138"/>
      <c r="AF43" s="139"/>
      <c r="AG43" s="139"/>
      <c r="AH43" s="139"/>
      <c r="AI43" s="140"/>
      <c r="AJ43" s="140"/>
      <c r="AK43" s="140"/>
      <c r="AL43" s="139"/>
      <c r="AM43" s="139"/>
      <c r="AN43" s="139"/>
      <c r="AO43" s="243"/>
      <c r="AP43" s="243"/>
    </row>
    <row r="44" spans="1:42" x14ac:dyDescent="0.25">
      <c r="A44" s="367">
        <v>34</v>
      </c>
      <c r="B44" s="394">
        <f t="shared" si="3"/>
        <v>35</v>
      </c>
      <c r="C44" s="397" t="s">
        <v>50</v>
      </c>
      <c r="D44" s="251" t="s">
        <v>124</v>
      </c>
      <c r="E44" s="252"/>
      <c r="F44" s="253" t="s">
        <v>106</v>
      </c>
      <c r="G44" s="254" t="s">
        <v>168</v>
      </c>
      <c r="H44" s="255">
        <v>16</v>
      </c>
      <c r="I44" s="210">
        <v>12</v>
      </c>
      <c r="J44" s="210">
        <v>19</v>
      </c>
      <c r="K44" s="209">
        <v>19</v>
      </c>
      <c r="L44" s="210">
        <v>19</v>
      </c>
      <c r="M44" s="273">
        <f>22500.73-141.1+1528.85</f>
        <v>23888.48</v>
      </c>
      <c r="N44" s="273">
        <f>22500.73-141.1+1528.85</f>
        <v>23888.48</v>
      </c>
      <c r="O44" s="292">
        <f t="shared" si="1"/>
        <v>0</v>
      </c>
      <c r="P44" s="213">
        <v>11</v>
      </c>
      <c r="Q44" s="214">
        <v>11</v>
      </c>
      <c r="R44" s="215">
        <v>11</v>
      </c>
      <c r="S44" s="273">
        <f>3997.92+850.65+4367.7+2262.73+189.48+1019.96+473.69</f>
        <v>13162.13</v>
      </c>
      <c r="T44" s="273">
        <f>3997.92+850.65+4367.7+2262.73+189.48+1019.96+473.69</f>
        <v>13162.13</v>
      </c>
      <c r="U44" s="273">
        <f t="shared" si="2"/>
        <v>0</v>
      </c>
      <c r="V44" s="161"/>
      <c r="W44" s="136"/>
      <c r="X44" s="137"/>
      <c r="Y44" s="135"/>
      <c r="Z44" s="137"/>
      <c r="AA44" s="138"/>
      <c r="AB44" s="138"/>
      <c r="AC44" s="138"/>
      <c r="AD44" s="138"/>
      <c r="AE44" s="138"/>
      <c r="AF44" s="139"/>
      <c r="AG44" s="139"/>
      <c r="AH44" s="139"/>
      <c r="AI44" s="140"/>
      <c r="AJ44" s="140"/>
      <c r="AK44" s="140"/>
      <c r="AL44" s="139"/>
      <c r="AM44" s="139"/>
      <c r="AN44" s="139"/>
      <c r="AO44" s="243"/>
      <c r="AP44" s="243"/>
    </row>
    <row r="45" spans="1:42" x14ac:dyDescent="0.25">
      <c r="B45" s="394">
        <f t="shared" si="3"/>
        <v>36</v>
      </c>
      <c r="C45" s="250" t="s">
        <v>51</v>
      </c>
      <c r="D45" s="251" t="s">
        <v>124</v>
      </c>
      <c r="E45" s="252"/>
      <c r="F45" s="400" t="s">
        <v>112</v>
      </c>
      <c r="G45" s="254"/>
      <c r="H45" s="255"/>
      <c r="I45" s="210"/>
      <c r="J45" s="210"/>
      <c r="K45" s="209"/>
      <c r="L45" s="210"/>
      <c r="M45" s="273"/>
      <c r="N45" s="273"/>
      <c r="O45" s="292">
        <f t="shared" si="1"/>
        <v>0</v>
      </c>
      <c r="P45" s="213"/>
      <c r="Q45" s="214"/>
      <c r="R45" s="215"/>
      <c r="S45" s="273"/>
      <c r="T45" s="273"/>
      <c r="U45" s="273">
        <f t="shared" si="2"/>
        <v>0</v>
      </c>
      <c r="V45" s="161"/>
      <c r="W45" s="136"/>
      <c r="X45" s="137"/>
      <c r="Y45" s="142"/>
      <c r="Z45" s="137"/>
      <c r="AA45" s="138"/>
      <c r="AB45" s="138"/>
      <c r="AC45" s="138"/>
      <c r="AD45" s="138"/>
      <c r="AE45" s="138"/>
      <c r="AF45" s="139"/>
      <c r="AG45" s="139"/>
      <c r="AH45" s="139"/>
      <c r="AI45" s="140"/>
      <c r="AJ45" s="140"/>
      <c r="AK45" s="140"/>
      <c r="AL45" s="139"/>
      <c r="AM45" s="139"/>
      <c r="AN45" s="139"/>
      <c r="AO45" s="243"/>
      <c r="AP45" s="243"/>
    </row>
    <row r="46" spans="1:42" x14ac:dyDescent="0.25">
      <c r="A46" s="367">
        <v>37</v>
      </c>
      <c r="B46" s="394">
        <f t="shared" si="3"/>
        <v>37</v>
      </c>
      <c r="C46" s="250" t="s">
        <v>131</v>
      </c>
      <c r="D46" s="251" t="s">
        <v>124</v>
      </c>
      <c r="E46" s="252"/>
      <c r="F46" s="400" t="s">
        <v>106</v>
      </c>
      <c r="G46" s="254" t="s">
        <v>171</v>
      </c>
      <c r="H46" s="255">
        <v>25</v>
      </c>
      <c r="I46" s="210">
        <v>18</v>
      </c>
      <c r="J46" s="210">
        <v>21</v>
      </c>
      <c r="K46" s="209">
        <v>19</v>
      </c>
      <c r="L46" s="210">
        <v>19</v>
      </c>
      <c r="M46" s="273">
        <f>7372.32+580</f>
        <v>7952.32</v>
      </c>
      <c r="N46" s="273">
        <f>7372.32+580</f>
        <v>7952.32</v>
      </c>
      <c r="O46" s="292">
        <f t="shared" si="1"/>
        <v>0</v>
      </c>
      <c r="P46" s="213">
        <v>2</v>
      </c>
      <c r="Q46" s="214">
        <v>2</v>
      </c>
      <c r="R46" s="215">
        <v>2</v>
      </c>
      <c r="S46" s="273">
        <v>12091.23</v>
      </c>
      <c r="T46" s="273">
        <v>12091.23</v>
      </c>
      <c r="U46" s="273">
        <f t="shared" si="2"/>
        <v>0</v>
      </c>
      <c r="V46" s="161"/>
      <c r="W46" s="136"/>
      <c r="X46" s="137"/>
      <c r="Y46" s="142"/>
      <c r="Z46" s="137"/>
      <c r="AA46" s="138"/>
      <c r="AB46" s="138"/>
      <c r="AC46" s="138"/>
      <c r="AD46" s="138"/>
      <c r="AE46" s="138"/>
      <c r="AF46" s="139"/>
      <c r="AG46" s="139"/>
      <c r="AH46" s="139"/>
      <c r="AI46" s="140"/>
      <c r="AJ46" s="140"/>
      <c r="AK46" s="140"/>
      <c r="AL46" s="139"/>
      <c r="AM46" s="139"/>
      <c r="AN46" s="139"/>
      <c r="AO46" s="243"/>
      <c r="AP46" s="243"/>
    </row>
    <row r="47" spans="1:42" x14ac:dyDescent="0.25">
      <c r="A47" s="367">
        <v>35</v>
      </c>
      <c r="B47" s="394">
        <f t="shared" si="3"/>
        <v>38</v>
      </c>
      <c r="C47" s="397" t="s">
        <v>52</v>
      </c>
      <c r="D47" s="251" t="s">
        <v>124</v>
      </c>
      <c r="E47" s="252"/>
      <c r="F47" s="253" t="s">
        <v>106</v>
      </c>
      <c r="G47" s="254" t="s">
        <v>169</v>
      </c>
      <c r="H47" s="255">
        <v>70</v>
      </c>
      <c r="I47" s="210">
        <v>35</v>
      </c>
      <c r="J47" s="210">
        <v>51</v>
      </c>
      <c r="K47" s="209">
        <v>46</v>
      </c>
      <c r="L47" s="210">
        <v>46</v>
      </c>
      <c r="M47" s="273">
        <f>28405.79+645.98+291.1+4099.14</f>
        <v>33442.01</v>
      </c>
      <c r="N47" s="273">
        <f>28405.79+645.98+291.1+4099.14</f>
        <v>33442.01</v>
      </c>
      <c r="O47" s="292">
        <f t="shared" si="1"/>
        <v>0</v>
      </c>
      <c r="P47" s="213">
        <v>3</v>
      </c>
      <c r="Q47" s="214">
        <v>3</v>
      </c>
      <c r="R47" s="215">
        <v>3</v>
      </c>
      <c r="S47" s="273">
        <f>1209.11+1311.53</f>
        <v>2520.64</v>
      </c>
      <c r="T47" s="273">
        <f>1209.11+1311.53</f>
        <v>2520.64</v>
      </c>
      <c r="U47" s="273">
        <f t="shared" si="2"/>
        <v>0</v>
      </c>
      <c r="V47" s="161"/>
      <c r="W47" s="136"/>
      <c r="X47" s="137"/>
      <c r="Y47" s="135"/>
      <c r="Z47" s="137"/>
      <c r="AA47" s="138"/>
      <c r="AB47" s="138"/>
      <c r="AC47" s="138"/>
      <c r="AD47" s="138"/>
      <c r="AE47" s="138"/>
      <c r="AF47" s="139"/>
      <c r="AG47" s="139"/>
      <c r="AH47" s="139"/>
      <c r="AI47" s="140"/>
      <c r="AJ47" s="140"/>
      <c r="AK47" s="140"/>
      <c r="AL47" s="139"/>
      <c r="AM47" s="139"/>
      <c r="AN47" s="139"/>
      <c r="AO47" s="243"/>
      <c r="AP47" s="243"/>
    </row>
    <row r="48" spans="1:42" x14ac:dyDescent="0.25">
      <c r="A48" s="367">
        <v>36</v>
      </c>
      <c r="B48" s="394">
        <f t="shared" si="3"/>
        <v>39</v>
      </c>
      <c r="C48" s="395" t="s">
        <v>53</v>
      </c>
      <c r="D48" s="251" t="s">
        <v>124</v>
      </c>
      <c r="E48" s="252"/>
      <c r="F48" s="253" t="s">
        <v>105</v>
      </c>
      <c r="G48" s="254" t="s">
        <v>170</v>
      </c>
      <c r="H48" s="255">
        <v>22</v>
      </c>
      <c r="I48" s="210">
        <v>9</v>
      </c>
      <c r="J48" s="210">
        <v>12</v>
      </c>
      <c r="K48" s="209">
        <v>12</v>
      </c>
      <c r="L48" s="210">
        <v>12</v>
      </c>
      <c r="M48" s="273">
        <f>8890.84+1828.05+435+2479.5+5116.5</f>
        <v>18749.89</v>
      </c>
      <c r="N48" s="273">
        <f>8890.84+1828.05+435+2479.5+5116.5</f>
        <v>18749.89</v>
      </c>
      <c r="O48" s="292">
        <f t="shared" si="1"/>
        <v>0</v>
      </c>
      <c r="P48" s="213">
        <v>3</v>
      </c>
      <c r="Q48" s="214">
        <v>3</v>
      </c>
      <c r="R48" s="215">
        <v>3</v>
      </c>
      <c r="S48" s="273">
        <f>2800.4+5022.92</f>
        <v>7823.32</v>
      </c>
      <c r="T48" s="273">
        <f>2800.4+5022.92</f>
        <v>7823.32</v>
      </c>
      <c r="U48" s="273">
        <f t="shared" si="2"/>
        <v>0</v>
      </c>
      <c r="V48" s="161"/>
      <c r="W48" s="136"/>
      <c r="X48" s="137"/>
      <c r="Y48" s="135"/>
      <c r="Z48" s="137"/>
      <c r="AA48" s="138"/>
      <c r="AB48" s="138"/>
      <c r="AC48" s="138"/>
      <c r="AD48" s="138"/>
      <c r="AE48" s="138"/>
      <c r="AF48" s="139"/>
      <c r="AG48" s="139"/>
      <c r="AH48" s="139"/>
      <c r="AI48" s="140"/>
      <c r="AJ48" s="140"/>
      <c r="AK48" s="140"/>
      <c r="AL48" s="139"/>
      <c r="AM48" s="139"/>
      <c r="AN48" s="139"/>
      <c r="AO48" s="243"/>
      <c r="AP48" s="243"/>
    </row>
    <row r="49" spans="1:42" x14ac:dyDescent="0.25">
      <c r="A49" s="367">
        <v>38</v>
      </c>
      <c r="B49" s="394">
        <f t="shared" si="3"/>
        <v>40</v>
      </c>
      <c r="C49" s="395" t="s">
        <v>54</v>
      </c>
      <c r="D49" s="251" t="s">
        <v>124</v>
      </c>
      <c r="E49" s="252"/>
      <c r="F49" s="253" t="s">
        <v>106</v>
      </c>
      <c r="G49" s="254" t="s">
        <v>172</v>
      </c>
      <c r="H49" s="255">
        <v>23</v>
      </c>
      <c r="I49" s="210">
        <v>13</v>
      </c>
      <c r="J49" s="210">
        <v>22</v>
      </c>
      <c r="K49" s="209">
        <v>22</v>
      </c>
      <c r="L49" s="210">
        <v>22</v>
      </c>
      <c r="M49" s="273">
        <f>8028.06+5056.88</f>
        <v>13084.94</v>
      </c>
      <c r="N49" s="273">
        <f>8028.06+5056.88</f>
        <v>13084.94</v>
      </c>
      <c r="O49" s="292">
        <f t="shared" si="1"/>
        <v>0</v>
      </c>
      <c r="P49" s="213">
        <v>10</v>
      </c>
      <c r="Q49" s="214">
        <v>10</v>
      </c>
      <c r="R49" s="215">
        <v>10</v>
      </c>
      <c r="S49" s="273">
        <f>8296.23+1378+5368+1032.31</f>
        <v>16074.539999999999</v>
      </c>
      <c r="T49" s="273">
        <f>8296.23+1378+5368+1032.31</f>
        <v>16074.539999999999</v>
      </c>
      <c r="U49" s="273">
        <f t="shared" si="2"/>
        <v>0</v>
      </c>
      <c r="V49" s="161"/>
      <c r="W49" s="136"/>
      <c r="X49" s="137"/>
      <c r="Y49" s="135"/>
      <c r="Z49" s="137"/>
      <c r="AA49" s="138"/>
      <c r="AB49" s="138"/>
      <c r="AC49" s="138"/>
      <c r="AD49" s="138"/>
      <c r="AE49" s="138"/>
      <c r="AF49" s="139"/>
      <c r="AG49" s="139"/>
      <c r="AH49" s="139"/>
      <c r="AI49" s="140"/>
      <c r="AJ49" s="140"/>
      <c r="AK49" s="140"/>
      <c r="AL49" s="139"/>
      <c r="AM49" s="139"/>
      <c r="AN49" s="139"/>
      <c r="AO49" s="243"/>
      <c r="AP49" s="243"/>
    </row>
    <row r="50" spans="1:42" x14ac:dyDescent="0.25">
      <c r="A50" s="367">
        <v>39</v>
      </c>
      <c r="B50" s="394">
        <f t="shared" si="3"/>
        <v>41</v>
      </c>
      <c r="C50" s="395" t="s">
        <v>55</v>
      </c>
      <c r="D50" s="251" t="s">
        <v>124</v>
      </c>
      <c r="E50" s="252"/>
      <c r="F50" s="253" t="s">
        <v>106</v>
      </c>
      <c r="G50" s="254" t="s">
        <v>173</v>
      </c>
      <c r="H50" s="255">
        <v>68</v>
      </c>
      <c r="I50" s="210">
        <v>24</v>
      </c>
      <c r="J50" s="210">
        <v>27</v>
      </c>
      <c r="K50" s="209">
        <v>27</v>
      </c>
      <c r="L50" s="210">
        <v>27</v>
      </c>
      <c r="M50" s="273">
        <f>8308.92+786.44+453+302+1256.5+1232.5+2228.2+892.3+5116.5+1554.43</f>
        <v>22130.79</v>
      </c>
      <c r="N50" s="273">
        <f>8308.92+786.44+453+302+1256.5+1232.5+2228.2+892.3+5116.5+1554.43</f>
        <v>22130.79</v>
      </c>
      <c r="O50" s="292">
        <f t="shared" si="1"/>
        <v>0</v>
      </c>
      <c r="P50" s="213">
        <v>6</v>
      </c>
      <c r="Q50" s="214">
        <v>6</v>
      </c>
      <c r="R50" s="215">
        <v>6</v>
      </c>
      <c r="S50" s="273">
        <f>2457.28+1725.6+5017.9+1584.7</f>
        <v>10785.48</v>
      </c>
      <c r="T50" s="273">
        <f>2457.28+1725.6+5017.9+1584.7</f>
        <v>10785.48</v>
      </c>
      <c r="U50" s="273">
        <f t="shared" si="2"/>
        <v>0</v>
      </c>
      <c r="V50" s="161"/>
      <c r="W50" s="136"/>
      <c r="X50" s="137"/>
      <c r="Y50" s="135"/>
      <c r="Z50" s="137"/>
      <c r="AA50" s="138"/>
      <c r="AB50" s="138"/>
      <c r="AC50" s="138"/>
      <c r="AD50" s="138"/>
      <c r="AE50" s="138"/>
      <c r="AF50" s="139"/>
      <c r="AG50" s="139"/>
      <c r="AH50" s="139"/>
      <c r="AI50" s="140"/>
      <c r="AJ50" s="140"/>
      <c r="AK50" s="140"/>
      <c r="AL50" s="139"/>
      <c r="AM50" s="139"/>
      <c r="AN50" s="139"/>
      <c r="AO50" s="243"/>
      <c r="AP50" s="243"/>
    </row>
    <row r="51" spans="1:42" x14ac:dyDescent="0.25">
      <c r="A51" s="367">
        <v>40</v>
      </c>
      <c r="B51" s="394">
        <f t="shared" si="3"/>
        <v>42</v>
      </c>
      <c r="C51" s="395" t="s">
        <v>56</v>
      </c>
      <c r="D51" s="251" t="s">
        <v>124</v>
      </c>
      <c r="E51" s="252"/>
      <c r="F51" s="253" t="s">
        <v>106</v>
      </c>
      <c r="G51" s="254" t="s">
        <v>174</v>
      </c>
      <c r="H51" s="255">
        <v>38</v>
      </c>
      <c r="I51" s="210">
        <v>19</v>
      </c>
      <c r="J51" s="210">
        <v>23</v>
      </c>
      <c r="K51" s="209">
        <v>23</v>
      </c>
      <c r="L51" s="210">
        <v>23</v>
      </c>
      <c r="M51" s="273">
        <f>11276.82+870+5474.5</f>
        <v>17621.32</v>
      </c>
      <c r="N51" s="273">
        <f>11276.82+870+5474.5</f>
        <v>17621.32</v>
      </c>
      <c r="O51" s="292">
        <f t="shared" si="1"/>
        <v>0</v>
      </c>
      <c r="P51" s="213">
        <v>1</v>
      </c>
      <c r="Q51" s="214">
        <v>1</v>
      </c>
      <c r="R51" s="215">
        <v>1</v>
      </c>
      <c r="S51" s="273">
        <f>728.15</f>
        <v>728.15</v>
      </c>
      <c r="T51" s="273">
        <f>728.15</f>
        <v>728.15</v>
      </c>
      <c r="U51" s="273">
        <f t="shared" si="2"/>
        <v>0</v>
      </c>
      <c r="V51" s="161"/>
      <c r="W51" s="136"/>
      <c r="X51" s="137"/>
      <c r="Y51" s="135"/>
      <c r="Z51" s="137"/>
      <c r="AA51" s="138"/>
      <c r="AB51" s="138"/>
      <c r="AC51" s="138"/>
      <c r="AD51" s="138"/>
      <c r="AE51" s="138"/>
      <c r="AF51" s="139"/>
      <c r="AG51" s="139"/>
      <c r="AH51" s="139"/>
      <c r="AI51" s="140"/>
      <c r="AJ51" s="140"/>
      <c r="AK51" s="140"/>
      <c r="AL51" s="139"/>
      <c r="AM51" s="139"/>
      <c r="AN51" s="139"/>
      <c r="AO51" s="243"/>
      <c r="AP51" s="243"/>
    </row>
    <row r="52" spans="1:42" x14ac:dyDescent="0.25">
      <c r="A52" s="367">
        <v>41</v>
      </c>
      <c r="B52" s="394">
        <f t="shared" si="3"/>
        <v>43</v>
      </c>
      <c r="C52" s="397" t="s">
        <v>57</v>
      </c>
      <c r="D52" s="251" t="s">
        <v>124</v>
      </c>
      <c r="E52" s="252"/>
      <c r="F52" s="253" t="s">
        <v>106</v>
      </c>
      <c r="G52" s="254" t="s">
        <v>175</v>
      </c>
      <c r="H52" s="255">
        <v>26</v>
      </c>
      <c r="I52" s="210">
        <v>18</v>
      </c>
      <c r="J52" s="210">
        <v>21</v>
      </c>
      <c r="K52" s="209">
        <v>20</v>
      </c>
      <c r="L52" s="210">
        <v>20</v>
      </c>
      <c r="M52" s="273">
        <f>10557.44+145+1584.7+1684.21-1444.96</f>
        <v>12526.390000000003</v>
      </c>
      <c r="N52" s="273">
        <f>10557.44+145+1584.7+1684.21-1444.96</f>
        <v>12526.390000000003</v>
      </c>
      <c r="O52" s="292">
        <f t="shared" si="1"/>
        <v>0</v>
      </c>
      <c r="P52" s="213">
        <v>13</v>
      </c>
      <c r="Q52" s="214">
        <v>13</v>
      </c>
      <c r="R52" s="215">
        <v>13</v>
      </c>
      <c r="S52" s="273">
        <f>1535.39+1035.3+828.82+12756.45+716.22+1679.72+1444.96</f>
        <v>19996.86</v>
      </c>
      <c r="T52" s="273">
        <f>1535.39+1035.3+828.82+12756.45+716.22+1679.72+1444.96</f>
        <v>19996.86</v>
      </c>
      <c r="U52" s="273">
        <f t="shared" si="2"/>
        <v>0</v>
      </c>
      <c r="V52" s="161"/>
      <c r="W52" s="136"/>
      <c r="X52" s="137"/>
      <c r="Y52" s="135"/>
      <c r="Z52" s="137"/>
      <c r="AA52" s="138"/>
      <c r="AB52" s="138"/>
      <c r="AC52" s="138"/>
      <c r="AD52" s="138"/>
      <c r="AE52" s="138"/>
      <c r="AF52" s="139"/>
      <c r="AG52" s="139"/>
      <c r="AH52" s="139"/>
      <c r="AI52" s="140"/>
      <c r="AJ52" s="140"/>
      <c r="AK52" s="140"/>
      <c r="AL52" s="139"/>
      <c r="AM52" s="139"/>
      <c r="AN52" s="139"/>
      <c r="AO52" s="243"/>
      <c r="AP52" s="243"/>
    </row>
    <row r="53" spans="1:42" x14ac:dyDescent="0.25">
      <c r="A53" s="367">
        <v>42</v>
      </c>
      <c r="B53" s="394">
        <f t="shared" si="3"/>
        <v>44</v>
      </c>
      <c r="C53" s="397" t="s">
        <v>58</v>
      </c>
      <c r="D53" s="251" t="s">
        <v>124</v>
      </c>
      <c r="E53" s="252"/>
      <c r="F53" s="253" t="s">
        <v>106</v>
      </c>
      <c r="G53" s="254" t="s">
        <v>260</v>
      </c>
      <c r="H53" s="255">
        <v>23</v>
      </c>
      <c r="I53" s="210">
        <v>6</v>
      </c>
      <c r="J53" s="210">
        <v>6</v>
      </c>
      <c r="K53" s="209">
        <v>4</v>
      </c>
      <c r="L53" s="210">
        <v>4</v>
      </c>
      <c r="M53" s="273">
        <f>1102.4+328.37+1596</f>
        <v>3026.77</v>
      </c>
      <c r="N53" s="273">
        <f>1102.4+328.37+1596</f>
        <v>3026.77</v>
      </c>
      <c r="O53" s="292">
        <f t="shared" si="1"/>
        <v>0</v>
      </c>
      <c r="P53" s="213">
        <v>2</v>
      </c>
      <c r="Q53" s="214">
        <v>2</v>
      </c>
      <c r="R53" s="215">
        <v>2</v>
      </c>
      <c r="S53" s="273">
        <v>688</v>
      </c>
      <c r="T53" s="273">
        <v>688</v>
      </c>
      <c r="U53" s="273">
        <f t="shared" si="2"/>
        <v>0</v>
      </c>
      <c r="V53" s="161"/>
      <c r="W53" s="136"/>
      <c r="X53" s="137"/>
      <c r="Y53" s="135"/>
      <c r="Z53" s="137"/>
      <c r="AA53" s="138"/>
      <c r="AB53" s="138"/>
      <c r="AC53" s="138"/>
      <c r="AD53" s="138"/>
      <c r="AE53" s="138"/>
      <c r="AF53" s="139"/>
      <c r="AG53" s="139"/>
      <c r="AH53" s="139"/>
      <c r="AI53" s="140"/>
      <c r="AJ53" s="140"/>
      <c r="AK53" s="140"/>
      <c r="AL53" s="139"/>
      <c r="AM53" s="139"/>
      <c r="AN53" s="139"/>
      <c r="AO53" s="243"/>
      <c r="AP53" s="243"/>
    </row>
    <row r="54" spans="1:42" x14ac:dyDescent="0.25">
      <c r="A54" s="367">
        <v>43</v>
      </c>
      <c r="B54" s="394">
        <f t="shared" si="3"/>
        <v>45</v>
      </c>
      <c r="C54" s="397" t="s">
        <v>59</v>
      </c>
      <c r="D54" s="251" t="s">
        <v>124</v>
      </c>
      <c r="E54" s="252"/>
      <c r="F54" s="253" t="s">
        <v>112</v>
      </c>
      <c r="G54" s="254" t="s">
        <v>176</v>
      </c>
      <c r="H54" s="255">
        <v>152</v>
      </c>
      <c r="I54" s="210">
        <v>133</v>
      </c>
      <c r="J54" s="210">
        <v>157</v>
      </c>
      <c r="K54" s="209">
        <v>145</v>
      </c>
      <c r="L54" s="210">
        <v>145</v>
      </c>
      <c r="M54" s="273">
        <f>12032.27+4728.85+7137.01+1218+507+4175.93+5308.12+6184.37+6281.56+3934.58+7806.06+6078.39+2968.7</f>
        <v>68360.840000000011</v>
      </c>
      <c r="N54" s="273">
        <f>12032.27+4728.85+7137.01+1218+507+4175.93+5308.12+6184.37+6281.56+3934.58+7806.06+6078.39+2968.7</f>
        <v>68360.840000000011</v>
      </c>
      <c r="O54" s="292">
        <f t="shared" si="1"/>
        <v>0</v>
      </c>
      <c r="P54" s="213">
        <v>17</v>
      </c>
      <c r="Q54" s="214">
        <v>17</v>
      </c>
      <c r="R54" s="215">
        <v>17</v>
      </c>
      <c r="S54" s="273">
        <f>9629.72+1321.59</f>
        <v>10951.31</v>
      </c>
      <c r="T54" s="273">
        <f>9629.72+1321.59</f>
        <v>10951.31</v>
      </c>
      <c r="U54" s="273">
        <f t="shared" si="2"/>
        <v>0</v>
      </c>
      <c r="V54" s="161"/>
      <c r="W54" s="136"/>
      <c r="X54" s="137"/>
      <c r="Y54" s="135"/>
      <c r="Z54" s="137"/>
      <c r="AA54" s="138"/>
      <c r="AB54" s="138"/>
      <c r="AC54" s="138"/>
      <c r="AD54" s="138"/>
      <c r="AE54" s="138"/>
      <c r="AF54" s="139"/>
      <c r="AG54" s="139"/>
      <c r="AH54" s="139"/>
      <c r="AI54" s="140"/>
      <c r="AJ54" s="140"/>
      <c r="AK54" s="140"/>
      <c r="AL54" s="139"/>
      <c r="AM54" s="139"/>
      <c r="AN54" s="139"/>
      <c r="AO54" s="243"/>
      <c r="AP54" s="243"/>
    </row>
    <row r="55" spans="1:42" x14ac:dyDescent="0.25">
      <c r="A55" s="367">
        <v>44</v>
      </c>
      <c r="B55" s="394">
        <f t="shared" si="3"/>
        <v>46</v>
      </c>
      <c r="C55" s="397" t="s">
        <v>60</v>
      </c>
      <c r="D55" s="251" t="s">
        <v>125</v>
      </c>
      <c r="E55" s="402" t="s">
        <v>126</v>
      </c>
      <c r="F55" s="253" t="s">
        <v>106</v>
      </c>
      <c r="G55" s="254" t="s">
        <v>177</v>
      </c>
      <c r="H55" s="255">
        <v>8</v>
      </c>
      <c r="I55" s="210">
        <v>3</v>
      </c>
      <c r="J55" s="210">
        <v>5</v>
      </c>
      <c r="K55" s="209">
        <v>5</v>
      </c>
      <c r="L55" s="210">
        <v>5</v>
      </c>
      <c r="M55" s="273">
        <f>8188.55+435</f>
        <v>8623.5499999999993</v>
      </c>
      <c r="N55" s="273">
        <f>8188.55+435</f>
        <v>8623.5499999999993</v>
      </c>
      <c r="O55" s="292">
        <f t="shared" si="1"/>
        <v>0</v>
      </c>
      <c r="P55" s="213">
        <v>3</v>
      </c>
      <c r="Q55" s="214">
        <v>3</v>
      </c>
      <c r="R55" s="215">
        <v>3</v>
      </c>
      <c r="S55" s="273">
        <f>757.9+1321.55+620.1</f>
        <v>2699.5499999999997</v>
      </c>
      <c r="T55" s="273">
        <f>757.9+1321.55+620.1</f>
        <v>2699.5499999999997</v>
      </c>
      <c r="U55" s="273">
        <f t="shared" si="2"/>
        <v>0</v>
      </c>
      <c r="V55" s="161"/>
      <c r="W55" s="136"/>
      <c r="X55" s="144"/>
      <c r="Y55" s="135"/>
      <c r="Z55" s="137"/>
      <c r="AA55" s="138"/>
      <c r="AB55" s="138"/>
      <c r="AC55" s="138"/>
      <c r="AD55" s="138"/>
      <c r="AE55" s="138"/>
      <c r="AF55" s="139"/>
      <c r="AG55" s="139"/>
      <c r="AH55" s="139"/>
      <c r="AI55" s="140"/>
      <c r="AJ55" s="140"/>
      <c r="AK55" s="140"/>
      <c r="AL55" s="139"/>
      <c r="AM55" s="139"/>
      <c r="AN55" s="139"/>
      <c r="AO55" s="243"/>
      <c r="AP55" s="243"/>
    </row>
    <row r="56" spans="1:42" x14ac:dyDescent="0.25">
      <c r="A56" s="367">
        <v>45</v>
      </c>
      <c r="B56" s="394">
        <f t="shared" si="3"/>
        <v>47</v>
      </c>
      <c r="C56" s="250" t="s">
        <v>61</v>
      </c>
      <c r="D56" s="251" t="s">
        <v>124</v>
      </c>
      <c r="E56" s="252"/>
      <c r="F56" s="253" t="s">
        <v>107</v>
      </c>
      <c r="G56" s="254" t="s">
        <v>178</v>
      </c>
      <c r="H56" s="255">
        <v>81</v>
      </c>
      <c r="I56" s="210">
        <v>59</v>
      </c>
      <c r="J56" s="210">
        <v>85</v>
      </c>
      <c r="K56" s="209">
        <v>82</v>
      </c>
      <c r="L56" s="210">
        <v>82</v>
      </c>
      <c r="M56" s="273">
        <f>70230.55+4017.1+6903.23+9675.34-1818.96</f>
        <v>89007.26</v>
      </c>
      <c r="N56" s="273">
        <f>70230.55+4017.1+6903.23+9675.34-1818.96</f>
        <v>89007.26</v>
      </c>
      <c r="O56" s="292">
        <f t="shared" si="1"/>
        <v>0</v>
      </c>
      <c r="P56" s="213">
        <v>37</v>
      </c>
      <c r="Q56" s="214">
        <v>37</v>
      </c>
      <c r="R56" s="215">
        <v>37</v>
      </c>
      <c r="S56" s="273">
        <f>53733.15+4264.72+1524.74+1818.96</f>
        <v>61341.57</v>
      </c>
      <c r="T56" s="273">
        <f>53733.15+4264.72+1524.74+1818.96</f>
        <v>61341.57</v>
      </c>
      <c r="U56" s="273">
        <f t="shared" si="2"/>
        <v>0</v>
      </c>
      <c r="V56" s="161"/>
      <c r="W56" s="136"/>
      <c r="X56" s="137"/>
      <c r="Y56" s="135"/>
      <c r="Z56" s="137"/>
      <c r="AA56" s="138"/>
      <c r="AB56" s="138"/>
      <c r="AC56" s="138"/>
      <c r="AD56" s="138"/>
      <c r="AE56" s="138"/>
      <c r="AF56" s="139"/>
      <c r="AG56" s="139"/>
      <c r="AH56" s="139"/>
      <c r="AI56" s="140"/>
      <c r="AJ56" s="140"/>
      <c r="AK56" s="140"/>
      <c r="AL56" s="139"/>
      <c r="AM56" s="139"/>
      <c r="AN56" s="139"/>
      <c r="AO56" s="243"/>
      <c r="AP56" s="243"/>
    </row>
    <row r="57" spans="1:42" x14ac:dyDescent="0.25">
      <c r="A57" s="367">
        <v>46</v>
      </c>
      <c r="B57" s="394">
        <f t="shared" si="3"/>
        <v>48</v>
      </c>
      <c r="C57" s="250" t="s">
        <v>134</v>
      </c>
      <c r="D57" s="251" t="s">
        <v>124</v>
      </c>
      <c r="E57" s="252"/>
      <c r="F57" s="253" t="s">
        <v>112</v>
      </c>
      <c r="G57" s="254" t="s">
        <v>179</v>
      </c>
      <c r="H57" s="255">
        <v>16</v>
      </c>
      <c r="I57" s="210">
        <v>11</v>
      </c>
      <c r="J57" s="210">
        <v>12</v>
      </c>
      <c r="K57" s="209">
        <v>11</v>
      </c>
      <c r="L57" s="210">
        <v>11</v>
      </c>
      <c r="M57" s="273">
        <f>1200.96+483.68</f>
        <v>1684.64</v>
      </c>
      <c r="N57" s="273">
        <f>1200.96+483.68</f>
        <v>1684.64</v>
      </c>
      <c r="O57" s="292">
        <f t="shared" si="1"/>
        <v>0</v>
      </c>
      <c r="P57" s="213"/>
      <c r="Q57" s="214"/>
      <c r="R57" s="215"/>
      <c r="S57" s="273"/>
      <c r="T57" s="273"/>
      <c r="U57" s="273">
        <f t="shared" si="2"/>
        <v>0</v>
      </c>
      <c r="V57" s="161"/>
      <c r="W57" s="136"/>
      <c r="X57" s="137"/>
      <c r="Y57" s="135"/>
      <c r="Z57" s="137"/>
      <c r="AA57" s="138"/>
      <c r="AB57" s="138"/>
      <c r="AC57" s="138"/>
      <c r="AD57" s="138"/>
      <c r="AE57" s="138"/>
      <c r="AF57" s="139"/>
      <c r="AG57" s="139"/>
      <c r="AH57" s="139"/>
      <c r="AI57" s="140"/>
      <c r="AJ57" s="140"/>
      <c r="AK57" s="140"/>
      <c r="AL57" s="139"/>
      <c r="AM57" s="139"/>
      <c r="AN57" s="139"/>
      <c r="AO57" s="243"/>
      <c r="AP57" s="243"/>
    </row>
    <row r="58" spans="1:42" x14ac:dyDescent="0.25">
      <c r="B58" s="394">
        <f t="shared" si="3"/>
        <v>49</v>
      </c>
      <c r="C58" s="250" t="s">
        <v>62</v>
      </c>
      <c r="D58" s="251" t="s">
        <v>124</v>
      </c>
      <c r="E58" s="252"/>
      <c r="F58" s="253" t="s">
        <v>106</v>
      </c>
      <c r="G58" s="254" t="s">
        <v>230</v>
      </c>
      <c r="H58" s="255"/>
      <c r="I58" s="210"/>
      <c r="J58" s="210"/>
      <c r="K58" s="209"/>
      <c r="L58" s="210"/>
      <c r="M58" s="273"/>
      <c r="N58" s="273"/>
      <c r="O58" s="292">
        <f t="shared" si="1"/>
        <v>0</v>
      </c>
      <c r="P58" s="213">
        <v>1</v>
      </c>
      <c r="Q58" s="214">
        <v>1</v>
      </c>
      <c r="R58" s="215">
        <v>1</v>
      </c>
      <c r="S58" s="273">
        <v>548.1</v>
      </c>
      <c r="T58" s="273">
        <v>548.1</v>
      </c>
      <c r="U58" s="273">
        <f t="shared" si="2"/>
        <v>0</v>
      </c>
      <c r="V58" s="161"/>
      <c r="W58" s="136"/>
      <c r="X58" s="137"/>
      <c r="Y58" s="135"/>
      <c r="Z58" s="137"/>
      <c r="AA58" s="138"/>
      <c r="AB58" s="138"/>
      <c r="AC58" s="138"/>
      <c r="AD58" s="138"/>
      <c r="AE58" s="138"/>
      <c r="AF58" s="139"/>
      <c r="AG58" s="139"/>
      <c r="AH58" s="139"/>
      <c r="AI58" s="140"/>
      <c r="AJ58" s="140"/>
      <c r="AK58" s="140"/>
      <c r="AL58" s="139"/>
      <c r="AM58" s="139"/>
      <c r="AN58" s="139"/>
      <c r="AO58" s="243"/>
      <c r="AP58" s="243"/>
    </row>
    <row r="59" spans="1:42" x14ac:dyDescent="0.25">
      <c r="B59" s="394">
        <f t="shared" si="3"/>
        <v>50</v>
      </c>
      <c r="C59" s="250" t="s">
        <v>63</v>
      </c>
      <c r="D59" s="251" t="s">
        <v>124</v>
      </c>
      <c r="E59" s="252"/>
      <c r="F59" s="400" t="s">
        <v>112</v>
      </c>
      <c r="G59" s="254" t="s">
        <v>224</v>
      </c>
      <c r="H59" s="255"/>
      <c r="I59" s="210"/>
      <c r="J59" s="210"/>
      <c r="K59" s="209"/>
      <c r="L59" s="210"/>
      <c r="M59" s="273"/>
      <c r="N59" s="273"/>
      <c r="O59" s="292">
        <f t="shared" si="1"/>
        <v>0</v>
      </c>
      <c r="P59" s="213"/>
      <c r="Q59" s="214"/>
      <c r="R59" s="215"/>
      <c r="S59" s="273"/>
      <c r="T59" s="273"/>
      <c r="U59" s="273">
        <f t="shared" si="2"/>
        <v>0</v>
      </c>
      <c r="V59" s="161"/>
      <c r="W59" s="136"/>
      <c r="X59" s="137"/>
      <c r="Y59" s="142"/>
      <c r="Z59" s="137"/>
      <c r="AA59" s="138"/>
      <c r="AB59" s="138"/>
      <c r="AC59" s="138"/>
      <c r="AD59" s="138"/>
      <c r="AE59" s="138"/>
      <c r="AF59" s="139"/>
      <c r="AG59" s="139"/>
      <c r="AH59" s="139"/>
      <c r="AI59" s="140"/>
      <c r="AJ59" s="140"/>
      <c r="AK59" s="140"/>
      <c r="AL59" s="139"/>
      <c r="AM59" s="139"/>
      <c r="AN59" s="139"/>
      <c r="AO59" s="243"/>
      <c r="AP59" s="243"/>
    </row>
    <row r="60" spans="1:42" x14ac:dyDescent="0.25">
      <c r="A60" s="367">
        <v>48</v>
      </c>
      <c r="B60" s="394">
        <f t="shared" si="3"/>
        <v>51</v>
      </c>
      <c r="C60" s="250" t="s">
        <v>64</v>
      </c>
      <c r="D60" s="251" t="s">
        <v>124</v>
      </c>
      <c r="E60" s="252"/>
      <c r="F60" s="400" t="s">
        <v>107</v>
      </c>
      <c r="G60" s="254" t="s">
        <v>180</v>
      </c>
      <c r="H60" s="255">
        <v>80</v>
      </c>
      <c r="I60" s="210">
        <v>48</v>
      </c>
      <c r="J60" s="210">
        <v>67</v>
      </c>
      <c r="K60" s="209">
        <v>65</v>
      </c>
      <c r="L60" s="210">
        <v>65</v>
      </c>
      <c r="M60" s="273">
        <f>55406.35+5285.07+21564.09-4799.43</f>
        <v>77456.079999999987</v>
      </c>
      <c r="N60" s="273">
        <f>55406.35+5285.07+21564.09-4799.43</f>
        <v>77456.079999999987</v>
      </c>
      <c r="O60" s="292">
        <f t="shared" si="1"/>
        <v>0</v>
      </c>
      <c r="P60" s="213">
        <v>8</v>
      </c>
      <c r="Q60" s="214">
        <v>8</v>
      </c>
      <c r="R60" s="215">
        <v>8</v>
      </c>
      <c r="S60" s="273">
        <f>7737.36+1404.36+4799.43</f>
        <v>13941.15</v>
      </c>
      <c r="T60" s="273">
        <f>7737.36+1404.36+4799.43</f>
        <v>13941.15</v>
      </c>
      <c r="U60" s="273">
        <f t="shared" si="2"/>
        <v>0</v>
      </c>
      <c r="V60" s="161"/>
      <c r="W60" s="136"/>
      <c r="X60" s="137"/>
      <c r="Y60" s="142"/>
      <c r="Z60" s="137"/>
      <c r="AA60" s="138"/>
      <c r="AB60" s="138"/>
      <c r="AC60" s="138"/>
      <c r="AD60" s="138"/>
      <c r="AE60" s="138"/>
      <c r="AF60" s="139"/>
      <c r="AG60" s="139"/>
      <c r="AH60" s="139"/>
      <c r="AI60" s="140"/>
      <c r="AJ60" s="140"/>
      <c r="AK60" s="140"/>
      <c r="AL60" s="139"/>
      <c r="AM60" s="139"/>
      <c r="AN60" s="139"/>
      <c r="AO60" s="243"/>
      <c r="AP60" s="243"/>
    </row>
    <row r="61" spans="1:42" x14ac:dyDescent="0.25">
      <c r="A61" s="367">
        <v>47</v>
      </c>
      <c r="B61" s="394">
        <f t="shared" si="3"/>
        <v>52</v>
      </c>
      <c r="C61" s="250" t="s">
        <v>135</v>
      </c>
      <c r="D61" s="251" t="s">
        <v>124</v>
      </c>
      <c r="E61" s="252"/>
      <c r="F61" s="400" t="s">
        <v>111</v>
      </c>
      <c r="G61" s="254" t="s">
        <v>181</v>
      </c>
      <c r="H61" s="255">
        <v>37</v>
      </c>
      <c r="I61" s="210">
        <v>24</v>
      </c>
      <c r="J61" s="210">
        <v>34</v>
      </c>
      <c r="K61" s="209">
        <v>34</v>
      </c>
      <c r="L61" s="210">
        <v>34</v>
      </c>
      <c r="M61" s="273">
        <f>3986.21+989.8+3814.75+1492.92+2107.58+1990.86+3001.41+1940.89+2035.8+3263.5+1431.16+3226.05</f>
        <v>29280.929999999997</v>
      </c>
      <c r="N61" s="273">
        <f>3986.21+989.8+3814.75+1492.92+2107.58+1990.86+3001.41+1940.89+2035.8+3263.5+1431.16+3226.05</f>
        <v>29280.929999999997</v>
      </c>
      <c r="O61" s="292">
        <f t="shared" si="1"/>
        <v>0</v>
      </c>
      <c r="P61" s="213"/>
      <c r="Q61" s="214"/>
      <c r="R61" s="215"/>
      <c r="S61" s="273"/>
      <c r="T61" s="273"/>
      <c r="U61" s="273">
        <f t="shared" si="2"/>
        <v>0</v>
      </c>
      <c r="V61" s="161"/>
      <c r="W61" s="136"/>
      <c r="X61" s="137"/>
      <c r="Y61" s="142"/>
      <c r="Z61" s="137"/>
      <c r="AA61" s="138"/>
      <c r="AB61" s="138"/>
      <c r="AC61" s="138"/>
      <c r="AD61" s="138"/>
      <c r="AE61" s="138"/>
      <c r="AF61" s="139"/>
      <c r="AG61" s="139"/>
      <c r="AH61" s="139"/>
      <c r="AI61" s="140"/>
      <c r="AJ61" s="140"/>
      <c r="AK61" s="140"/>
      <c r="AL61" s="139"/>
      <c r="AM61" s="139"/>
      <c r="AN61" s="139"/>
      <c r="AO61" s="243"/>
      <c r="AP61" s="243"/>
    </row>
    <row r="62" spans="1:42" x14ac:dyDescent="0.25">
      <c r="A62" s="367">
        <v>49</v>
      </c>
      <c r="B62" s="394">
        <f t="shared" si="3"/>
        <v>53</v>
      </c>
      <c r="C62" s="401" t="s">
        <v>65</v>
      </c>
      <c r="D62" s="251" t="s">
        <v>124</v>
      </c>
      <c r="E62" s="252"/>
      <c r="F62" s="253" t="s">
        <v>106</v>
      </c>
      <c r="G62" s="254" t="s">
        <v>182</v>
      </c>
      <c r="H62" s="255">
        <v>22</v>
      </c>
      <c r="I62" s="210">
        <v>15</v>
      </c>
      <c r="J62" s="210">
        <v>27</v>
      </c>
      <c r="K62" s="209">
        <v>27</v>
      </c>
      <c r="L62" s="210">
        <v>27</v>
      </c>
      <c r="M62" s="273">
        <f>17435.95+13338.48</f>
        <v>30774.43</v>
      </c>
      <c r="N62" s="273">
        <f>17435.95+13338.48</f>
        <v>30774.43</v>
      </c>
      <c r="O62" s="292">
        <f t="shared" si="1"/>
        <v>0</v>
      </c>
      <c r="P62" s="213">
        <v>9</v>
      </c>
      <c r="Q62" s="214">
        <v>9</v>
      </c>
      <c r="R62" s="215">
        <v>9</v>
      </c>
      <c r="S62" s="273">
        <v>7582.54</v>
      </c>
      <c r="T62" s="273">
        <v>7582.54</v>
      </c>
      <c r="U62" s="273">
        <f t="shared" si="2"/>
        <v>0</v>
      </c>
      <c r="V62" s="161"/>
      <c r="AO62" s="243"/>
      <c r="AP62" s="243"/>
    </row>
    <row r="63" spans="1:42" x14ac:dyDescent="0.25">
      <c r="B63" s="394">
        <f t="shared" si="3"/>
        <v>54</v>
      </c>
      <c r="C63" s="397" t="s">
        <v>66</v>
      </c>
      <c r="D63" s="251" t="s">
        <v>124</v>
      </c>
      <c r="E63" s="252"/>
      <c r="F63" s="253" t="s">
        <v>112</v>
      </c>
      <c r="G63" s="254" t="s">
        <v>227</v>
      </c>
      <c r="H63" s="255"/>
      <c r="I63" s="210"/>
      <c r="J63" s="210"/>
      <c r="K63" s="209"/>
      <c r="L63" s="210"/>
      <c r="M63" s="273"/>
      <c r="N63" s="273"/>
      <c r="O63" s="292">
        <f t="shared" si="1"/>
        <v>0</v>
      </c>
      <c r="P63" s="213">
        <v>29</v>
      </c>
      <c r="Q63" s="214">
        <v>29</v>
      </c>
      <c r="R63" s="215">
        <v>29</v>
      </c>
      <c r="S63" s="273">
        <f>9392.68+482.3+2027.39</f>
        <v>11902.369999999999</v>
      </c>
      <c r="T63" s="273">
        <f>9392.68+482.3+2027.39</f>
        <v>11902.369999999999</v>
      </c>
      <c r="U63" s="273">
        <f t="shared" si="2"/>
        <v>0</v>
      </c>
      <c r="V63" s="161"/>
      <c r="AO63" s="243"/>
      <c r="AP63" s="243"/>
    </row>
    <row r="64" spans="1:42" x14ac:dyDescent="0.25">
      <c r="A64" s="367">
        <v>50</v>
      </c>
      <c r="B64" s="394">
        <f t="shared" si="3"/>
        <v>55</v>
      </c>
      <c r="C64" s="395" t="s">
        <v>67</v>
      </c>
      <c r="D64" s="251" t="s">
        <v>124</v>
      </c>
      <c r="E64" s="252"/>
      <c r="F64" s="253" t="s">
        <v>106</v>
      </c>
      <c r="G64" s="254" t="s">
        <v>183</v>
      </c>
      <c r="H64" s="255">
        <v>105</v>
      </c>
      <c r="I64" s="210">
        <v>26</v>
      </c>
      <c r="J64" s="210">
        <v>27</v>
      </c>
      <c r="K64" s="209">
        <v>27</v>
      </c>
      <c r="L64" s="210">
        <v>27</v>
      </c>
      <c r="M64" s="273">
        <f>20271.52+2756+435+2632.58</f>
        <v>26095.1</v>
      </c>
      <c r="N64" s="273">
        <f>20271.52+2756+435+2632.58</f>
        <v>26095.1</v>
      </c>
      <c r="O64" s="292">
        <f t="shared" si="1"/>
        <v>0</v>
      </c>
      <c r="P64" s="213">
        <v>12</v>
      </c>
      <c r="Q64" s="214">
        <v>12</v>
      </c>
      <c r="R64" s="215">
        <v>12</v>
      </c>
      <c r="S64" s="273">
        <f>6866.56+548.1</f>
        <v>7414.6600000000008</v>
      </c>
      <c r="T64" s="273">
        <f>6866.56+548.1</f>
        <v>7414.6600000000008</v>
      </c>
      <c r="U64" s="273">
        <f t="shared" si="2"/>
        <v>0</v>
      </c>
      <c r="V64" s="161"/>
      <c r="AO64" s="243"/>
      <c r="AP64" s="243"/>
    </row>
    <row r="65" spans="1:42" x14ac:dyDescent="0.25">
      <c r="A65" s="367">
        <v>51</v>
      </c>
      <c r="B65" s="394">
        <f t="shared" si="3"/>
        <v>56</v>
      </c>
      <c r="C65" s="395" t="s">
        <v>68</v>
      </c>
      <c r="D65" s="251" t="s">
        <v>124</v>
      </c>
      <c r="E65" s="252"/>
      <c r="F65" s="253" t="s">
        <v>111</v>
      </c>
      <c r="G65" s="254" t="s">
        <v>184</v>
      </c>
      <c r="H65" s="255">
        <v>72</v>
      </c>
      <c r="I65" s="210">
        <v>66</v>
      </c>
      <c r="J65" s="210">
        <v>75</v>
      </c>
      <c r="K65" s="209">
        <v>75</v>
      </c>
      <c r="L65" s="210">
        <v>75</v>
      </c>
      <c r="M65" s="273">
        <f>21562.61+5719.7+1305+4149.27+2397.37+5906.18+1251.03+829.55+4633.7+2607.11+652.5+3265.4+1216.55+3027.02+4762.53+494.81+8978.98</f>
        <v>72759.31</v>
      </c>
      <c r="N65" s="273">
        <f>21562.61+5719.7+1305+4149.27+2397.37+5906.18+1251.03+829.55+4633.7+2607.11+652.5+3265.4+1216.55+3027.02+4762.53+494.81+8978.98</f>
        <v>72759.31</v>
      </c>
      <c r="O65" s="292">
        <f t="shared" si="1"/>
        <v>0</v>
      </c>
      <c r="P65" s="213">
        <v>11</v>
      </c>
      <c r="Q65" s="214">
        <v>11</v>
      </c>
      <c r="R65" s="215">
        <v>11</v>
      </c>
      <c r="S65" s="273">
        <f>7456.7+19131.63</f>
        <v>26588.33</v>
      </c>
      <c r="T65" s="273">
        <f>7456.7+19131.63</f>
        <v>26588.33</v>
      </c>
      <c r="U65" s="273">
        <f t="shared" si="2"/>
        <v>0</v>
      </c>
      <c r="V65" s="161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</row>
    <row r="66" spans="1:42" x14ac:dyDescent="0.25">
      <c r="A66" s="367">
        <v>52</v>
      </c>
      <c r="B66" s="394">
        <f t="shared" si="3"/>
        <v>57</v>
      </c>
      <c r="C66" s="397" t="s">
        <v>69</v>
      </c>
      <c r="D66" s="251" t="s">
        <v>124</v>
      </c>
      <c r="E66" s="252"/>
      <c r="F66" s="253" t="s">
        <v>106</v>
      </c>
      <c r="G66" s="254" t="s">
        <v>185</v>
      </c>
      <c r="H66" s="255">
        <v>3</v>
      </c>
      <c r="I66" s="210">
        <v>2</v>
      </c>
      <c r="J66" s="210">
        <v>3</v>
      </c>
      <c r="K66" s="209">
        <v>3</v>
      </c>
      <c r="L66" s="210">
        <v>3</v>
      </c>
      <c r="M66" s="273">
        <f>464.83+1653.6</f>
        <v>2118.4299999999998</v>
      </c>
      <c r="N66" s="273">
        <f>464.83+1653.6</f>
        <v>2118.4299999999998</v>
      </c>
      <c r="O66" s="292">
        <f t="shared" si="1"/>
        <v>0</v>
      </c>
      <c r="P66" s="213">
        <v>4</v>
      </c>
      <c r="Q66" s="214">
        <v>4</v>
      </c>
      <c r="R66" s="215">
        <v>4</v>
      </c>
      <c r="S66" s="273">
        <v>3148.1</v>
      </c>
      <c r="T66" s="273">
        <v>3148.1</v>
      </c>
      <c r="U66" s="273">
        <f t="shared" si="2"/>
        <v>0</v>
      </c>
      <c r="V66" s="161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M66" s="243"/>
      <c r="AN66" s="243"/>
      <c r="AO66" s="243"/>
      <c r="AP66" s="243"/>
    </row>
    <row r="67" spans="1:42" x14ac:dyDescent="0.25">
      <c r="A67" s="367">
        <v>53</v>
      </c>
      <c r="B67" s="394">
        <f t="shared" si="3"/>
        <v>58</v>
      </c>
      <c r="C67" s="250" t="s">
        <v>70</v>
      </c>
      <c r="D67" s="251" t="s">
        <v>124</v>
      </c>
      <c r="E67" s="252"/>
      <c r="F67" s="253" t="s">
        <v>107</v>
      </c>
      <c r="G67" s="254" t="s">
        <v>186</v>
      </c>
      <c r="H67" s="255">
        <v>74</v>
      </c>
      <c r="I67" s="210">
        <v>61</v>
      </c>
      <c r="J67" s="210">
        <v>83</v>
      </c>
      <c r="K67" s="209">
        <v>82</v>
      </c>
      <c r="L67" s="210">
        <v>82</v>
      </c>
      <c r="M67" s="273">
        <f>57336.7+3808.64+5209.38+8611.28</f>
        <v>74966</v>
      </c>
      <c r="N67" s="273">
        <f>57336.7+3808.64+5209.38+8611.28</f>
        <v>74966</v>
      </c>
      <c r="O67" s="292">
        <f t="shared" si="1"/>
        <v>0</v>
      </c>
      <c r="P67" s="213">
        <v>11</v>
      </c>
      <c r="Q67" s="214">
        <v>11</v>
      </c>
      <c r="R67" s="215">
        <v>11</v>
      </c>
      <c r="S67" s="273">
        <f>8355.57+1548.48+8943.77</f>
        <v>18847.82</v>
      </c>
      <c r="T67" s="273">
        <f>8355.57+1548.48+8943.77</f>
        <v>18847.82</v>
      </c>
      <c r="U67" s="273">
        <f t="shared" si="2"/>
        <v>0</v>
      </c>
      <c r="V67" s="161"/>
      <c r="W67" s="243"/>
      <c r="X67" s="243"/>
      <c r="Y67" s="243"/>
      <c r="Z67" s="243"/>
      <c r="AA67" s="243"/>
      <c r="AB67" s="243"/>
      <c r="AC67" s="243"/>
      <c r="AD67" s="243"/>
      <c r="AE67" s="243"/>
      <c r="AF67" s="256"/>
      <c r="AG67" s="243"/>
      <c r="AH67" s="243"/>
      <c r="AI67" s="243"/>
      <c r="AJ67" s="243"/>
      <c r="AK67" s="243"/>
      <c r="AL67" s="243"/>
      <c r="AM67" s="243"/>
      <c r="AN67" s="243"/>
      <c r="AO67" s="243"/>
      <c r="AP67" s="243"/>
    </row>
    <row r="68" spans="1:42" x14ac:dyDescent="0.25">
      <c r="A68" s="367">
        <v>54</v>
      </c>
      <c r="B68" s="394">
        <f t="shared" si="3"/>
        <v>59</v>
      </c>
      <c r="C68" s="250" t="s">
        <v>71</v>
      </c>
      <c r="D68" s="251" t="s">
        <v>124</v>
      </c>
      <c r="E68" s="252"/>
      <c r="F68" s="253" t="s">
        <v>117</v>
      </c>
      <c r="G68" s="254" t="s">
        <v>187</v>
      </c>
      <c r="H68" s="255">
        <v>51</v>
      </c>
      <c r="I68" s="210">
        <v>41</v>
      </c>
      <c r="J68" s="210">
        <v>67</v>
      </c>
      <c r="K68" s="209">
        <v>67</v>
      </c>
      <c r="L68" s="210">
        <v>67</v>
      </c>
      <c r="M68" s="273">
        <f>55504.13+4617.11</f>
        <v>60121.24</v>
      </c>
      <c r="N68" s="273">
        <f>55504.13+4617.11</f>
        <v>60121.24</v>
      </c>
      <c r="O68" s="292">
        <f t="shared" si="1"/>
        <v>0</v>
      </c>
      <c r="P68" s="213">
        <v>11</v>
      </c>
      <c r="Q68" s="214">
        <v>11</v>
      </c>
      <c r="R68" s="215">
        <v>11</v>
      </c>
      <c r="S68" s="273">
        <v>6249.15</v>
      </c>
      <c r="T68" s="273">
        <v>6249.15</v>
      </c>
      <c r="U68" s="273">
        <f t="shared" si="2"/>
        <v>0</v>
      </c>
      <c r="V68" s="161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  <c r="AO68" s="243"/>
      <c r="AP68" s="243"/>
    </row>
    <row r="69" spans="1:42" x14ac:dyDescent="0.25">
      <c r="A69" s="367">
        <v>55</v>
      </c>
      <c r="B69" s="394">
        <f t="shared" si="3"/>
        <v>60</v>
      </c>
      <c r="C69" s="250" t="s">
        <v>72</v>
      </c>
      <c r="D69" s="251" t="s">
        <v>124</v>
      </c>
      <c r="E69" s="402"/>
      <c r="F69" s="253" t="s">
        <v>106</v>
      </c>
      <c r="G69" s="254" t="s">
        <v>188</v>
      </c>
      <c r="H69" s="255">
        <v>40</v>
      </c>
      <c r="I69" s="210">
        <v>21</v>
      </c>
      <c r="J69" s="210">
        <v>19</v>
      </c>
      <c r="K69" s="209">
        <v>19</v>
      </c>
      <c r="L69" s="210">
        <v>19</v>
      </c>
      <c r="M69" s="273">
        <f>2756+1240.2+1305+1087.5+1232.5+2915.4+2429+3597.5</f>
        <v>16563.099999999999</v>
      </c>
      <c r="N69" s="273">
        <f>2756+1240.2+1305+1087.5+1232.5+2915.4+2429+3597.5</f>
        <v>16563.099999999999</v>
      </c>
      <c r="O69" s="292">
        <f t="shared" si="1"/>
        <v>0</v>
      </c>
      <c r="P69" s="213"/>
      <c r="Q69" s="214"/>
      <c r="R69" s="215"/>
      <c r="S69" s="273"/>
      <c r="T69" s="273"/>
      <c r="U69" s="273">
        <f t="shared" si="2"/>
        <v>0</v>
      </c>
      <c r="V69" s="161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  <c r="AO69" s="243"/>
      <c r="AP69" s="243"/>
    </row>
    <row r="70" spans="1:42" x14ac:dyDescent="0.25">
      <c r="A70" s="367">
        <v>56</v>
      </c>
      <c r="B70" s="394">
        <f t="shared" si="3"/>
        <v>61</v>
      </c>
      <c r="C70" s="395" t="s">
        <v>73</v>
      </c>
      <c r="D70" s="251" t="s">
        <v>124</v>
      </c>
      <c r="E70" s="252"/>
      <c r="F70" s="253" t="s">
        <v>106</v>
      </c>
      <c r="G70" s="254" t="s">
        <v>189</v>
      </c>
      <c r="H70" s="255">
        <v>21</v>
      </c>
      <c r="I70" s="210">
        <v>16</v>
      </c>
      <c r="J70" s="210">
        <v>18</v>
      </c>
      <c r="K70" s="209">
        <v>18</v>
      </c>
      <c r="L70" s="210">
        <v>18</v>
      </c>
      <c r="M70" s="273">
        <f>15374.68+947.21+1450+1705.28</f>
        <v>19477.169999999998</v>
      </c>
      <c r="N70" s="273">
        <f>15374.68+947.21+1450+1705.28</f>
        <v>19477.169999999998</v>
      </c>
      <c r="O70" s="292">
        <f t="shared" si="1"/>
        <v>0</v>
      </c>
      <c r="P70" s="213">
        <v>7</v>
      </c>
      <c r="Q70" s="214">
        <v>7</v>
      </c>
      <c r="R70" s="215">
        <v>7</v>
      </c>
      <c r="S70" s="273">
        <f>3513.9+460.56+401.94</f>
        <v>4376.3999999999996</v>
      </c>
      <c r="T70" s="273">
        <f>3513.9+460.56+401.94</f>
        <v>4376.3999999999996</v>
      </c>
      <c r="U70" s="273">
        <f t="shared" si="2"/>
        <v>0</v>
      </c>
      <c r="V70" s="161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M70" s="243"/>
      <c r="AN70" s="243"/>
      <c r="AO70" s="243"/>
      <c r="AP70" s="243"/>
    </row>
    <row r="71" spans="1:42" x14ac:dyDescent="0.25">
      <c r="A71" s="367">
        <v>57</v>
      </c>
      <c r="B71" s="394">
        <f t="shared" si="3"/>
        <v>62</v>
      </c>
      <c r="C71" s="250" t="s">
        <v>74</v>
      </c>
      <c r="D71" s="251" t="s">
        <v>124</v>
      </c>
      <c r="E71" s="252"/>
      <c r="F71" s="253" t="s">
        <v>111</v>
      </c>
      <c r="G71" s="254" t="s">
        <v>190</v>
      </c>
      <c r="H71" s="255">
        <v>38</v>
      </c>
      <c r="I71" s="210">
        <v>24</v>
      </c>
      <c r="J71" s="210">
        <v>28</v>
      </c>
      <c r="K71" s="209">
        <v>28</v>
      </c>
      <c r="L71" s="210">
        <v>28</v>
      </c>
      <c r="M71" s="273">
        <f>2383.53+3781.9+7505.17+507+5161.87+1335.02+1152.8-3276.5+5715.74+5512.93+1079.5</f>
        <v>30858.959999999999</v>
      </c>
      <c r="N71" s="273">
        <f>2383.53+3781.9+7505.17+507+5161.87+1335.02+1152.8-3276.5+5715.74+5512.93+1079.5</f>
        <v>30858.959999999999</v>
      </c>
      <c r="O71" s="292">
        <f t="shared" si="1"/>
        <v>0</v>
      </c>
      <c r="P71" s="213">
        <v>26</v>
      </c>
      <c r="Q71" s="214">
        <v>26</v>
      </c>
      <c r="R71" s="215">
        <v>26</v>
      </c>
      <c r="S71" s="273">
        <f>52337.46+18000.02+1926.09+5518.42+2515.16</f>
        <v>80297.149999999994</v>
      </c>
      <c r="T71" s="273">
        <f>52337.46+18000.02+1926.09+5518.42+2515.16</f>
        <v>80297.149999999994</v>
      </c>
      <c r="U71" s="273">
        <f t="shared" si="2"/>
        <v>0</v>
      </c>
      <c r="V71" s="161"/>
      <c r="W71" s="243"/>
      <c r="X71" s="243"/>
      <c r="Y71" s="243"/>
      <c r="Z71" s="243"/>
      <c r="AA71" s="243"/>
      <c r="AB71" s="243"/>
      <c r="AC71" s="243"/>
      <c r="AD71" s="243"/>
      <c r="AE71" s="243"/>
      <c r="AF71" s="256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</row>
    <row r="72" spans="1:42" x14ac:dyDescent="0.25">
      <c r="A72" s="367">
        <v>58</v>
      </c>
      <c r="B72" s="394">
        <f t="shared" si="3"/>
        <v>63</v>
      </c>
      <c r="C72" s="250" t="s">
        <v>75</v>
      </c>
      <c r="D72" s="251" t="s">
        <v>124</v>
      </c>
      <c r="E72" s="252"/>
      <c r="F72" s="253" t="s">
        <v>118</v>
      </c>
      <c r="G72" s="254" t="s">
        <v>191</v>
      </c>
      <c r="H72" s="255">
        <v>32</v>
      </c>
      <c r="I72" s="210">
        <v>17</v>
      </c>
      <c r="J72" s="210">
        <v>25</v>
      </c>
      <c r="K72" s="209">
        <v>25</v>
      </c>
      <c r="L72" s="210">
        <v>25</v>
      </c>
      <c r="M72" s="273">
        <f>4704.53+544.32+1960.26+2120.63+1914.44+822.15+4802.54+4471.46</f>
        <v>21340.329999999998</v>
      </c>
      <c r="N72" s="273">
        <f>4704.53+544.32+1960.26+2120.63+1914.44+822.15+4802.54+4471.46</f>
        <v>21340.329999999998</v>
      </c>
      <c r="O72" s="292">
        <f t="shared" si="1"/>
        <v>0</v>
      </c>
      <c r="P72" s="213">
        <v>7</v>
      </c>
      <c r="Q72" s="214">
        <v>7</v>
      </c>
      <c r="R72" s="215">
        <v>7</v>
      </c>
      <c r="S72" s="273">
        <f>3959.69+961.38</f>
        <v>4921.07</v>
      </c>
      <c r="T72" s="273">
        <f>3959.69+961.38</f>
        <v>4921.07</v>
      </c>
      <c r="U72" s="273">
        <f t="shared" si="2"/>
        <v>0</v>
      </c>
      <c r="V72" s="161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M72" s="243"/>
      <c r="AN72" s="243"/>
      <c r="AO72" s="243"/>
      <c r="AP72" s="243"/>
    </row>
    <row r="73" spans="1:42" x14ac:dyDescent="0.25">
      <c r="A73" s="367">
        <v>59</v>
      </c>
      <c r="B73" s="394">
        <f t="shared" si="3"/>
        <v>64</v>
      </c>
      <c r="C73" s="395" t="s">
        <v>76</v>
      </c>
      <c r="D73" s="251" t="s">
        <v>124</v>
      </c>
      <c r="E73" s="252"/>
      <c r="F73" s="395" t="s">
        <v>105</v>
      </c>
      <c r="G73" s="254" t="s">
        <v>192</v>
      </c>
      <c r="H73" s="255">
        <v>49</v>
      </c>
      <c r="I73" s="210">
        <v>36</v>
      </c>
      <c r="J73" s="210">
        <v>38</v>
      </c>
      <c r="K73" s="209">
        <v>38</v>
      </c>
      <c r="L73" s="210">
        <v>38</v>
      </c>
      <c r="M73" s="273">
        <f>2096.52+746.9+4941.1+3310.3+2104.91+2516.25+6797.48+5378.56</f>
        <v>27892.02</v>
      </c>
      <c r="N73" s="273">
        <f>2096.52+746.9+4941.1+3310.3+2104.91+2516.25+6797.48+5378.56</f>
        <v>27892.02</v>
      </c>
      <c r="O73" s="292">
        <f t="shared" si="1"/>
        <v>0</v>
      </c>
      <c r="P73" s="213">
        <v>8</v>
      </c>
      <c r="Q73" s="214">
        <v>8</v>
      </c>
      <c r="R73" s="215">
        <v>8</v>
      </c>
      <c r="S73" s="273">
        <f>1821.06+4580.19+1240.2+1963.25</f>
        <v>9604.7000000000007</v>
      </c>
      <c r="T73" s="273">
        <f>1821.06+4580.19+1240.2+1963.25</f>
        <v>9604.7000000000007</v>
      </c>
      <c r="U73" s="273">
        <f t="shared" si="2"/>
        <v>0</v>
      </c>
      <c r="V73" s="161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M73" s="243"/>
      <c r="AN73" s="243"/>
      <c r="AO73" s="243"/>
      <c r="AP73" s="243"/>
    </row>
    <row r="74" spans="1:42" x14ac:dyDescent="0.25">
      <c r="B74" s="394">
        <f t="shared" si="3"/>
        <v>65</v>
      </c>
      <c r="C74" s="250" t="s">
        <v>77</v>
      </c>
      <c r="D74" s="251" t="s">
        <v>124</v>
      </c>
      <c r="E74" s="252"/>
      <c r="F74" s="395" t="s">
        <v>111</v>
      </c>
      <c r="G74" s="254" t="s">
        <v>225</v>
      </c>
      <c r="H74" s="255"/>
      <c r="I74" s="210"/>
      <c r="J74" s="210"/>
      <c r="K74" s="209"/>
      <c r="L74" s="210"/>
      <c r="M74" s="273"/>
      <c r="N74" s="273"/>
      <c r="O74" s="292">
        <f t="shared" si="1"/>
        <v>0</v>
      </c>
      <c r="P74" s="213">
        <v>1</v>
      </c>
      <c r="Q74" s="214">
        <v>1</v>
      </c>
      <c r="R74" s="215">
        <v>1</v>
      </c>
      <c r="S74" s="273">
        <v>3278.32</v>
      </c>
      <c r="T74" s="273">
        <v>3278.32</v>
      </c>
      <c r="U74" s="273">
        <f t="shared" si="2"/>
        <v>0</v>
      </c>
      <c r="V74" s="161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M74" s="243"/>
      <c r="AN74" s="243"/>
      <c r="AO74" s="243"/>
      <c r="AP74" s="243"/>
    </row>
    <row r="75" spans="1:42" x14ac:dyDescent="0.25">
      <c r="A75" s="367">
        <v>60</v>
      </c>
      <c r="B75" s="394">
        <f t="shared" si="3"/>
        <v>66</v>
      </c>
      <c r="C75" s="395" t="s">
        <v>78</v>
      </c>
      <c r="D75" s="251" t="s">
        <v>124</v>
      </c>
      <c r="E75" s="252"/>
      <c r="F75" s="233" t="s">
        <v>119</v>
      </c>
      <c r="G75" s="254" t="s">
        <v>193</v>
      </c>
      <c r="H75" s="255">
        <v>66</v>
      </c>
      <c r="I75" s="210">
        <v>15</v>
      </c>
      <c r="J75" s="210">
        <v>39</v>
      </c>
      <c r="K75" s="209">
        <v>39</v>
      </c>
      <c r="L75" s="210">
        <v>39</v>
      </c>
      <c r="M75" s="273">
        <f>275.6+741.36+14287.26+2399.03+7204.43-12858+4132.5+21966.19</f>
        <v>38148.369999999995</v>
      </c>
      <c r="N75" s="273">
        <f>275.6+741.36+14287.26+2399.03+7204.43-12858+4132.5+21966.19</f>
        <v>38148.369999999995</v>
      </c>
      <c r="O75" s="292">
        <f t="shared" ref="O75:O104" si="4" xml:space="preserve"> (M75-N75)</f>
        <v>0</v>
      </c>
      <c r="P75" s="213">
        <v>3</v>
      </c>
      <c r="Q75" s="214">
        <v>3</v>
      </c>
      <c r="R75" s="215">
        <v>3</v>
      </c>
      <c r="S75" s="273">
        <f>617.03+725.77</f>
        <v>1342.8</v>
      </c>
      <c r="T75" s="273">
        <f>617.03+725.77</f>
        <v>1342.8</v>
      </c>
      <c r="U75" s="273">
        <f t="shared" ref="U75:U104" si="5" xml:space="preserve"> (S75-T75)</f>
        <v>0</v>
      </c>
      <c r="V75" s="161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  <c r="AM75" s="243"/>
      <c r="AN75" s="243"/>
      <c r="AO75" s="243"/>
      <c r="AP75" s="243"/>
    </row>
    <row r="76" spans="1:42" x14ac:dyDescent="0.25">
      <c r="A76" s="367">
        <v>61</v>
      </c>
      <c r="B76" s="394">
        <f t="shared" si="3"/>
        <v>67</v>
      </c>
      <c r="C76" s="250" t="s">
        <v>79</v>
      </c>
      <c r="D76" s="251" t="s">
        <v>124</v>
      </c>
      <c r="E76" s="252"/>
      <c r="F76" s="253" t="s">
        <v>106</v>
      </c>
      <c r="G76" s="254" t="s">
        <v>194</v>
      </c>
      <c r="H76" s="255">
        <v>48</v>
      </c>
      <c r="I76" s="210">
        <v>41</v>
      </c>
      <c r="J76" s="210">
        <v>55</v>
      </c>
      <c r="K76" s="209">
        <v>55</v>
      </c>
      <c r="L76" s="210">
        <v>55</v>
      </c>
      <c r="M76" s="273">
        <f>11803.63+1320.23+3132.15+12104.63+822.42+4875.99+435.02+2678.15+3594.84+4069.8-0.4+11541.79</f>
        <v>56378.25</v>
      </c>
      <c r="N76" s="273">
        <f>11803.63+1320.23+3132.15+12104.63+822.42+4875.99+435.02+2678.15+3594.84+4069.8-0.4+11541.79</f>
        <v>56378.25</v>
      </c>
      <c r="O76" s="292">
        <f t="shared" si="4"/>
        <v>0</v>
      </c>
      <c r="P76" s="213">
        <v>5</v>
      </c>
      <c r="Q76" s="214">
        <v>5</v>
      </c>
      <c r="R76" s="215">
        <v>5</v>
      </c>
      <c r="S76" s="273">
        <f>5751.78+461.63</f>
        <v>6213.41</v>
      </c>
      <c r="T76" s="273">
        <f>5751.78+461.63</f>
        <v>6213.41</v>
      </c>
      <c r="U76" s="273">
        <f t="shared" si="5"/>
        <v>0</v>
      </c>
      <c r="V76" s="161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  <c r="AM76" s="243"/>
      <c r="AN76" s="243"/>
      <c r="AO76" s="243"/>
      <c r="AP76" s="243"/>
    </row>
    <row r="77" spans="1:42" x14ac:dyDescent="0.25">
      <c r="A77" s="367">
        <v>62</v>
      </c>
      <c r="B77" s="394">
        <f t="shared" ref="B77:B101" si="6">B76+1</f>
        <v>68</v>
      </c>
      <c r="C77" s="250" t="s">
        <v>80</v>
      </c>
      <c r="D77" s="251" t="s">
        <v>124</v>
      </c>
      <c r="E77" s="252"/>
      <c r="F77" s="253" t="s">
        <v>106</v>
      </c>
      <c r="G77" s="254" t="s">
        <v>195</v>
      </c>
      <c r="H77" s="255">
        <v>36</v>
      </c>
      <c r="I77" s="210">
        <v>16</v>
      </c>
      <c r="J77" s="210">
        <v>26</v>
      </c>
      <c r="K77" s="209">
        <v>26</v>
      </c>
      <c r="L77" s="210">
        <v>26</v>
      </c>
      <c r="M77" s="273">
        <f>20900.61+4738.34+4934.71</f>
        <v>30573.66</v>
      </c>
      <c r="N77" s="273">
        <f>20900.61+4738.34+4934.71</f>
        <v>30573.66</v>
      </c>
      <c r="O77" s="292">
        <f t="shared" si="4"/>
        <v>0</v>
      </c>
      <c r="P77" s="213"/>
      <c r="Q77" s="214"/>
      <c r="R77" s="215"/>
      <c r="S77" s="273"/>
      <c r="T77" s="273"/>
      <c r="U77" s="273">
        <f t="shared" si="5"/>
        <v>0</v>
      </c>
      <c r="V77" s="161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</row>
    <row r="78" spans="1:42" x14ac:dyDescent="0.25">
      <c r="A78" s="367" t="s">
        <v>315</v>
      </c>
      <c r="B78" s="394">
        <f t="shared" si="6"/>
        <v>69</v>
      </c>
      <c r="C78" s="403" t="s">
        <v>81</v>
      </c>
      <c r="D78" s="251" t="s">
        <v>124</v>
      </c>
      <c r="E78" s="252"/>
      <c r="F78" s="395" t="s">
        <v>106</v>
      </c>
      <c r="G78" s="254" t="s">
        <v>226</v>
      </c>
      <c r="H78" s="255"/>
      <c r="I78" s="210"/>
      <c r="J78" s="210"/>
      <c r="K78" s="209"/>
      <c r="L78" s="210"/>
      <c r="M78" s="273"/>
      <c r="N78" s="273"/>
      <c r="O78" s="292">
        <f t="shared" si="4"/>
        <v>0</v>
      </c>
      <c r="P78" s="213">
        <v>9</v>
      </c>
      <c r="Q78" s="214">
        <v>9</v>
      </c>
      <c r="R78" s="215">
        <v>9</v>
      </c>
      <c r="S78" s="273">
        <f>3889.76+778.48</f>
        <v>4668.24</v>
      </c>
      <c r="T78" s="273">
        <f>3889.76+778.48</f>
        <v>4668.24</v>
      </c>
      <c r="U78" s="273">
        <f t="shared" si="5"/>
        <v>0</v>
      </c>
      <c r="V78" s="161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  <c r="AM78" s="243"/>
      <c r="AN78" s="243"/>
      <c r="AO78" s="243"/>
      <c r="AP78" s="243"/>
    </row>
    <row r="79" spans="1:42" x14ac:dyDescent="0.25">
      <c r="A79" s="367">
        <v>63</v>
      </c>
      <c r="B79" s="394">
        <f t="shared" si="6"/>
        <v>70</v>
      </c>
      <c r="C79" s="404" t="s">
        <v>82</v>
      </c>
      <c r="D79" s="251" t="s">
        <v>124</v>
      </c>
      <c r="E79" s="252"/>
      <c r="F79" s="395" t="s">
        <v>106</v>
      </c>
      <c r="G79" s="254" t="s">
        <v>196</v>
      </c>
      <c r="H79" s="255">
        <v>27</v>
      </c>
      <c r="I79" s="210">
        <v>19</v>
      </c>
      <c r="J79" s="210">
        <v>28</v>
      </c>
      <c r="K79" s="209">
        <v>27</v>
      </c>
      <c r="L79" s="210">
        <v>27</v>
      </c>
      <c r="M79" s="273">
        <f>8913.81+7027.61+1244.33+15395.91+4278.3+2683.35+2527.95</f>
        <v>42071.259999999995</v>
      </c>
      <c r="N79" s="273">
        <f>8913.81+7027.61+1244.33+15395.91+4278.3+2683.35+2527.95</f>
        <v>42071.259999999995</v>
      </c>
      <c r="O79" s="292">
        <f t="shared" si="4"/>
        <v>0</v>
      </c>
      <c r="P79" s="213">
        <v>4</v>
      </c>
      <c r="Q79" s="214">
        <v>4</v>
      </c>
      <c r="R79" s="215">
        <v>4</v>
      </c>
      <c r="S79" s="273">
        <f>275.6+4163.58</f>
        <v>4439.18</v>
      </c>
      <c r="T79" s="273">
        <f>275.6+4163.58</f>
        <v>4439.18</v>
      </c>
      <c r="U79" s="273">
        <f t="shared" si="5"/>
        <v>0</v>
      </c>
      <c r="V79" s="161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M79" s="243"/>
      <c r="AN79" s="243"/>
      <c r="AO79" s="243"/>
      <c r="AP79" s="243"/>
    </row>
    <row r="80" spans="1:42" x14ac:dyDescent="0.25">
      <c r="A80" s="367">
        <v>64</v>
      </c>
      <c r="B80" s="394">
        <f t="shared" si="6"/>
        <v>71</v>
      </c>
      <c r="C80" s="404" t="s">
        <v>83</v>
      </c>
      <c r="D80" s="251" t="s">
        <v>124</v>
      </c>
      <c r="E80" s="252"/>
      <c r="F80" s="395" t="s">
        <v>106</v>
      </c>
      <c r="G80" s="254" t="s">
        <v>197</v>
      </c>
      <c r="H80" s="255">
        <v>26</v>
      </c>
      <c r="I80" s="210">
        <v>16</v>
      </c>
      <c r="J80" s="210">
        <v>26</v>
      </c>
      <c r="K80" s="209">
        <v>26</v>
      </c>
      <c r="L80" s="210">
        <v>26</v>
      </c>
      <c r="M80" s="273">
        <f>14959.64+7384.39+14758.51+362.5+822.42+1311.95-361.5+10652.94-5918.61</f>
        <v>43972.24</v>
      </c>
      <c r="N80" s="273">
        <f>14959.64+7384.39+14758.51+362.5+822.42+1311.95-361.5+10652.94-5918.61</f>
        <v>43972.24</v>
      </c>
      <c r="O80" s="292">
        <f t="shared" si="4"/>
        <v>0</v>
      </c>
      <c r="P80" s="213">
        <v>11</v>
      </c>
      <c r="Q80" s="214">
        <v>11</v>
      </c>
      <c r="R80" s="215">
        <v>11</v>
      </c>
      <c r="S80" s="273">
        <f>13554.7+2057.24+454.74-5918.61</f>
        <v>10148.07</v>
      </c>
      <c r="T80" s="273">
        <f>13554.7+2057.24+454.74-5918.61</f>
        <v>10148.07</v>
      </c>
      <c r="U80" s="273">
        <f t="shared" si="5"/>
        <v>0</v>
      </c>
      <c r="V80" s="161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M80" s="243"/>
      <c r="AN80" s="243"/>
      <c r="AO80" s="243"/>
      <c r="AP80" s="243"/>
    </row>
    <row r="81" spans="1:42" ht="20.100000000000001" customHeight="1" x14ac:dyDescent="0.25">
      <c r="A81" s="367">
        <v>65</v>
      </c>
      <c r="B81" s="394">
        <f t="shared" si="6"/>
        <v>72</v>
      </c>
      <c r="C81" s="250" t="s">
        <v>84</v>
      </c>
      <c r="D81" s="251" t="s">
        <v>124</v>
      </c>
      <c r="E81" s="252"/>
      <c r="F81" s="395" t="s">
        <v>120</v>
      </c>
      <c r="G81" s="254" t="s">
        <v>198</v>
      </c>
      <c r="H81" s="255">
        <v>4</v>
      </c>
      <c r="I81" s="210">
        <v>2</v>
      </c>
      <c r="J81" s="210">
        <v>4</v>
      </c>
      <c r="K81" s="209">
        <v>4</v>
      </c>
      <c r="L81" s="210">
        <v>4</v>
      </c>
      <c r="M81" s="273">
        <f>287.1+4641.98</f>
        <v>4929.08</v>
      </c>
      <c r="N81" s="273">
        <f>287.1+4641.98</f>
        <v>4929.08</v>
      </c>
      <c r="O81" s="292">
        <f t="shared" si="4"/>
        <v>0</v>
      </c>
      <c r="P81" s="213">
        <v>1</v>
      </c>
      <c r="Q81" s="214">
        <v>1</v>
      </c>
      <c r="R81" s="215">
        <v>1</v>
      </c>
      <c r="S81" s="273">
        <v>2673.24</v>
      </c>
      <c r="T81" s="273">
        <v>2673.24</v>
      </c>
      <c r="U81" s="273">
        <f t="shared" si="5"/>
        <v>0</v>
      </c>
      <c r="V81" s="161"/>
    </row>
    <row r="82" spans="1:42" ht="20.100000000000001" customHeight="1" x14ac:dyDescent="0.25">
      <c r="A82" s="367">
        <v>66</v>
      </c>
      <c r="B82" s="394">
        <f t="shared" si="6"/>
        <v>73</v>
      </c>
      <c r="C82" s="397" t="s">
        <v>85</v>
      </c>
      <c r="D82" s="251" t="s">
        <v>124</v>
      </c>
      <c r="E82" s="252"/>
      <c r="F82" s="399" t="s">
        <v>106</v>
      </c>
      <c r="G82" s="254" t="s">
        <v>199</v>
      </c>
      <c r="H82" s="255">
        <v>29</v>
      </c>
      <c r="I82" s="210">
        <v>19</v>
      </c>
      <c r="J82" s="210">
        <v>25</v>
      </c>
      <c r="K82" s="209">
        <v>25</v>
      </c>
      <c r="L82" s="210">
        <v>25</v>
      </c>
      <c r="M82" s="273">
        <f>2626.75+8084.46+600.05+7445.83+942.5+668.95+1283.25+574.2+8173.58</f>
        <v>30399.57</v>
      </c>
      <c r="N82" s="273">
        <f>2626.75+8084.46+600.05+7445.83+942.5+668.95+1283.25+574.2+8173.58</f>
        <v>30399.57</v>
      </c>
      <c r="O82" s="292">
        <f t="shared" si="4"/>
        <v>0</v>
      </c>
      <c r="P82" s="213">
        <v>10</v>
      </c>
      <c r="Q82" s="214">
        <v>10</v>
      </c>
      <c r="R82" s="215">
        <v>10</v>
      </c>
      <c r="S82" s="273">
        <f>15935.59+881.06+1714.6+1015.59</f>
        <v>19546.84</v>
      </c>
      <c r="T82" s="273">
        <f>15935.59+881.06+1714.6+1015.59</f>
        <v>19546.84</v>
      </c>
      <c r="U82" s="273">
        <f t="shared" si="5"/>
        <v>0</v>
      </c>
      <c r="V82" s="161"/>
    </row>
    <row r="83" spans="1:42" ht="20.100000000000001" customHeight="1" x14ac:dyDescent="0.25">
      <c r="A83" s="367">
        <v>67</v>
      </c>
      <c r="B83" s="394">
        <f t="shared" si="6"/>
        <v>74</v>
      </c>
      <c r="C83" s="395" t="s">
        <v>86</v>
      </c>
      <c r="D83" s="251" t="s">
        <v>124</v>
      </c>
      <c r="E83" s="252"/>
      <c r="F83" s="400" t="s">
        <v>118</v>
      </c>
      <c r="G83" s="254" t="s">
        <v>200</v>
      </c>
      <c r="H83" s="255">
        <v>33</v>
      </c>
      <c r="I83" s="210">
        <v>25</v>
      </c>
      <c r="J83" s="210">
        <v>37</v>
      </c>
      <c r="K83" s="209">
        <v>37</v>
      </c>
      <c r="L83" s="210">
        <v>37</v>
      </c>
      <c r="M83" s="273">
        <f>11233.31+3440.1+14435.12-1360.99+3088.95+2556.06+1891.38+763.69+6647.89</f>
        <v>42695.509999999995</v>
      </c>
      <c r="N83" s="273">
        <f>11233.31+3440.1+14435.12-1360.99+3088.95+2556.06+1891.38+763.69+6647.89</f>
        <v>42695.509999999995</v>
      </c>
      <c r="O83" s="292">
        <f t="shared" si="4"/>
        <v>0</v>
      </c>
      <c r="P83" s="213">
        <v>7</v>
      </c>
      <c r="Q83" s="214">
        <v>7</v>
      </c>
      <c r="R83" s="215">
        <v>7</v>
      </c>
      <c r="S83" s="273">
        <f>6465.89+3406.65+1360.99</f>
        <v>11233.53</v>
      </c>
      <c r="T83" s="273">
        <f>6465.89+3406.65+1360.99</f>
        <v>11233.53</v>
      </c>
      <c r="U83" s="273">
        <f t="shared" si="5"/>
        <v>0</v>
      </c>
      <c r="V83" s="161"/>
    </row>
    <row r="84" spans="1:42" ht="20.100000000000001" customHeight="1" x14ac:dyDescent="0.25">
      <c r="A84" s="367">
        <v>68</v>
      </c>
      <c r="B84" s="394">
        <f t="shared" si="6"/>
        <v>75</v>
      </c>
      <c r="C84" s="395" t="s">
        <v>87</v>
      </c>
      <c r="D84" s="251" t="s">
        <v>124</v>
      </c>
      <c r="E84" s="252"/>
      <c r="F84" s="400" t="s">
        <v>115</v>
      </c>
      <c r="G84" s="254" t="s">
        <v>201</v>
      </c>
      <c r="H84" s="255">
        <v>26</v>
      </c>
      <c r="I84" s="210">
        <v>17</v>
      </c>
      <c r="J84" s="210">
        <v>29</v>
      </c>
      <c r="K84" s="209">
        <v>28</v>
      </c>
      <c r="L84" s="210">
        <v>28</v>
      </c>
      <c r="M84" s="273">
        <f>5429.56+2272.28+2029.9+2976.46+1243.6+3190.51+1864.46+3040.61-258.38+3040.61</f>
        <v>24829.61</v>
      </c>
      <c r="N84" s="273">
        <f>5429.56+2272.28+2029.9+2976.46+1243.6+3190.51+1864.46+3040.61-258.38+3040.61</f>
        <v>24829.61</v>
      </c>
      <c r="O84" s="292">
        <f t="shared" si="4"/>
        <v>0</v>
      </c>
      <c r="P84" s="213">
        <v>2</v>
      </c>
      <c r="Q84" s="214">
        <v>2</v>
      </c>
      <c r="R84" s="215">
        <v>2</v>
      </c>
      <c r="S84" s="273">
        <f>1515.31+258.38</f>
        <v>1773.69</v>
      </c>
      <c r="T84" s="273">
        <f>1515.31+258.38</f>
        <v>1773.69</v>
      </c>
      <c r="U84" s="273">
        <f t="shared" si="5"/>
        <v>0</v>
      </c>
      <c r="V84" s="161"/>
    </row>
    <row r="85" spans="1:42" ht="20.100000000000001" customHeight="1" x14ac:dyDescent="0.25">
      <c r="A85" s="367">
        <v>70</v>
      </c>
      <c r="B85" s="394">
        <f t="shared" si="6"/>
        <v>76</v>
      </c>
      <c r="C85" s="250" t="s">
        <v>88</v>
      </c>
      <c r="D85" s="251" t="s">
        <v>124</v>
      </c>
      <c r="E85" s="252"/>
      <c r="F85" s="253" t="s">
        <v>121</v>
      </c>
      <c r="G85" s="254" t="s">
        <v>203</v>
      </c>
      <c r="H85" s="255">
        <v>64</v>
      </c>
      <c r="I85" s="210">
        <v>52</v>
      </c>
      <c r="J85" s="210">
        <v>84</v>
      </c>
      <c r="K85" s="209">
        <v>81</v>
      </c>
      <c r="L85" s="210">
        <v>81</v>
      </c>
      <c r="M85" s="273">
        <f>15506.09+4089.12+1924.78+1267.55+6546.86+1962.04+654.22+1080.22+392.95+1059.68+8180.45+435+1409.81+1010.65+13132.32</f>
        <v>58651.739999999991</v>
      </c>
      <c r="N85" s="273">
        <f>15506.09+4089.12+1924.78+1267.55+6546.86+1962.04+654.22+1080.22+392.95+1059.68+8180.45+435+1409.81+1010.65+13132.32</f>
        <v>58651.739999999991</v>
      </c>
      <c r="O85" s="292">
        <f t="shared" si="4"/>
        <v>0</v>
      </c>
      <c r="P85" s="213">
        <v>5</v>
      </c>
      <c r="Q85" s="214">
        <v>5</v>
      </c>
      <c r="R85" s="215">
        <v>5</v>
      </c>
      <c r="S85" s="273">
        <f>2068.47+2492.49</f>
        <v>4560.9599999999991</v>
      </c>
      <c r="T85" s="273">
        <f>2068.47+2492.49</f>
        <v>4560.9599999999991</v>
      </c>
      <c r="U85" s="273">
        <f t="shared" si="5"/>
        <v>0</v>
      </c>
      <c r="V85" s="161"/>
    </row>
    <row r="86" spans="1:42" ht="20.100000000000001" customHeight="1" x14ac:dyDescent="0.25">
      <c r="A86" s="367">
        <v>69</v>
      </c>
      <c r="B86" s="394">
        <f t="shared" si="6"/>
        <v>77</v>
      </c>
      <c r="C86" s="404" t="s">
        <v>89</v>
      </c>
      <c r="D86" s="251" t="s">
        <v>124</v>
      </c>
      <c r="E86" s="252"/>
      <c r="F86" s="399" t="s">
        <v>106</v>
      </c>
      <c r="G86" s="254" t="s">
        <v>202</v>
      </c>
      <c r="H86" s="255">
        <v>23</v>
      </c>
      <c r="I86" s="210">
        <v>18</v>
      </c>
      <c r="J86" s="210">
        <v>21</v>
      </c>
      <c r="K86" s="209">
        <v>21</v>
      </c>
      <c r="L86" s="210">
        <v>21</v>
      </c>
      <c r="M86" s="273">
        <f>1957.76+1128.38+1752.82+1595+1761.46+1724.05</f>
        <v>9919.4699999999993</v>
      </c>
      <c r="N86" s="273">
        <f>1957.76+1128.38+1752.82+1595+1761.46+1724.05</f>
        <v>9919.4699999999993</v>
      </c>
      <c r="O86" s="292">
        <f t="shared" si="4"/>
        <v>0</v>
      </c>
      <c r="P86" s="213">
        <v>2</v>
      </c>
      <c r="Q86" s="214">
        <v>2</v>
      </c>
      <c r="R86" s="215">
        <v>2</v>
      </c>
      <c r="S86" s="273">
        <v>839.18</v>
      </c>
      <c r="T86" s="273">
        <v>839.18</v>
      </c>
      <c r="U86" s="273">
        <f t="shared" si="5"/>
        <v>0</v>
      </c>
      <c r="V86" s="161"/>
    </row>
    <row r="87" spans="1:42" ht="20.25" customHeight="1" x14ac:dyDescent="0.25">
      <c r="A87" s="367">
        <v>71</v>
      </c>
      <c r="B87" s="394">
        <f t="shared" si="6"/>
        <v>78</v>
      </c>
      <c r="C87" s="404" t="s">
        <v>90</v>
      </c>
      <c r="D87" s="251" t="s">
        <v>124</v>
      </c>
      <c r="E87" s="252"/>
      <c r="F87" s="399" t="s">
        <v>106</v>
      </c>
      <c r="G87" s="254" t="s">
        <v>204</v>
      </c>
      <c r="H87" s="255">
        <v>11</v>
      </c>
      <c r="I87" s="210">
        <v>8</v>
      </c>
      <c r="J87" s="210">
        <v>14</v>
      </c>
      <c r="K87" s="209">
        <v>13</v>
      </c>
      <c r="L87" s="210">
        <v>13</v>
      </c>
      <c r="M87" s="273">
        <f>795.8+4099.92+1305+358.88+1643.65+1026.38+1265.93+430.65+21</f>
        <v>10947.210000000001</v>
      </c>
      <c r="N87" s="273">
        <f>795.8+4099.92+1305+358.88+1643.65+1026.38+1265.93+430.65+21</f>
        <v>10947.210000000001</v>
      </c>
      <c r="O87" s="292">
        <f t="shared" si="4"/>
        <v>0</v>
      </c>
      <c r="P87" s="213">
        <v>6</v>
      </c>
      <c r="Q87" s="214">
        <v>6</v>
      </c>
      <c r="R87" s="215">
        <v>6</v>
      </c>
      <c r="S87" s="273">
        <f>2723.78+3718.48+4265.16+4595.62</f>
        <v>15303.04</v>
      </c>
      <c r="T87" s="273">
        <f>2723.78+3718.48+4265.16+4595.62</f>
        <v>15303.04</v>
      </c>
      <c r="U87" s="273">
        <f t="shared" si="5"/>
        <v>0</v>
      </c>
      <c r="V87" s="161"/>
    </row>
    <row r="88" spans="1:42" ht="20.100000000000001" customHeight="1" x14ac:dyDescent="0.25">
      <c r="B88" s="394">
        <f t="shared" si="6"/>
        <v>79</v>
      </c>
      <c r="C88" s="395" t="s">
        <v>91</v>
      </c>
      <c r="D88" s="251" t="s">
        <v>124</v>
      </c>
      <c r="E88" s="252"/>
      <c r="F88" s="253" t="s">
        <v>111</v>
      </c>
      <c r="G88" s="254" t="s">
        <v>231</v>
      </c>
      <c r="H88" s="255">
        <v>1</v>
      </c>
      <c r="I88" s="210"/>
      <c r="J88" s="210"/>
      <c r="K88" s="209"/>
      <c r="L88" s="210"/>
      <c r="M88" s="273"/>
      <c r="N88" s="273"/>
      <c r="O88" s="292">
        <f t="shared" si="4"/>
        <v>0</v>
      </c>
      <c r="P88" s="213">
        <v>6</v>
      </c>
      <c r="Q88" s="214">
        <v>6</v>
      </c>
      <c r="R88" s="215">
        <v>6</v>
      </c>
      <c r="S88" s="273">
        <v>7502.29</v>
      </c>
      <c r="T88" s="273">
        <v>7502.29</v>
      </c>
      <c r="U88" s="273">
        <f t="shared" si="5"/>
        <v>0</v>
      </c>
      <c r="V88" s="161"/>
    </row>
    <row r="89" spans="1:42" ht="20.100000000000001" customHeight="1" x14ac:dyDescent="0.25">
      <c r="A89" s="367">
        <v>72</v>
      </c>
      <c r="B89" s="394">
        <f t="shared" si="6"/>
        <v>80</v>
      </c>
      <c r="C89" s="395" t="s">
        <v>92</v>
      </c>
      <c r="D89" s="251" t="s">
        <v>124</v>
      </c>
      <c r="E89" s="252"/>
      <c r="F89" s="399" t="s">
        <v>106</v>
      </c>
      <c r="G89" s="254" t="s">
        <v>205</v>
      </c>
      <c r="H89" s="255">
        <v>21</v>
      </c>
      <c r="I89" s="210">
        <v>14</v>
      </c>
      <c r="J89" s="210">
        <v>16</v>
      </c>
      <c r="K89" s="209">
        <v>15</v>
      </c>
      <c r="L89" s="210">
        <v>15</v>
      </c>
      <c r="M89" s="273">
        <f>2874.33+1509.2+1943+315.81+145+874.35+533.98+2446.6</f>
        <v>10642.27</v>
      </c>
      <c r="N89" s="273">
        <f>2874.33+1509.2+1943+315.81+145+874.35+533.98+2446.6</f>
        <v>10642.27</v>
      </c>
      <c r="O89" s="292">
        <f t="shared" si="4"/>
        <v>0</v>
      </c>
      <c r="P89" s="213">
        <v>8</v>
      </c>
      <c r="Q89" s="214">
        <v>8</v>
      </c>
      <c r="R89" s="215">
        <v>8</v>
      </c>
      <c r="S89" s="273">
        <f>8161.92+1118.75+3779.58+1127.2+2077.34</f>
        <v>16264.79</v>
      </c>
      <c r="T89" s="273">
        <f>8161.92+1118.75+3779.58+1127.2+2077.34</f>
        <v>16264.79</v>
      </c>
      <c r="U89" s="273">
        <f t="shared" si="5"/>
        <v>0</v>
      </c>
      <c r="V89" s="161"/>
    </row>
    <row r="90" spans="1:42" ht="20.100000000000001" customHeight="1" x14ac:dyDescent="0.25">
      <c r="A90" s="367">
        <v>73</v>
      </c>
      <c r="B90" s="394">
        <f t="shared" si="6"/>
        <v>81</v>
      </c>
      <c r="C90" s="250" t="s">
        <v>93</v>
      </c>
      <c r="D90" s="251" t="s">
        <v>124</v>
      </c>
      <c r="E90" s="252"/>
      <c r="F90" s="253" t="s">
        <v>122</v>
      </c>
      <c r="G90" s="254" t="s">
        <v>206</v>
      </c>
      <c r="H90" s="255">
        <v>76</v>
      </c>
      <c r="I90" s="210">
        <v>64</v>
      </c>
      <c r="J90" s="210">
        <v>111</v>
      </c>
      <c r="K90" s="209">
        <v>111</v>
      </c>
      <c r="L90" s="210">
        <v>111</v>
      </c>
      <c r="M90" s="273">
        <f>14303.46+6714.67+1828.05+13505.93+582.9+8733.75+358.88+2031-1990+16472.8+9266.84-1465.73+14763.45</f>
        <v>85106</v>
      </c>
      <c r="N90" s="273">
        <f>14303.46+6714.67+1828.05+13505.93+582.9+8733.75+358.88+2031-1990+16472.8+9266.84-1465.73+14763.45</f>
        <v>85106</v>
      </c>
      <c r="O90" s="292">
        <f t="shared" si="4"/>
        <v>0</v>
      </c>
      <c r="P90" s="213">
        <v>8</v>
      </c>
      <c r="Q90" s="214">
        <v>8</v>
      </c>
      <c r="R90" s="215">
        <v>8</v>
      </c>
      <c r="S90" s="273">
        <f>3130.8+1465.73</f>
        <v>4596.5300000000007</v>
      </c>
      <c r="T90" s="273">
        <f>3130.8+1465.73</f>
        <v>4596.5300000000007</v>
      </c>
      <c r="U90" s="273">
        <f t="shared" si="5"/>
        <v>0</v>
      </c>
      <c r="V90" s="161"/>
    </row>
    <row r="91" spans="1:42" ht="20.100000000000001" customHeight="1" x14ac:dyDescent="0.25">
      <c r="A91" s="367">
        <v>74</v>
      </c>
      <c r="B91" s="394">
        <f t="shared" si="6"/>
        <v>82</v>
      </c>
      <c r="C91" s="250" t="s">
        <v>94</v>
      </c>
      <c r="D91" s="251" t="s">
        <v>124</v>
      </c>
      <c r="E91" s="252"/>
      <c r="F91" s="399" t="s">
        <v>106</v>
      </c>
      <c r="G91" s="254" t="s">
        <v>218</v>
      </c>
      <c r="H91" s="255">
        <v>36</v>
      </c>
      <c r="I91" s="210">
        <v>21</v>
      </c>
      <c r="J91" s="210">
        <v>34</v>
      </c>
      <c r="K91" s="209">
        <v>32</v>
      </c>
      <c r="L91" s="210">
        <v>32</v>
      </c>
      <c r="M91" s="273">
        <f>5384.83+3572.76+8100.09+725+145+1865.54-8102.05+6090.38</f>
        <v>17781.550000000003</v>
      </c>
      <c r="N91" s="273">
        <f>5384.83+3572.76+8100.09+725+145+1865.54-8102.05+6090.38</f>
        <v>17781.550000000003</v>
      </c>
      <c r="O91" s="292">
        <f t="shared" si="4"/>
        <v>0</v>
      </c>
      <c r="P91" s="213">
        <v>9</v>
      </c>
      <c r="Q91" s="214">
        <v>7</v>
      </c>
      <c r="R91" s="215">
        <v>7</v>
      </c>
      <c r="S91" s="273">
        <f>6219.66+748.35+1502.94</f>
        <v>8470.9500000000007</v>
      </c>
      <c r="T91" s="273">
        <f>6219.66+748.35+1502.94</f>
        <v>8470.9500000000007</v>
      </c>
      <c r="U91" s="273">
        <f t="shared" si="5"/>
        <v>0</v>
      </c>
      <c r="V91" s="161"/>
    </row>
    <row r="92" spans="1:42" ht="20.100000000000001" customHeight="1" x14ac:dyDescent="0.25">
      <c r="A92" s="367">
        <v>75</v>
      </c>
      <c r="B92" s="394">
        <f t="shared" si="6"/>
        <v>83</v>
      </c>
      <c r="C92" s="250" t="s">
        <v>95</v>
      </c>
      <c r="D92" s="251" t="s">
        <v>124</v>
      </c>
      <c r="E92" s="252"/>
      <c r="F92" s="399" t="s">
        <v>123</v>
      </c>
      <c r="G92" s="254" t="s">
        <v>217</v>
      </c>
      <c r="H92" s="255">
        <v>31</v>
      </c>
      <c r="I92" s="210">
        <v>20</v>
      </c>
      <c r="J92" s="210">
        <v>30</v>
      </c>
      <c r="K92" s="209">
        <v>30</v>
      </c>
      <c r="L92" s="210">
        <v>30</v>
      </c>
      <c r="M92" s="273">
        <f>2301.54+4352.56+3555.69+1798.94+1481.14+763.69+2342.6+947.21+1435.6+2658.12+788.44+3552.5+1744.93</f>
        <v>27722.959999999995</v>
      </c>
      <c r="N92" s="273">
        <f>2301.54+4352.56+3555.69+1798.94+1481.14+763.69+2342.6+947.21+1435.6+2658.12+788.44+3552.5+1744.93</f>
        <v>27722.959999999995</v>
      </c>
      <c r="O92" s="292">
        <f t="shared" si="4"/>
        <v>0</v>
      </c>
      <c r="P92" s="213">
        <v>1</v>
      </c>
      <c r="Q92" s="214">
        <v>1</v>
      </c>
      <c r="R92" s="215">
        <v>1</v>
      </c>
      <c r="S92" s="273">
        <v>206.7</v>
      </c>
      <c r="T92" s="273">
        <v>206.7</v>
      </c>
      <c r="U92" s="273">
        <f t="shared" si="5"/>
        <v>0</v>
      </c>
      <c r="V92" s="161"/>
    </row>
    <row r="93" spans="1:42" ht="20.100000000000001" customHeight="1" x14ac:dyDescent="0.25">
      <c r="A93" s="367">
        <v>76</v>
      </c>
      <c r="B93" s="394">
        <f t="shared" si="6"/>
        <v>84</v>
      </c>
      <c r="C93" s="250" t="s">
        <v>96</v>
      </c>
      <c r="D93" s="251" t="s">
        <v>124</v>
      </c>
      <c r="E93" s="252"/>
      <c r="F93" s="400" t="s">
        <v>112</v>
      </c>
      <c r="G93" s="254" t="s">
        <v>216</v>
      </c>
      <c r="H93" s="255">
        <v>134</v>
      </c>
      <c r="I93" s="210">
        <v>113</v>
      </c>
      <c r="J93" s="210">
        <v>132</v>
      </c>
      <c r="K93" s="209">
        <v>131</v>
      </c>
      <c r="L93" s="210">
        <v>131</v>
      </c>
      <c r="M93" s="273">
        <f>14656.12+3543.47+2420.25+2112.66+1299.21+2099.6+145+12320.24+7256.93+7391.73+3180.78+6298.93+4674.22+14249.72+7391.73-1965.34+2961.89-7862.9+7306.5</f>
        <v>89480.739999999991</v>
      </c>
      <c r="N93" s="273">
        <f>14656.12+3543.47+2420.25+2112.66+1299.21+2099.6+145+12320.24+7256.93+7391.73+3180.78+6298.93+4674.22+14249.72+7391.73-1965.34+2961.89-7862.9+7306.5</f>
        <v>89480.739999999991</v>
      </c>
      <c r="O93" s="292">
        <f t="shared" si="4"/>
        <v>0</v>
      </c>
      <c r="P93" s="213">
        <v>12</v>
      </c>
      <c r="Q93" s="214">
        <v>12</v>
      </c>
      <c r="R93" s="215">
        <v>12</v>
      </c>
      <c r="S93" s="273">
        <f>11083.64+344.5+3682.91</f>
        <v>15111.05</v>
      </c>
      <c r="T93" s="273">
        <f>11083.64+344.5+3682.91</f>
        <v>15111.05</v>
      </c>
      <c r="U93" s="273">
        <f t="shared" si="5"/>
        <v>0</v>
      </c>
      <c r="V93" s="161"/>
      <c r="AF93" s="145"/>
    </row>
    <row r="94" spans="1:42" s="227" customFormat="1" ht="20.100000000000001" customHeight="1" x14ac:dyDescent="0.25">
      <c r="A94" s="367">
        <v>77</v>
      </c>
      <c r="B94" s="394">
        <f t="shared" si="6"/>
        <v>85</v>
      </c>
      <c r="C94" s="250" t="s">
        <v>97</v>
      </c>
      <c r="D94" s="251" t="s">
        <v>124</v>
      </c>
      <c r="E94" s="252"/>
      <c r="F94" s="253" t="s">
        <v>111</v>
      </c>
      <c r="G94" s="254" t="s">
        <v>215</v>
      </c>
      <c r="H94" s="255">
        <v>54</v>
      </c>
      <c r="I94" s="210">
        <v>29</v>
      </c>
      <c r="J94" s="210">
        <v>41</v>
      </c>
      <c r="K94" s="210">
        <v>39</v>
      </c>
      <c r="L94" s="210">
        <v>39</v>
      </c>
      <c r="M94" s="273">
        <f>6576.32+217.5+2898.52+939.6+1008.45+1200.17+3722.95+4136.2+2392.5+736.89+7024.11+3460.88+3411.85+736.1</f>
        <v>38462.04</v>
      </c>
      <c r="N94" s="273">
        <f>6576.32+217.5+2898.52+939.6+1008.45+1200.17+3722.95+4136.2+2392.5+736.89+7024.11+3460.88+3411.85+736.1</f>
        <v>38462.04</v>
      </c>
      <c r="O94" s="292">
        <f t="shared" si="4"/>
        <v>0</v>
      </c>
      <c r="P94" s="213">
        <v>25</v>
      </c>
      <c r="Q94" s="215">
        <v>25</v>
      </c>
      <c r="R94" s="215">
        <v>25</v>
      </c>
      <c r="S94" s="273">
        <f>18253.04+4245.2+858.65+1546.26+14802.65</f>
        <v>39705.800000000003</v>
      </c>
      <c r="T94" s="273">
        <f>18253.04+4245.2+858.65+1546.26+14802.65</f>
        <v>39705.800000000003</v>
      </c>
      <c r="U94" s="273">
        <f t="shared" si="5"/>
        <v>0</v>
      </c>
      <c r="V94" s="229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</row>
    <row r="95" spans="1:42" ht="20.100000000000001" customHeight="1" x14ac:dyDescent="0.25">
      <c r="A95" s="367">
        <v>78</v>
      </c>
      <c r="B95" s="394">
        <f t="shared" si="6"/>
        <v>86</v>
      </c>
      <c r="C95" s="395" t="s">
        <v>98</v>
      </c>
      <c r="D95" s="251" t="s">
        <v>124</v>
      </c>
      <c r="E95" s="252"/>
      <c r="F95" s="399" t="s">
        <v>106</v>
      </c>
      <c r="G95" s="254" t="s">
        <v>214</v>
      </c>
      <c r="H95" s="255">
        <v>38</v>
      </c>
      <c r="I95" s="210">
        <v>18</v>
      </c>
      <c r="J95" s="210">
        <v>29</v>
      </c>
      <c r="K95" s="209">
        <v>29</v>
      </c>
      <c r="L95" s="210">
        <v>29</v>
      </c>
      <c r="M95" s="273">
        <f>2362.32+22110.36+455.21+2039.58+953.22+699.73+275.6+9654.91+1049.72+185.88+466.54-377.07+2356.1+10658.83-6278.3+8796.61</f>
        <v>55409.24</v>
      </c>
      <c r="N95" s="273">
        <f>2362.32+22110.36+455.21+2039.58+953.22+699.73+275.6+9654.91+1049.72+185.88+466.54-377.07+2356.1+10658.83-6278.3+8796.61</f>
        <v>55409.24</v>
      </c>
      <c r="O95" s="292">
        <f t="shared" si="4"/>
        <v>0</v>
      </c>
      <c r="P95" s="213">
        <v>17</v>
      </c>
      <c r="Q95" s="214">
        <v>17</v>
      </c>
      <c r="R95" s="215">
        <v>17</v>
      </c>
      <c r="S95" s="273">
        <f>24552.24+1001.28+122.46+1729.98-1+6278.3</f>
        <v>33683.26</v>
      </c>
      <c r="T95" s="273">
        <f>24552.24+1001.28+122.46+1729.98-1+6278.3</f>
        <v>33683.26</v>
      </c>
      <c r="U95" s="273">
        <f t="shared" si="5"/>
        <v>0</v>
      </c>
      <c r="V95" s="161"/>
    </row>
    <row r="96" spans="1:42" ht="20.100000000000001" customHeight="1" x14ac:dyDescent="0.25">
      <c r="A96" s="367">
        <v>80</v>
      </c>
      <c r="B96" s="394">
        <f t="shared" si="6"/>
        <v>87</v>
      </c>
      <c r="C96" s="395" t="s">
        <v>129</v>
      </c>
      <c r="D96" s="251" t="s">
        <v>124</v>
      </c>
      <c r="E96" s="252"/>
      <c r="F96" s="399" t="s">
        <v>106</v>
      </c>
      <c r="G96" s="254" t="s">
        <v>212</v>
      </c>
      <c r="H96" s="255">
        <v>11</v>
      </c>
      <c r="I96" s="210">
        <v>9</v>
      </c>
      <c r="J96" s="210">
        <v>13</v>
      </c>
      <c r="K96" s="209">
        <v>12</v>
      </c>
      <c r="L96" s="210">
        <v>12</v>
      </c>
      <c r="M96" s="273">
        <f>826.8+2786.41+2401.3+725</f>
        <v>6739.51</v>
      </c>
      <c r="N96" s="273">
        <f>826.8+2786.41+2401.3+725</f>
        <v>6739.51</v>
      </c>
      <c r="O96" s="292">
        <f t="shared" si="4"/>
        <v>0</v>
      </c>
      <c r="P96" s="213"/>
      <c r="Q96" s="214"/>
      <c r="R96" s="215"/>
      <c r="S96" s="273"/>
      <c r="T96" s="273"/>
      <c r="U96" s="273">
        <f t="shared" si="5"/>
        <v>0</v>
      </c>
      <c r="V96" s="161"/>
    </row>
    <row r="97" spans="1:42" x14ac:dyDescent="0.25">
      <c r="A97" s="367">
        <v>79</v>
      </c>
      <c r="B97" s="394">
        <f t="shared" si="6"/>
        <v>88</v>
      </c>
      <c r="C97" s="395" t="s">
        <v>99</v>
      </c>
      <c r="D97" s="251" t="s">
        <v>124</v>
      </c>
      <c r="E97" s="252"/>
      <c r="F97" s="399" t="s">
        <v>106</v>
      </c>
      <c r="G97" s="254" t="s">
        <v>213</v>
      </c>
      <c r="H97" s="255">
        <v>15</v>
      </c>
      <c r="I97" s="210">
        <v>9</v>
      </c>
      <c r="J97" s="210">
        <v>9</v>
      </c>
      <c r="K97" s="209">
        <v>8</v>
      </c>
      <c r="L97" s="210">
        <v>8</v>
      </c>
      <c r="M97" s="273">
        <f>3172.93+1457.25+380.63</f>
        <v>5010.8100000000004</v>
      </c>
      <c r="N97" s="273">
        <f>3172.93+1457.25+380.63</f>
        <v>5010.8100000000004</v>
      </c>
      <c r="O97" s="292">
        <f t="shared" si="4"/>
        <v>0</v>
      </c>
      <c r="P97" s="213">
        <v>5</v>
      </c>
      <c r="Q97" s="214">
        <v>4</v>
      </c>
      <c r="R97" s="215">
        <v>4</v>
      </c>
      <c r="S97" s="273">
        <v>1744.35</v>
      </c>
      <c r="T97" s="273">
        <v>1744.35</v>
      </c>
      <c r="U97" s="273">
        <f t="shared" si="5"/>
        <v>0</v>
      </c>
      <c r="V97" s="161"/>
      <c r="AJ97" s="243"/>
      <c r="AK97" s="243"/>
      <c r="AL97" s="243"/>
      <c r="AM97" s="243"/>
      <c r="AN97" s="243"/>
      <c r="AO97" s="243"/>
      <c r="AP97" s="243"/>
    </row>
    <row r="98" spans="1:42" x14ac:dyDescent="0.25">
      <c r="A98" s="367">
        <v>81</v>
      </c>
      <c r="B98" s="394">
        <f t="shared" si="6"/>
        <v>89</v>
      </c>
      <c r="C98" s="397" t="s">
        <v>100</v>
      </c>
      <c r="D98" s="251" t="s">
        <v>124</v>
      </c>
      <c r="E98" s="252"/>
      <c r="F98" s="399" t="s">
        <v>106</v>
      </c>
      <c r="G98" s="254" t="s">
        <v>211</v>
      </c>
      <c r="H98" s="255">
        <v>23</v>
      </c>
      <c r="I98" s="210">
        <v>14</v>
      </c>
      <c r="J98" s="210">
        <v>16</v>
      </c>
      <c r="K98" s="209">
        <v>15</v>
      </c>
      <c r="L98" s="210">
        <v>15</v>
      </c>
      <c r="M98" s="273">
        <f>757.9+551.2+895.7+290+725+841.2+290+725+2.07+275.6</f>
        <v>5353.67</v>
      </c>
      <c r="N98" s="273">
        <f>757.9+551.2+895.7+290+725+841.2+290+725+2.07+275.6</f>
        <v>5353.67</v>
      </c>
      <c r="O98" s="292">
        <f t="shared" si="4"/>
        <v>0</v>
      </c>
      <c r="P98" s="213">
        <v>13</v>
      </c>
      <c r="Q98" s="214">
        <v>13</v>
      </c>
      <c r="R98" s="215">
        <v>13</v>
      </c>
      <c r="S98" s="273">
        <f>8034.56+3466.13+4060.73+413.4</f>
        <v>15974.82</v>
      </c>
      <c r="T98" s="273">
        <f>8034.56+3466.13+4060.73+413.4</f>
        <v>15974.82</v>
      </c>
      <c r="U98" s="273">
        <f t="shared" si="5"/>
        <v>0</v>
      </c>
      <c r="V98" s="161"/>
      <c r="AJ98" s="243"/>
      <c r="AK98" s="243"/>
      <c r="AL98" s="243"/>
      <c r="AM98" s="243"/>
      <c r="AN98" s="243"/>
      <c r="AO98" s="243"/>
      <c r="AP98" s="243"/>
    </row>
    <row r="99" spans="1:42" x14ac:dyDescent="0.25">
      <c r="A99" s="367">
        <v>82</v>
      </c>
      <c r="B99" s="394">
        <f t="shared" si="6"/>
        <v>90</v>
      </c>
      <c r="C99" s="397" t="s">
        <v>101</v>
      </c>
      <c r="D99" s="251" t="s">
        <v>124</v>
      </c>
      <c r="E99" s="252"/>
      <c r="F99" s="253" t="s">
        <v>106</v>
      </c>
      <c r="G99" s="254" t="s">
        <v>210</v>
      </c>
      <c r="H99" s="255">
        <v>32</v>
      </c>
      <c r="I99" s="210">
        <v>22</v>
      </c>
      <c r="J99" s="210">
        <v>30</v>
      </c>
      <c r="K99" s="209">
        <v>29</v>
      </c>
      <c r="L99" s="210">
        <v>29</v>
      </c>
      <c r="M99" s="273">
        <f>4783.23+1353.89+2195.41+1197.7+1340.79+681.5+699.48+1909.51+3782.49</f>
        <v>17944</v>
      </c>
      <c r="N99" s="273">
        <f>4783.23+1353.89+2195.41+1197.7+1340.79+681.5+699.48+1909.51+3782.49</f>
        <v>17944</v>
      </c>
      <c r="O99" s="292">
        <f t="shared" si="4"/>
        <v>0</v>
      </c>
      <c r="P99" s="213">
        <v>12</v>
      </c>
      <c r="Q99" s="214">
        <v>12</v>
      </c>
      <c r="R99" s="215">
        <v>12</v>
      </c>
      <c r="S99" s="273">
        <f>12321.66+1021.27+487.2+781.96</f>
        <v>14612.09</v>
      </c>
      <c r="T99" s="273">
        <f>12321.66+1021.27+487.2+781.96</f>
        <v>14612.09</v>
      </c>
      <c r="U99" s="273">
        <f t="shared" si="5"/>
        <v>0</v>
      </c>
      <c r="V99" s="161"/>
      <c r="AJ99" s="243"/>
      <c r="AK99" s="243"/>
      <c r="AL99" s="243"/>
      <c r="AM99" s="243"/>
      <c r="AN99" s="243"/>
      <c r="AO99" s="243"/>
      <c r="AP99" s="243"/>
    </row>
    <row r="100" spans="1:42" x14ac:dyDescent="0.25">
      <c r="A100" s="367">
        <v>83</v>
      </c>
      <c r="B100" s="394">
        <f t="shared" si="6"/>
        <v>91</v>
      </c>
      <c r="C100" s="397" t="s">
        <v>102</v>
      </c>
      <c r="D100" s="251" t="s">
        <v>124</v>
      </c>
      <c r="E100" s="252"/>
      <c r="F100" s="253" t="s">
        <v>106</v>
      </c>
      <c r="G100" s="254" t="s">
        <v>209</v>
      </c>
      <c r="H100" s="255">
        <v>62</v>
      </c>
      <c r="I100" s="210">
        <v>21</v>
      </c>
      <c r="J100" s="210">
        <v>34</v>
      </c>
      <c r="K100" s="209">
        <v>34</v>
      </c>
      <c r="L100" s="210">
        <v>34</v>
      </c>
      <c r="M100" s="273">
        <f>10862.96+2375.03+5632.11+356.47+2077.94+875.35+630.95+4495</f>
        <v>27305.809999999998</v>
      </c>
      <c r="N100" s="273">
        <f>10862.96+2375.03+5632.11+356.47+2077.94+875.35+630.95+4495</f>
        <v>27305.809999999998</v>
      </c>
      <c r="O100" s="292">
        <f t="shared" si="4"/>
        <v>0</v>
      </c>
      <c r="P100" s="213">
        <v>11</v>
      </c>
      <c r="Q100" s="214">
        <v>11</v>
      </c>
      <c r="R100" s="215">
        <v>11</v>
      </c>
      <c r="S100" s="273">
        <f>4780.1+2135.9+620.1+1812.5</f>
        <v>9348.6</v>
      </c>
      <c r="T100" s="273">
        <f>4780.1+2135.9+620.1+1812.5</f>
        <v>9348.6</v>
      </c>
      <c r="U100" s="273">
        <f t="shared" si="5"/>
        <v>0</v>
      </c>
      <c r="V100" s="161"/>
      <c r="AF100" s="145"/>
      <c r="AJ100" s="243"/>
      <c r="AK100" s="243"/>
      <c r="AL100" s="243"/>
      <c r="AM100" s="243"/>
      <c r="AN100" s="243"/>
      <c r="AO100" s="243"/>
      <c r="AP100" s="243"/>
    </row>
    <row r="101" spans="1:42" x14ac:dyDescent="0.25">
      <c r="A101" s="367">
        <v>84</v>
      </c>
      <c r="B101" s="394">
        <f t="shared" si="6"/>
        <v>92</v>
      </c>
      <c r="C101" s="250" t="s">
        <v>103</v>
      </c>
      <c r="D101" s="251" t="s">
        <v>124</v>
      </c>
      <c r="E101" s="252"/>
      <c r="F101" s="400" t="s">
        <v>112</v>
      </c>
      <c r="G101" s="254" t="s">
        <v>208</v>
      </c>
      <c r="H101" s="255">
        <v>118</v>
      </c>
      <c r="I101" s="210">
        <v>86</v>
      </c>
      <c r="J101" s="210">
        <v>98</v>
      </c>
      <c r="K101" s="209">
        <v>98</v>
      </c>
      <c r="L101" s="210">
        <v>98</v>
      </c>
      <c r="M101" s="273">
        <f>16276.16+4466.66+1078.5+4011.53+435+1493.5+2243.15+1864.7+4804.86+840+5133.33+10737-380.89+4398.6+7811.98+1459.39+2529.16+5018.8</f>
        <v>74221.430000000008</v>
      </c>
      <c r="N101" s="273">
        <f>16276.16+4466.66+1078.5+4011.53+435+1493.5+2243.15+1864.7+4804.86+840+5133.33+10737-380.89+4398.6+7811.98+1459.39+2529.16+5018.8</f>
        <v>74221.430000000008</v>
      </c>
      <c r="O101" s="292">
        <f t="shared" si="4"/>
        <v>0</v>
      </c>
      <c r="P101" s="213">
        <v>38</v>
      </c>
      <c r="Q101" s="214">
        <v>38</v>
      </c>
      <c r="R101" s="215">
        <v>38</v>
      </c>
      <c r="S101" s="273">
        <f>21329.45-2252.12+532.3+345.99+26455.28+1.67+3039.85-3960.98+551.2+1658+1218+2016.16</f>
        <v>50934.799999999996</v>
      </c>
      <c r="T101" s="273">
        <f>21329.45-2252.12+532.3+345.99+26455.28+1.67+3039.85-3960.98+551.2+1658+1218+2016.16</f>
        <v>50934.799999999996</v>
      </c>
      <c r="U101" s="273">
        <f t="shared" si="5"/>
        <v>0</v>
      </c>
      <c r="V101" s="161"/>
      <c r="AH101" s="145"/>
      <c r="AJ101" s="243"/>
      <c r="AK101" s="243"/>
      <c r="AL101" s="243"/>
      <c r="AM101" s="243"/>
      <c r="AN101" s="243"/>
      <c r="AO101" s="243"/>
      <c r="AP101" s="243"/>
    </row>
    <row r="102" spans="1:42" x14ac:dyDescent="0.25">
      <c r="A102" s="367">
        <v>85</v>
      </c>
      <c r="B102" s="405">
        <f>B101+1</f>
        <v>93</v>
      </c>
      <c r="C102" s="406" t="s">
        <v>104</v>
      </c>
      <c r="D102" s="407" t="s">
        <v>124</v>
      </c>
      <c r="E102" s="408"/>
      <c r="F102" s="409" t="s">
        <v>106</v>
      </c>
      <c r="G102" s="410" t="s">
        <v>207</v>
      </c>
      <c r="H102" s="411">
        <v>17</v>
      </c>
      <c r="I102" s="217">
        <v>11</v>
      </c>
      <c r="J102" s="217">
        <v>15</v>
      </c>
      <c r="K102" s="216">
        <v>14</v>
      </c>
      <c r="L102" s="217">
        <v>14</v>
      </c>
      <c r="M102" s="293">
        <f>3259.83+1328.19+2964.21+8477.2+2525.13+577.1+702.39</f>
        <v>19834.05</v>
      </c>
      <c r="N102" s="293">
        <f>3259.83+1328.19+2964.21+8477.2+2525.13+577.1+702.39</f>
        <v>19834.05</v>
      </c>
      <c r="O102" s="292">
        <f t="shared" si="4"/>
        <v>0</v>
      </c>
      <c r="P102" s="219">
        <v>5</v>
      </c>
      <c r="Q102" s="220">
        <v>5</v>
      </c>
      <c r="R102" s="221">
        <v>5</v>
      </c>
      <c r="S102" s="293">
        <f>1193.3+5843.89</f>
        <v>7037.1900000000005</v>
      </c>
      <c r="T102" s="293">
        <f>1193.3+5843.89</f>
        <v>7037.1900000000005</v>
      </c>
      <c r="U102" s="293">
        <f t="shared" si="5"/>
        <v>0</v>
      </c>
      <c r="V102" s="161"/>
      <c r="AJ102" s="243"/>
      <c r="AK102" s="243"/>
      <c r="AL102" s="243"/>
      <c r="AM102" s="243"/>
      <c r="AN102" s="243"/>
      <c r="AO102" s="243"/>
      <c r="AP102" s="243"/>
    </row>
    <row r="103" spans="1:42" x14ac:dyDescent="0.25">
      <c r="A103" s="367">
        <v>88</v>
      </c>
      <c r="B103" s="402">
        <v>94</v>
      </c>
      <c r="C103" s="395" t="s">
        <v>258</v>
      </c>
      <c r="D103" s="407" t="s">
        <v>124</v>
      </c>
      <c r="E103" s="252"/>
      <c r="F103" s="398" t="s">
        <v>106</v>
      </c>
      <c r="G103" s="410" t="s">
        <v>261</v>
      </c>
      <c r="H103" s="210">
        <v>31</v>
      </c>
      <c r="I103" s="210">
        <v>8</v>
      </c>
      <c r="J103" s="210">
        <v>10</v>
      </c>
      <c r="K103" s="209">
        <v>10</v>
      </c>
      <c r="L103" s="210">
        <v>10</v>
      </c>
      <c r="M103" s="273">
        <f>699.33+580+1941.55+1384.15</f>
        <v>4605.0300000000007</v>
      </c>
      <c r="N103" s="273">
        <f>699.33+580+1941.55+1384.15</f>
        <v>4605.0300000000007</v>
      </c>
      <c r="O103" s="292">
        <f t="shared" si="4"/>
        <v>0</v>
      </c>
      <c r="P103" s="215"/>
      <c r="Q103" s="214"/>
      <c r="R103" s="215"/>
      <c r="S103" s="273"/>
      <c r="T103" s="273"/>
      <c r="U103" s="293">
        <f t="shared" si="5"/>
        <v>0</v>
      </c>
      <c r="V103" s="161"/>
      <c r="AJ103" s="243"/>
      <c r="AK103" s="243"/>
      <c r="AL103" s="243"/>
      <c r="AM103" s="243"/>
      <c r="AN103" s="243"/>
      <c r="AO103" s="243"/>
      <c r="AP103" s="243"/>
    </row>
    <row r="104" spans="1:42" x14ac:dyDescent="0.25">
      <c r="B104" s="402">
        <v>95</v>
      </c>
      <c r="C104" s="395" t="s">
        <v>242</v>
      </c>
      <c r="D104" s="407" t="s">
        <v>124</v>
      </c>
      <c r="E104" s="252"/>
      <c r="F104" s="398" t="s">
        <v>117</v>
      </c>
      <c r="G104" s="410" t="s">
        <v>274</v>
      </c>
      <c r="H104" s="412">
        <v>3</v>
      </c>
      <c r="I104" s="210">
        <v>2</v>
      </c>
      <c r="J104" s="210">
        <v>2</v>
      </c>
      <c r="K104" s="209">
        <v>2</v>
      </c>
      <c r="L104" s="210">
        <v>2</v>
      </c>
      <c r="M104" s="273">
        <v>2252.12</v>
      </c>
      <c r="N104" s="273">
        <v>2252.12</v>
      </c>
      <c r="O104" s="292">
        <f t="shared" si="4"/>
        <v>0</v>
      </c>
      <c r="P104" s="215"/>
      <c r="Q104" s="214"/>
      <c r="R104" s="215"/>
      <c r="S104" s="273"/>
      <c r="T104" s="273"/>
      <c r="U104" s="273">
        <f t="shared" si="5"/>
        <v>0</v>
      </c>
      <c r="V104" s="161"/>
      <c r="W104" s="145"/>
      <c r="AF104" s="145"/>
      <c r="AH104" s="145"/>
      <c r="AJ104" s="243"/>
      <c r="AK104" s="243"/>
      <c r="AL104" s="243"/>
      <c r="AM104" s="243"/>
      <c r="AN104" s="243"/>
      <c r="AO104" s="243"/>
      <c r="AP104" s="243"/>
    </row>
    <row r="105" spans="1:42" x14ac:dyDescent="0.25">
      <c r="B105" s="413"/>
      <c r="C105" s="413"/>
      <c r="D105" s="413"/>
      <c r="E105" s="413"/>
      <c r="F105" s="413"/>
      <c r="G105" s="413"/>
      <c r="H105" s="223">
        <f t="shared" ref="H105:O105" si="7">SUM(H10:H104)</f>
        <v>3499</v>
      </c>
      <c r="I105" s="223">
        <f t="shared" si="7"/>
        <v>2222</v>
      </c>
      <c r="J105" s="223">
        <f t="shared" si="7"/>
        <v>3027</v>
      </c>
      <c r="K105" s="222">
        <f t="shared" si="7"/>
        <v>2950</v>
      </c>
      <c r="L105" s="223">
        <f t="shared" si="7"/>
        <v>2950</v>
      </c>
      <c r="M105" s="224">
        <f t="shared" si="7"/>
        <v>2520469.29</v>
      </c>
      <c r="N105" s="224">
        <f t="shared" si="7"/>
        <v>2520469.29</v>
      </c>
      <c r="O105" s="224">
        <f t="shared" si="7"/>
        <v>0</v>
      </c>
      <c r="P105" s="225">
        <f t="shared" ref="P105:U105" si="8">SUM(P10:P104)</f>
        <v>796</v>
      </c>
      <c r="Q105" s="226">
        <f t="shared" si="8"/>
        <v>791</v>
      </c>
      <c r="R105" s="226">
        <f t="shared" si="8"/>
        <v>791</v>
      </c>
      <c r="S105" s="224">
        <f t="shared" si="8"/>
        <v>1107438.2500000002</v>
      </c>
      <c r="T105" s="224">
        <f t="shared" si="8"/>
        <v>1107438.2500000002</v>
      </c>
      <c r="U105" s="224">
        <f t="shared" si="8"/>
        <v>0</v>
      </c>
      <c r="V105" s="414">
        <f>M105+S105</f>
        <v>3627907.54</v>
      </c>
      <c r="W105" s="415"/>
      <c r="X105" s="416"/>
      <c r="Y105" s="415"/>
      <c r="Z105" s="416"/>
      <c r="AA105" s="415"/>
      <c r="AB105" s="416"/>
      <c r="AC105" s="416"/>
      <c r="AD105" s="416"/>
      <c r="AE105" s="416"/>
      <c r="AF105" s="415"/>
      <c r="AG105" s="415"/>
      <c r="AH105" s="236"/>
      <c r="AJ105" s="243"/>
      <c r="AK105" s="243"/>
      <c r="AL105" s="243"/>
      <c r="AM105" s="243"/>
      <c r="AN105" s="243"/>
      <c r="AO105" s="243"/>
      <c r="AP105" s="243"/>
    </row>
    <row r="106" spans="1:42" x14ac:dyDescent="0.25">
      <c r="V106" s="415"/>
      <c r="W106" s="415"/>
      <c r="X106" s="416"/>
      <c r="Y106" s="415"/>
      <c r="Z106" s="416"/>
      <c r="AA106" s="416"/>
      <c r="AB106" s="416"/>
      <c r="AC106" s="416"/>
      <c r="AD106" s="416"/>
      <c r="AE106" s="416"/>
      <c r="AF106" s="415"/>
      <c r="AG106" s="416"/>
      <c r="AH106" s="235"/>
      <c r="AJ106" s="243"/>
      <c r="AK106" s="243"/>
      <c r="AL106" s="243"/>
      <c r="AM106" s="243"/>
      <c r="AN106" s="243"/>
      <c r="AO106" s="243"/>
      <c r="AP106" s="243"/>
    </row>
    <row r="107" spans="1:42" x14ac:dyDescent="0.25">
      <c r="V107" s="415"/>
      <c r="W107" s="415"/>
      <c r="X107" s="416"/>
      <c r="Y107" s="416"/>
      <c r="Z107" s="416"/>
      <c r="AA107" s="416"/>
      <c r="AB107" s="416"/>
      <c r="AC107" s="416"/>
      <c r="AD107" s="416"/>
      <c r="AE107" s="416"/>
      <c r="AF107" s="415"/>
      <c r="AG107" s="415"/>
      <c r="AH107" s="234"/>
      <c r="AI107" s="145"/>
      <c r="AJ107" s="256"/>
      <c r="AK107" s="243"/>
      <c r="AL107" s="243"/>
      <c r="AM107" s="243"/>
      <c r="AN107" s="243"/>
      <c r="AO107" s="243"/>
      <c r="AP107" s="243"/>
    </row>
    <row r="108" spans="1:42" x14ac:dyDescent="0.25">
      <c r="V108" s="145"/>
      <c r="W108" s="145"/>
      <c r="AF108" s="234"/>
      <c r="AG108" s="234"/>
      <c r="AH108" s="235"/>
      <c r="AJ108" s="243"/>
      <c r="AK108" s="243"/>
      <c r="AL108" s="243"/>
      <c r="AM108" s="243"/>
      <c r="AN108" s="243"/>
      <c r="AO108" s="243"/>
      <c r="AP108" s="243"/>
    </row>
    <row r="109" spans="1:42" x14ac:dyDescent="0.25">
      <c r="V109" s="145"/>
      <c r="AF109" s="235"/>
      <c r="AG109" s="235"/>
      <c r="AH109" s="234"/>
      <c r="AJ109" s="243"/>
      <c r="AK109" s="243"/>
      <c r="AL109" s="243"/>
      <c r="AM109" s="243"/>
      <c r="AN109" s="243"/>
      <c r="AO109" s="243"/>
      <c r="AP109" s="243"/>
    </row>
    <row r="110" spans="1:42" x14ac:dyDescent="0.25">
      <c r="V110" s="145"/>
      <c r="AF110" s="235"/>
      <c r="AG110" s="235"/>
      <c r="AH110" s="234"/>
      <c r="AJ110" s="243"/>
      <c r="AK110" s="243"/>
      <c r="AL110" s="243"/>
      <c r="AM110" s="243"/>
      <c r="AN110" s="243"/>
      <c r="AO110" s="243"/>
      <c r="AP110" s="243"/>
    </row>
    <row r="111" spans="1:42" x14ac:dyDescent="0.25">
      <c r="AF111" s="235"/>
      <c r="AG111" s="235"/>
      <c r="AH111" s="235"/>
      <c r="AJ111" s="243"/>
      <c r="AK111" s="243"/>
      <c r="AL111" s="243"/>
      <c r="AM111" s="243"/>
      <c r="AN111" s="243"/>
      <c r="AO111" s="243"/>
      <c r="AP111" s="243"/>
    </row>
    <row r="112" spans="1:42" x14ac:dyDescent="0.25">
      <c r="AF112" s="235"/>
      <c r="AG112" s="235"/>
      <c r="AH112" s="235"/>
      <c r="AJ112" s="243"/>
      <c r="AK112" s="243"/>
      <c r="AL112" s="243"/>
      <c r="AM112" s="243"/>
      <c r="AN112" s="243"/>
      <c r="AO112" s="243"/>
      <c r="AP112" s="243"/>
    </row>
    <row r="113" spans="1:42" ht="15" x14ac:dyDescent="0.25">
      <c r="A113" s="24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243"/>
      <c r="T113" s="243"/>
      <c r="U113" s="256"/>
      <c r="V113" s="256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35"/>
      <c r="AG113" s="235"/>
      <c r="AH113" s="235"/>
      <c r="AI113" s="243"/>
      <c r="AJ113" s="243"/>
      <c r="AK113" s="243"/>
      <c r="AL113" s="243"/>
      <c r="AM113" s="243"/>
      <c r="AN113" s="243"/>
      <c r="AO113" s="243"/>
      <c r="AP113" s="243"/>
    </row>
    <row r="114" spans="1:42" ht="15" x14ac:dyDescent="0.25">
      <c r="A114" s="243"/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35"/>
      <c r="AG114" s="235"/>
      <c r="AH114" s="235"/>
      <c r="AI114" s="243"/>
      <c r="AJ114" s="243"/>
      <c r="AK114" s="243"/>
      <c r="AL114" s="243"/>
      <c r="AM114" s="243"/>
      <c r="AN114" s="243"/>
      <c r="AO114" s="243"/>
      <c r="AP114" s="243"/>
    </row>
  </sheetData>
  <mergeCells count="8">
    <mergeCell ref="B105:G105"/>
    <mergeCell ref="B1:R1"/>
    <mergeCell ref="S1:U1"/>
    <mergeCell ref="B2:U6"/>
    <mergeCell ref="B7:B8"/>
    <mergeCell ref="C7:G7"/>
    <mergeCell ref="H7:O7"/>
    <mergeCell ref="P7:U7"/>
  </mergeCells>
  <conditionalFormatting sqref="S45">
    <cfRule type="cellIs" dxfId="42" priority="43" stopIfTrue="1" operator="equal">
      <formula>0</formula>
    </cfRule>
  </conditionalFormatting>
  <conditionalFormatting sqref="AL45">
    <cfRule type="cellIs" dxfId="41" priority="42" stopIfTrue="1" operator="equal">
      <formula>0</formula>
    </cfRule>
  </conditionalFormatting>
  <conditionalFormatting sqref="T45">
    <cfRule type="cellIs" dxfId="40" priority="41" stopIfTrue="1" operator="equal">
      <formula>0</formula>
    </cfRule>
  </conditionalFormatting>
  <conditionalFormatting sqref="T45">
    <cfRule type="cellIs" dxfId="39" priority="40" stopIfTrue="1" operator="equal">
      <formula>0</formula>
    </cfRule>
  </conditionalFormatting>
  <conditionalFormatting sqref="T45">
    <cfRule type="cellIs" dxfId="38" priority="39" stopIfTrue="1" operator="equal">
      <formula>0</formula>
    </cfRule>
  </conditionalFormatting>
  <conditionalFormatting sqref="T45">
    <cfRule type="cellIs" dxfId="37" priority="38" stopIfTrue="1" operator="equal">
      <formula>0</formula>
    </cfRule>
  </conditionalFormatting>
  <conditionalFormatting sqref="T45">
    <cfRule type="cellIs" dxfId="36" priority="37" stopIfTrue="1" operator="equal">
      <formula>0</formula>
    </cfRule>
  </conditionalFormatting>
  <conditionalFormatting sqref="T45">
    <cfRule type="cellIs" dxfId="35" priority="36" stopIfTrue="1" operator="equal">
      <formula>0</formula>
    </cfRule>
  </conditionalFormatting>
  <conditionalFormatting sqref="T45">
    <cfRule type="cellIs" dxfId="34" priority="35" stopIfTrue="1" operator="equal">
      <formula>0</formula>
    </cfRule>
  </conditionalFormatting>
  <conditionalFormatting sqref="T45">
    <cfRule type="cellIs" dxfId="33" priority="34" stopIfTrue="1" operator="equal">
      <formula>0</formula>
    </cfRule>
  </conditionalFormatting>
  <conditionalFormatting sqref="T45">
    <cfRule type="cellIs" dxfId="32" priority="33" stopIfTrue="1" operator="equal">
      <formula>0</formula>
    </cfRule>
  </conditionalFormatting>
  <conditionalFormatting sqref="S45">
    <cfRule type="cellIs" dxfId="31" priority="32" stopIfTrue="1" operator="equal">
      <formula>0</formula>
    </cfRule>
  </conditionalFormatting>
  <conditionalFormatting sqref="T45">
    <cfRule type="cellIs" dxfId="30" priority="31" stopIfTrue="1" operator="equal">
      <formula>0</formula>
    </cfRule>
  </conditionalFormatting>
  <conditionalFormatting sqref="T45">
    <cfRule type="cellIs" dxfId="29" priority="30" stopIfTrue="1" operator="equal">
      <formula>0</formula>
    </cfRule>
  </conditionalFormatting>
  <conditionalFormatting sqref="T45">
    <cfRule type="cellIs" dxfId="28" priority="29" stopIfTrue="1" operator="equal">
      <formula>0</formula>
    </cfRule>
  </conditionalFormatting>
  <conditionalFormatting sqref="T45">
    <cfRule type="cellIs" dxfId="27" priority="28" stopIfTrue="1" operator="equal">
      <formula>0</formula>
    </cfRule>
  </conditionalFormatting>
  <conditionalFormatting sqref="T45">
    <cfRule type="cellIs" dxfId="26" priority="27" stopIfTrue="1" operator="equal">
      <formula>0</formula>
    </cfRule>
  </conditionalFormatting>
  <conditionalFormatting sqref="T45">
    <cfRule type="cellIs" dxfId="25" priority="26" stopIfTrue="1" operator="equal">
      <formula>0</formula>
    </cfRule>
  </conditionalFormatting>
  <conditionalFormatting sqref="T45">
    <cfRule type="cellIs" dxfId="24" priority="25" stopIfTrue="1" operator="equal">
      <formula>0</formula>
    </cfRule>
  </conditionalFormatting>
  <conditionalFormatting sqref="T45">
    <cfRule type="cellIs" dxfId="23" priority="24" stopIfTrue="1" operator="equal">
      <formula>0</formula>
    </cfRule>
  </conditionalFormatting>
  <conditionalFormatting sqref="T45">
    <cfRule type="cellIs" dxfId="22" priority="23" stopIfTrue="1" operator="equal">
      <formula>0</formula>
    </cfRule>
  </conditionalFormatting>
  <conditionalFormatting sqref="S45">
    <cfRule type="cellIs" dxfId="21" priority="22" stopIfTrue="1" operator="equal">
      <formula>0</formula>
    </cfRule>
  </conditionalFormatting>
  <conditionalFormatting sqref="T45">
    <cfRule type="cellIs" dxfId="20" priority="21" stopIfTrue="1" operator="equal">
      <formula>0</formula>
    </cfRule>
  </conditionalFormatting>
  <conditionalFormatting sqref="T45">
    <cfRule type="cellIs" dxfId="19" priority="20" stopIfTrue="1" operator="equal">
      <formula>0</formula>
    </cfRule>
  </conditionalFormatting>
  <conditionalFormatting sqref="T45">
    <cfRule type="cellIs" dxfId="18" priority="19" stopIfTrue="1" operator="equal">
      <formula>0</formula>
    </cfRule>
  </conditionalFormatting>
  <conditionalFormatting sqref="T45">
    <cfRule type="cellIs" dxfId="17" priority="18" stopIfTrue="1" operator="equal">
      <formula>0</formula>
    </cfRule>
  </conditionalFormatting>
  <conditionalFormatting sqref="T45">
    <cfRule type="cellIs" dxfId="16" priority="17" stopIfTrue="1" operator="equal">
      <formula>0</formula>
    </cfRule>
  </conditionalFormatting>
  <conditionalFormatting sqref="T45">
    <cfRule type="cellIs" dxfId="15" priority="16" stopIfTrue="1" operator="equal">
      <formula>0</formula>
    </cfRule>
  </conditionalFormatting>
  <conditionalFormatting sqref="T45">
    <cfRule type="cellIs" dxfId="14" priority="15" stopIfTrue="1" operator="equal">
      <formula>0</formula>
    </cfRule>
  </conditionalFormatting>
  <conditionalFormatting sqref="T45">
    <cfRule type="cellIs" dxfId="13" priority="14" stopIfTrue="1" operator="equal">
      <formula>0</formula>
    </cfRule>
  </conditionalFormatting>
  <conditionalFormatting sqref="T45">
    <cfRule type="cellIs" dxfId="12" priority="13" stopIfTrue="1" operator="equal">
      <formula>0</formula>
    </cfRule>
  </conditionalFormatting>
  <conditionalFormatting sqref="T45">
    <cfRule type="cellIs" dxfId="11" priority="12" stopIfTrue="1" operator="equal">
      <formula>0</formula>
    </cfRule>
  </conditionalFormatting>
  <conditionalFormatting sqref="T45">
    <cfRule type="cellIs" dxfId="10" priority="11" stopIfTrue="1" operator="equal">
      <formula>0</formula>
    </cfRule>
  </conditionalFormatting>
  <conditionalFormatting sqref="T45">
    <cfRule type="cellIs" dxfId="9" priority="10" stopIfTrue="1" operator="equal">
      <formula>0</formula>
    </cfRule>
  </conditionalFormatting>
  <conditionalFormatting sqref="S45">
    <cfRule type="cellIs" dxfId="8" priority="9" stopIfTrue="1" operator="equal">
      <formula>0</formula>
    </cfRule>
  </conditionalFormatting>
  <conditionalFormatting sqref="S45">
    <cfRule type="cellIs" dxfId="7" priority="8" stopIfTrue="1" operator="equal">
      <formula>0</formula>
    </cfRule>
  </conditionalFormatting>
  <conditionalFormatting sqref="S45">
    <cfRule type="cellIs" dxfId="6" priority="7" stopIfTrue="1" operator="equal">
      <formula>0</formula>
    </cfRule>
  </conditionalFormatting>
  <conditionalFormatting sqref="T45">
    <cfRule type="cellIs" dxfId="5" priority="6" stopIfTrue="1" operator="equal">
      <formula>0</formula>
    </cfRule>
  </conditionalFormatting>
  <conditionalFormatting sqref="T45">
    <cfRule type="cellIs" dxfId="4" priority="5" stopIfTrue="1" operator="equal">
      <formula>0</formula>
    </cfRule>
  </conditionalFormatting>
  <conditionalFormatting sqref="T45">
    <cfRule type="cellIs" dxfId="3" priority="4" stopIfTrue="1" operator="equal">
      <formula>0</formula>
    </cfRule>
  </conditionalFormatting>
  <conditionalFormatting sqref="T45">
    <cfRule type="cellIs" dxfId="2" priority="3" stopIfTrue="1" operator="equal">
      <formula>0</formula>
    </cfRule>
  </conditionalFormatting>
  <conditionalFormatting sqref="T45">
    <cfRule type="cellIs" dxfId="1" priority="2" stopIfTrue="1" operator="equal">
      <formula>0</formula>
    </cfRule>
  </conditionalFormatting>
  <conditionalFormatting sqref="T45">
    <cfRule type="cellIs" dxfId="0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3"/>
  <sheetViews>
    <sheetView topLeftCell="C4" workbookViewId="0">
      <pane ySplit="6" topLeftCell="A73" activePane="bottomLeft" state="frozen"/>
      <selection activeCell="A4" sqref="A4"/>
      <selection pane="bottomLeft" activeCell="C74" sqref="A74:IV74"/>
    </sheetView>
  </sheetViews>
  <sheetFormatPr defaultRowHeight="15" x14ac:dyDescent="0.25"/>
  <cols>
    <col min="2" max="2" width="40.7109375" customWidth="1"/>
    <col min="3" max="3" width="10.140625" customWidth="1"/>
    <col min="4" max="4" width="12.28515625" customWidth="1"/>
    <col min="5" max="5" width="20.5703125" customWidth="1"/>
    <col min="6" max="6" width="21.140625" customWidth="1"/>
    <col min="7" max="7" width="12.140625" customWidth="1"/>
    <col min="8" max="8" width="12.85546875" customWidth="1"/>
    <col min="9" max="9" width="11" customWidth="1"/>
    <col min="10" max="10" width="12.140625" customWidth="1"/>
    <col min="11" max="11" width="14.85546875" customWidth="1"/>
    <col min="12" max="12" width="10.7109375" style="55" customWidth="1"/>
    <col min="13" max="13" width="11.42578125" customWidth="1"/>
    <col min="14" max="14" width="11.140625" customWidth="1"/>
    <col min="15" max="15" width="13.28515625" customWidth="1"/>
    <col min="16" max="16" width="13" customWidth="1"/>
    <col min="17" max="17" width="12.85546875" customWidth="1"/>
    <col min="18" max="18" width="12" style="55" customWidth="1"/>
    <col min="19" max="19" width="12.5703125" customWidth="1"/>
  </cols>
  <sheetData>
    <row r="1" spans="1:20" ht="15.75" thickBot="1" x14ac:dyDescent="0.3">
      <c r="A1" s="310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2"/>
      <c r="R1" s="313" t="s">
        <v>17</v>
      </c>
      <c r="S1" s="313"/>
      <c r="T1" s="313"/>
    </row>
    <row r="2" spans="1:20" x14ac:dyDescent="0.25">
      <c r="A2" s="295" t="s">
        <v>219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7"/>
    </row>
    <row r="3" spans="1:20" x14ac:dyDescent="0.25">
      <c r="A3" s="298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300"/>
    </row>
    <row r="4" spans="1:20" ht="34.5" customHeight="1" x14ac:dyDescent="0.25">
      <c r="A4" s="298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300"/>
    </row>
    <row r="5" spans="1:20" x14ac:dyDescent="0.25">
      <c r="A5" s="298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300"/>
    </row>
    <row r="6" spans="1:20" ht="15.75" thickBot="1" x14ac:dyDescent="0.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3"/>
    </row>
    <row r="7" spans="1:20" ht="58.5" customHeight="1" thickBot="1" x14ac:dyDescent="0.3">
      <c r="A7" s="305" t="s">
        <v>0</v>
      </c>
      <c r="B7" s="307" t="s">
        <v>1</v>
      </c>
      <c r="C7" s="308"/>
      <c r="D7" s="308"/>
      <c r="E7" s="308"/>
      <c r="F7" s="309"/>
      <c r="G7" s="307" t="s">
        <v>2</v>
      </c>
      <c r="H7" s="308"/>
      <c r="I7" s="308"/>
      <c r="J7" s="308"/>
      <c r="K7" s="308"/>
      <c r="L7" s="308"/>
      <c r="M7" s="308"/>
      <c r="N7" s="309"/>
      <c r="O7" s="314" t="s">
        <v>232</v>
      </c>
      <c r="P7" s="315"/>
      <c r="Q7" s="315"/>
      <c r="R7" s="315"/>
      <c r="S7" s="315"/>
      <c r="T7" s="316"/>
    </row>
    <row r="8" spans="1:20" ht="185.25" customHeight="1" x14ac:dyDescent="0.25">
      <c r="A8" s="306"/>
      <c r="B8" s="8" t="s">
        <v>4</v>
      </c>
      <c r="C8" s="8" t="s">
        <v>5</v>
      </c>
      <c r="D8" s="8" t="s">
        <v>6</v>
      </c>
      <c r="E8" s="8" t="s">
        <v>7</v>
      </c>
      <c r="F8" s="9" t="s">
        <v>8</v>
      </c>
      <c r="G8" s="7" t="s">
        <v>9</v>
      </c>
      <c r="H8" s="8" t="s">
        <v>10</v>
      </c>
      <c r="I8" s="8" t="s">
        <v>11</v>
      </c>
      <c r="J8" s="8" t="s">
        <v>12</v>
      </c>
      <c r="K8" s="8" t="s">
        <v>13</v>
      </c>
      <c r="L8" s="40" t="s">
        <v>14</v>
      </c>
      <c r="M8" s="40" t="s">
        <v>15</v>
      </c>
      <c r="N8" s="41" t="s">
        <v>16</v>
      </c>
      <c r="O8" s="42" t="s">
        <v>11</v>
      </c>
      <c r="P8" s="40" t="s">
        <v>12</v>
      </c>
      <c r="Q8" s="40" t="s">
        <v>13</v>
      </c>
      <c r="R8" s="40" t="s">
        <v>14</v>
      </c>
      <c r="S8" s="40" t="s">
        <v>15</v>
      </c>
      <c r="T8" s="41" t="s">
        <v>16</v>
      </c>
    </row>
    <row r="9" spans="1:20" x14ac:dyDescent="0.25">
      <c r="A9" s="4">
        <v>1</v>
      </c>
      <c r="B9" s="1">
        <v>2</v>
      </c>
      <c r="C9" s="1">
        <v>3</v>
      </c>
      <c r="D9" s="1">
        <v>4</v>
      </c>
      <c r="E9" s="1">
        <v>5</v>
      </c>
      <c r="F9" s="5">
        <v>6</v>
      </c>
      <c r="G9" s="4">
        <f>F9+1</f>
        <v>7</v>
      </c>
      <c r="H9" s="1">
        <f t="shared" ref="H9:T9" si="0">G9+1</f>
        <v>8</v>
      </c>
      <c r="I9" s="1">
        <f t="shared" si="0"/>
        <v>9</v>
      </c>
      <c r="J9" s="1">
        <f t="shared" si="0"/>
        <v>10</v>
      </c>
      <c r="K9" s="1">
        <f t="shared" si="0"/>
        <v>11</v>
      </c>
      <c r="L9" s="43">
        <f t="shared" si="0"/>
        <v>12</v>
      </c>
      <c r="M9" s="43">
        <f t="shared" si="0"/>
        <v>13</v>
      </c>
      <c r="N9" s="44">
        <f t="shared" si="0"/>
        <v>14</v>
      </c>
      <c r="O9" s="45">
        <f t="shared" si="0"/>
        <v>15</v>
      </c>
      <c r="P9" s="43">
        <f t="shared" si="0"/>
        <v>16</v>
      </c>
      <c r="Q9" s="43">
        <f t="shared" si="0"/>
        <v>17</v>
      </c>
      <c r="R9" s="43">
        <f t="shared" si="0"/>
        <v>18</v>
      </c>
      <c r="S9" s="43">
        <f t="shared" si="0"/>
        <v>19</v>
      </c>
      <c r="T9" s="44">
        <f t="shared" si="0"/>
        <v>20</v>
      </c>
    </row>
    <row r="10" spans="1:20" ht="15.75" x14ac:dyDescent="0.25">
      <c r="A10" s="3">
        <v>1</v>
      </c>
      <c r="B10" s="10" t="s">
        <v>18</v>
      </c>
      <c r="C10" s="15" t="s">
        <v>124</v>
      </c>
      <c r="D10" s="2"/>
      <c r="E10" s="16" t="s">
        <v>105</v>
      </c>
      <c r="F10" s="6" t="s">
        <v>138</v>
      </c>
      <c r="G10" s="26">
        <v>7</v>
      </c>
      <c r="H10" s="24">
        <v>3</v>
      </c>
      <c r="I10" s="24">
        <v>3</v>
      </c>
      <c r="J10" s="24">
        <v>3</v>
      </c>
      <c r="K10" s="24">
        <v>3</v>
      </c>
      <c r="L10" s="46">
        <v>1033.5</v>
      </c>
      <c r="M10" s="46"/>
      <c r="N10" s="47">
        <f xml:space="preserve"> (L10-M10)</f>
        <v>1033.5</v>
      </c>
      <c r="O10" s="48">
        <v>2</v>
      </c>
      <c r="P10" s="46">
        <v>2</v>
      </c>
      <c r="Q10" s="46">
        <v>2</v>
      </c>
      <c r="R10" s="46">
        <v>3352.81</v>
      </c>
      <c r="S10" s="46"/>
      <c r="T10" s="47">
        <f xml:space="preserve"> (R10-S10)</f>
        <v>3352.81</v>
      </c>
    </row>
    <row r="11" spans="1:20" ht="15.75" x14ac:dyDescent="0.25">
      <c r="A11" s="3">
        <f>A10+1</f>
        <v>2</v>
      </c>
      <c r="B11" s="10" t="s">
        <v>19</v>
      </c>
      <c r="C11" s="15" t="s">
        <v>124</v>
      </c>
      <c r="D11" s="2"/>
      <c r="E11" s="17" t="s">
        <v>106</v>
      </c>
      <c r="F11" s="6" t="s">
        <v>139</v>
      </c>
      <c r="G11" s="26"/>
      <c r="H11" s="24"/>
      <c r="I11" s="24"/>
      <c r="J11" s="24"/>
      <c r="K11" s="24"/>
      <c r="L11" s="46"/>
      <c r="M11" s="46"/>
      <c r="N11" s="47">
        <f t="shared" ref="N11:N79" si="1" xml:space="preserve"> (L11-M11)</f>
        <v>0</v>
      </c>
      <c r="O11" s="48">
        <v>1</v>
      </c>
      <c r="P11" s="46">
        <v>1</v>
      </c>
      <c r="Q11" s="46">
        <v>1</v>
      </c>
      <c r="R11" s="46">
        <v>234.23</v>
      </c>
      <c r="S11" s="46"/>
      <c r="T11" s="47">
        <f t="shared" ref="T11:T79" si="2" xml:space="preserve"> (R11-S11)</f>
        <v>234.23</v>
      </c>
    </row>
    <row r="12" spans="1:20" ht="15.75" x14ac:dyDescent="0.25">
      <c r="A12" s="3">
        <f t="shared" ref="A12:A75" si="3">A11+1</f>
        <v>3</v>
      </c>
      <c r="B12" s="11" t="s">
        <v>20</v>
      </c>
      <c r="C12" s="15" t="s">
        <v>124</v>
      </c>
      <c r="D12" s="2"/>
      <c r="E12" s="17" t="s">
        <v>107</v>
      </c>
      <c r="F12" s="6" t="s">
        <v>223</v>
      </c>
      <c r="G12" s="26"/>
      <c r="H12" s="24"/>
      <c r="I12" s="24"/>
      <c r="J12" s="24"/>
      <c r="K12" s="24"/>
      <c r="L12" s="46"/>
      <c r="M12" s="46"/>
      <c r="N12" s="47">
        <f t="shared" si="1"/>
        <v>0</v>
      </c>
      <c r="O12" s="48">
        <v>2</v>
      </c>
      <c r="P12" s="46"/>
      <c r="Q12" s="46"/>
      <c r="R12" s="46"/>
      <c r="S12" s="46"/>
      <c r="T12" s="47">
        <f t="shared" si="2"/>
        <v>0</v>
      </c>
    </row>
    <row r="13" spans="1:20" ht="15.75" x14ac:dyDescent="0.25">
      <c r="A13" s="3">
        <f t="shared" si="3"/>
        <v>4</v>
      </c>
      <c r="B13" s="11" t="s">
        <v>21</v>
      </c>
      <c r="C13" s="15" t="s">
        <v>124</v>
      </c>
      <c r="D13" s="2"/>
      <c r="E13" s="17" t="s">
        <v>108</v>
      </c>
      <c r="F13" s="6" t="s">
        <v>140</v>
      </c>
      <c r="G13" s="26">
        <v>2</v>
      </c>
      <c r="H13" s="24">
        <v>1</v>
      </c>
      <c r="I13" s="24">
        <v>1</v>
      </c>
      <c r="J13" s="24"/>
      <c r="K13" s="24"/>
      <c r="L13" s="46"/>
      <c r="M13" s="46"/>
      <c r="N13" s="47">
        <f t="shared" si="1"/>
        <v>0</v>
      </c>
      <c r="O13" s="48">
        <v>3</v>
      </c>
      <c r="P13" s="46"/>
      <c r="Q13" s="46"/>
      <c r="R13" s="46"/>
      <c r="S13" s="46"/>
      <c r="T13" s="47">
        <f t="shared" si="2"/>
        <v>0</v>
      </c>
    </row>
    <row r="14" spans="1:20" ht="15.75" x14ac:dyDescent="0.25">
      <c r="A14" s="3">
        <f t="shared" si="3"/>
        <v>5</v>
      </c>
      <c r="B14" s="10" t="s">
        <v>22</v>
      </c>
      <c r="C14" s="15" t="s">
        <v>124</v>
      </c>
      <c r="D14" s="2"/>
      <c r="E14" s="17" t="s">
        <v>106</v>
      </c>
      <c r="F14" s="6" t="s">
        <v>141</v>
      </c>
      <c r="G14" s="26">
        <v>3</v>
      </c>
      <c r="H14" s="24">
        <v>2</v>
      </c>
      <c r="I14" s="24">
        <v>2</v>
      </c>
      <c r="J14" s="24">
        <v>1</v>
      </c>
      <c r="K14" s="24"/>
      <c r="L14" s="46"/>
      <c r="M14" s="46"/>
      <c r="N14" s="47">
        <f t="shared" si="1"/>
        <v>0</v>
      </c>
      <c r="O14" s="48">
        <v>3</v>
      </c>
      <c r="P14" s="46">
        <v>3</v>
      </c>
      <c r="Q14" s="46"/>
      <c r="R14" s="46">
        <v>4569.41</v>
      </c>
      <c r="S14" s="46"/>
      <c r="T14" s="47">
        <f t="shared" si="2"/>
        <v>4569.41</v>
      </c>
    </row>
    <row r="15" spans="1:20" ht="15.75" x14ac:dyDescent="0.25">
      <c r="A15" s="3">
        <f t="shared" si="3"/>
        <v>6</v>
      </c>
      <c r="B15" s="10" t="s">
        <v>23</v>
      </c>
      <c r="C15" s="15" t="s">
        <v>124</v>
      </c>
      <c r="D15" s="2"/>
      <c r="E15" s="17" t="s">
        <v>106</v>
      </c>
      <c r="F15" s="6" t="s">
        <v>142</v>
      </c>
      <c r="G15" s="26">
        <v>5</v>
      </c>
      <c r="H15" s="24">
        <v>2</v>
      </c>
      <c r="I15" s="24">
        <v>2</v>
      </c>
      <c r="J15" s="24">
        <v>2</v>
      </c>
      <c r="K15" s="24"/>
      <c r="L15" s="46"/>
      <c r="M15" s="46"/>
      <c r="N15" s="47">
        <f t="shared" si="1"/>
        <v>0</v>
      </c>
      <c r="O15" s="48">
        <v>6</v>
      </c>
      <c r="P15" s="46">
        <v>5</v>
      </c>
      <c r="Q15" s="46">
        <v>5</v>
      </c>
      <c r="R15" s="46"/>
      <c r="S15" s="46"/>
      <c r="T15" s="47">
        <f t="shared" si="2"/>
        <v>0</v>
      </c>
    </row>
    <row r="16" spans="1:20" ht="15.75" x14ac:dyDescent="0.25">
      <c r="A16" s="3">
        <f t="shared" si="3"/>
        <v>7</v>
      </c>
      <c r="B16" s="10" t="s">
        <v>133</v>
      </c>
      <c r="C16" s="15" t="s">
        <v>124</v>
      </c>
      <c r="D16" s="2"/>
      <c r="E16" s="17" t="s">
        <v>106</v>
      </c>
      <c r="F16" s="6" t="s">
        <v>143</v>
      </c>
      <c r="G16" s="26"/>
      <c r="H16" s="24"/>
      <c r="I16" s="24"/>
      <c r="J16" s="24"/>
      <c r="K16" s="24"/>
      <c r="L16" s="46"/>
      <c r="M16" s="46"/>
      <c r="N16" s="47">
        <f t="shared" si="1"/>
        <v>0</v>
      </c>
      <c r="O16" s="48"/>
      <c r="P16" s="46"/>
      <c r="Q16" s="46"/>
      <c r="R16" s="46"/>
      <c r="S16" s="46"/>
      <c r="T16" s="47">
        <f t="shared" si="2"/>
        <v>0</v>
      </c>
    </row>
    <row r="17" spans="1:20" ht="15.75" x14ac:dyDescent="0.25">
      <c r="A17" s="3">
        <f t="shared" si="3"/>
        <v>8</v>
      </c>
      <c r="B17" s="10" t="s">
        <v>24</v>
      </c>
      <c r="C17" s="15" t="s">
        <v>124</v>
      </c>
      <c r="D17" s="2"/>
      <c r="E17" s="17" t="s">
        <v>109</v>
      </c>
      <c r="F17" s="6" t="s">
        <v>144</v>
      </c>
      <c r="G17" s="26">
        <v>2</v>
      </c>
      <c r="H17" s="24"/>
      <c r="I17" s="24"/>
      <c r="J17" s="24"/>
      <c r="K17" s="24"/>
      <c r="L17" s="46"/>
      <c r="M17" s="46"/>
      <c r="N17" s="47">
        <f t="shared" si="1"/>
        <v>0</v>
      </c>
      <c r="O17" s="48"/>
      <c r="P17" s="46"/>
      <c r="Q17" s="46"/>
      <c r="R17" s="46"/>
      <c r="S17" s="46"/>
      <c r="T17" s="47">
        <f t="shared" si="2"/>
        <v>0</v>
      </c>
    </row>
    <row r="18" spans="1:20" ht="15.75" x14ac:dyDescent="0.25">
      <c r="A18" s="3">
        <f t="shared" si="3"/>
        <v>9</v>
      </c>
      <c r="B18" s="10" t="s">
        <v>25</v>
      </c>
      <c r="C18" s="15" t="s">
        <v>124</v>
      </c>
      <c r="D18" s="2"/>
      <c r="E18" s="18" t="s">
        <v>110</v>
      </c>
      <c r="F18" s="6" t="s">
        <v>145</v>
      </c>
      <c r="G18" s="26"/>
      <c r="H18" s="24"/>
      <c r="I18" s="24"/>
      <c r="J18" s="24"/>
      <c r="K18" s="24"/>
      <c r="L18" s="46"/>
      <c r="M18" s="46"/>
      <c r="N18" s="47">
        <f t="shared" si="1"/>
        <v>0</v>
      </c>
      <c r="O18" s="48">
        <v>1</v>
      </c>
      <c r="P18" s="46">
        <v>1</v>
      </c>
      <c r="Q18" s="46"/>
      <c r="R18" s="46"/>
      <c r="S18" s="46"/>
      <c r="T18" s="47">
        <f t="shared" si="2"/>
        <v>0</v>
      </c>
    </row>
    <row r="19" spans="1:20" ht="15.75" x14ac:dyDescent="0.25">
      <c r="A19" s="3">
        <f t="shared" si="3"/>
        <v>10</v>
      </c>
      <c r="B19" s="12" t="s">
        <v>26</v>
      </c>
      <c r="C19" s="15" t="s">
        <v>124</v>
      </c>
      <c r="D19" s="2"/>
      <c r="E19" s="19" t="s">
        <v>107</v>
      </c>
      <c r="F19" s="6" t="s">
        <v>146</v>
      </c>
      <c r="G19" s="26">
        <v>8</v>
      </c>
      <c r="H19" s="24">
        <v>3</v>
      </c>
      <c r="I19" s="24">
        <v>4</v>
      </c>
      <c r="J19" s="24">
        <v>1</v>
      </c>
      <c r="K19" s="24">
        <v>1</v>
      </c>
      <c r="L19" s="46">
        <v>749.29</v>
      </c>
      <c r="M19" s="46"/>
      <c r="N19" s="47">
        <f t="shared" si="1"/>
        <v>749.29</v>
      </c>
      <c r="O19" s="48">
        <v>5</v>
      </c>
      <c r="P19" s="46">
        <v>5</v>
      </c>
      <c r="Q19" s="46">
        <v>4</v>
      </c>
      <c r="R19" s="46">
        <v>9246.57</v>
      </c>
      <c r="S19" s="46"/>
      <c r="T19" s="47">
        <f t="shared" si="2"/>
        <v>9246.57</v>
      </c>
    </row>
    <row r="20" spans="1:20" ht="15.75" x14ac:dyDescent="0.25">
      <c r="A20" s="3">
        <f t="shared" si="3"/>
        <v>11</v>
      </c>
      <c r="B20" s="11" t="s">
        <v>27</v>
      </c>
      <c r="C20" s="15" t="s">
        <v>124</v>
      </c>
      <c r="D20" s="2"/>
      <c r="E20" s="17" t="s">
        <v>111</v>
      </c>
      <c r="F20" s="6" t="s">
        <v>147</v>
      </c>
      <c r="G20" s="26">
        <v>5</v>
      </c>
      <c r="H20" s="24"/>
      <c r="I20" s="24"/>
      <c r="J20" s="24"/>
      <c r="K20" s="24"/>
      <c r="L20" s="46"/>
      <c r="M20" s="46"/>
      <c r="N20" s="47">
        <f t="shared" si="1"/>
        <v>0</v>
      </c>
      <c r="O20" s="48">
        <v>11</v>
      </c>
      <c r="P20" s="46">
        <v>10</v>
      </c>
      <c r="Q20" s="46">
        <v>8</v>
      </c>
      <c r="R20" s="46">
        <v>7325.68</v>
      </c>
      <c r="S20" s="46"/>
      <c r="T20" s="47">
        <f t="shared" si="2"/>
        <v>7325.68</v>
      </c>
    </row>
    <row r="21" spans="1:20" ht="15.75" x14ac:dyDescent="0.25">
      <c r="A21" s="3">
        <f t="shared" si="3"/>
        <v>12</v>
      </c>
      <c r="B21" s="10" t="s">
        <v>28</v>
      </c>
      <c r="C21" s="15" t="s">
        <v>124</v>
      </c>
      <c r="D21" s="2"/>
      <c r="E21" s="17" t="s">
        <v>106</v>
      </c>
      <c r="F21" s="6" t="s">
        <v>148</v>
      </c>
      <c r="G21" s="26">
        <v>2</v>
      </c>
      <c r="H21" s="24"/>
      <c r="I21" s="24"/>
      <c r="J21" s="24"/>
      <c r="K21" s="24"/>
      <c r="L21" s="46"/>
      <c r="M21" s="46"/>
      <c r="N21" s="47">
        <f t="shared" si="1"/>
        <v>0</v>
      </c>
      <c r="O21" s="48">
        <v>2</v>
      </c>
      <c r="P21" s="46">
        <v>2</v>
      </c>
      <c r="Q21" s="46"/>
      <c r="R21" s="46"/>
      <c r="S21" s="46"/>
      <c r="T21" s="47">
        <f t="shared" si="2"/>
        <v>0</v>
      </c>
    </row>
    <row r="22" spans="1:20" ht="15.75" x14ac:dyDescent="0.25">
      <c r="A22" s="3">
        <f t="shared" si="3"/>
        <v>13</v>
      </c>
      <c r="B22" s="10" t="s">
        <v>29</v>
      </c>
      <c r="C22" s="15" t="s">
        <v>124</v>
      </c>
      <c r="D22" s="2"/>
      <c r="E22" s="20" t="s">
        <v>112</v>
      </c>
      <c r="F22" s="6" t="s">
        <v>149</v>
      </c>
      <c r="G22" s="26">
        <v>11</v>
      </c>
      <c r="H22" s="24">
        <v>1</v>
      </c>
      <c r="I22" s="24">
        <v>1</v>
      </c>
      <c r="J22" s="24">
        <v>1</v>
      </c>
      <c r="K22" s="24">
        <v>1</v>
      </c>
      <c r="L22" s="46">
        <v>910.39</v>
      </c>
      <c r="M22" s="46"/>
      <c r="N22" s="47">
        <f t="shared" si="1"/>
        <v>910.39</v>
      </c>
      <c r="O22" s="48">
        <v>13</v>
      </c>
      <c r="P22" s="46">
        <v>13</v>
      </c>
      <c r="Q22" s="46">
        <v>12</v>
      </c>
      <c r="R22" s="46">
        <v>14006.59</v>
      </c>
      <c r="S22" s="46"/>
      <c r="T22" s="47">
        <f t="shared" si="2"/>
        <v>14006.59</v>
      </c>
    </row>
    <row r="23" spans="1:20" ht="15.75" x14ac:dyDescent="0.25">
      <c r="A23" s="3">
        <f t="shared" si="3"/>
        <v>14</v>
      </c>
      <c r="B23" s="12" t="s">
        <v>30</v>
      </c>
      <c r="C23" s="15" t="s">
        <v>124</v>
      </c>
      <c r="D23" s="2"/>
      <c r="E23" s="19" t="s">
        <v>111</v>
      </c>
      <c r="F23" s="6" t="s">
        <v>150</v>
      </c>
      <c r="G23" s="26">
        <v>4</v>
      </c>
      <c r="H23" s="24">
        <v>2</v>
      </c>
      <c r="I23" s="24">
        <v>2</v>
      </c>
      <c r="J23" s="24">
        <v>1</v>
      </c>
      <c r="K23" s="24">
        <v>1</v>
      </c>
      <c r="L23" s="46">
        <v>1852.03</v>
      </c>
      <c r="M23" s="46"/>
      <c r="N23" s="47">
        <f t="shared" si="1"/>
        <v>1852.03</v>
      </c>
      <c r="O23" s="48">
        <v>9</v>
      </c>
      <c r="P23" s="46">
        <v>5</v>
      </c>
      <c r="Q23" s="46">
        <v>5</v>
      </c>
      <c r="R23" s="46">
        <v>13330.21</v>
      </c>
      <c r="S23" s="46"/>
      <c r="T23" s="47">
        <f t="shared" si="2"/>
        <v>13330.21</v>
      </c>
    </row>
    <row r="24" spans="1:20" ht="15.75" x14ac:dyDescent="0.25">
      <c r="A24" s="3">
        <f t="shared" si="3"/>
        <v>15</v>
      </c>
      <c r="B24" s="10" t="s">
        <v>31</v>
      </c>
      <c r="C24" s="15" t="s">
        <v>124</v>
      </c>
      <c r="D24" s="2"/>
      <c r="E24" s="21" t="s">
        <v>107</v>
      </c>
      <c r="F24" s="6" t="s">
        <v>151</v>
      </c>
      <c r="G24" s="26">
        <v>6</v>
      </c>
      <c r="H24" s="24"/>
      <c r="I24" s="24"/>
      <c r="J24" s="24"/>
      <c r="K24" s="24"/>
      <c r="L24" s="46"/>
      <c r="M24" s="46"/>
      <c r="N24" s="47">
        <f t="shared" si="1"/>
        <v>0</v>
      </c>
      <c r="O24" s="48">
        <v>5</v>
      </c>
      <c r="P24" s="46">
        <v>5</v>
      </c>
      <c r="Q24" s="46"/>
      <c r="R24" s="46"/>
      <c r="S24" s="46"/>
      <c r="T24" s="47">
        <f t="shared" si="2"/>
        <v>0</v>
      </c>
    </row>
    <row r="25" spans="1:20" ht="15.75" x14ac:dyDescent="0.25">
      <c r="A25" s="3">
        <f t="shared" si="3"/>
        <v>16</v>
      </c>
      <c r="B25" s="13" t="s">
        <v>32</v>
      </c>
      <c r="C25" s="15" t="s">
        <v>124</v>
      </c>
      <c r="D25" s="2"/>
      <c r="E25" s="17" t="s">
        <v>106</v>
      </c>
      <c r="F25" s="6" t="s">
        <v>152</v>
      </c>
      <c r="G25" s="26">
        <v>5</v>
      </c>
      <c r="H25" s="24">
        <v>2</v>
      </c>
      <c r="I25" s="24">
        <v>2</v>
      </c>
      <c r="J25" s="24">
        <v>2</v>
      </c>
      <c r="K25" s="24">
        <v>2</v>
      </c>
      <c r="L25" s="46">
        <v>2255.39</v>
      </c>
      <c r="M25" s="46">
        <v>2255.39</v>
      </c>
      <c r="N25" s="47">
        <f t="shared" si="1"/>
        <v>0</v>
      </c>
      <c r="O25" s="48">
        <v>10</v>
      </c>
      <c r="P25" s="46">
        <v>10</v>
      </c>
      <c r="Q25" s="46">
        <v>8</v>
      </c>
      <c r="R25" s="46">
        <v>14484.31</v>
      </c>
      <c r="S25" s="46">
        <v>14484.31</v>
      </c>
      <c r="T25" s="47">
        <f t="shared" si="2"/>
        <v>0</v>
      </c>
    </row>
    <row r="26" spans="1:20" ht="15.75" x14ac:dyDescent="0.25">
      <c r="A26" s="3">
        <f t="shared" si="3"/>
        <v>17</v>
      </c>
      <c r="B26" s="10" t="s">
        <v>33</v>
      </c>
      <c r="C26" s="15" t="s">
        <v>124</v>
      </c>
      <c r="D26" s="2"/>
      <c r="E26" s="17" t="s">
        <v>106</v>
      </c>
      <c r="F26" s="6" t="s">
        <v>153</v>
      </c>
      <c r="G26" s="26">
        <v>3</v>
      </c>
      <c r="H26" s="24"/>
      <c r="I26" s="24"/>
      <c r="J26" s="24"/>
      <c r="K26" s="24"/>
      <c r="L26" s="46"/>
      <c r="M26" s="46"/>
      <c r="N26" s="47">
        <f t="shared" si="1"/>
        <v>0</v>
      </c>
      <c r="O26" s="48"/>
      <c r="P26" s="46"/>
      <c r="Q26" s="46"/>
      <c r="R26" s="46"/>
      <c r="S26" s="46"/>
      <c r="T26" s="47">
        <f t="shared" si="2"/>
        <v>0</v>
      </c>
    </row>
    <row r="27" spans="1:20" ht="15.75" x14ac:dyDescent="0.25">
      <c r="A27" s="3">
        <f t="shared" si="3"/>
        <v>18</v>
      </c>
      <c r="B27" s="10" t="s">
        <v>34</v>
      </c>
      <c r="C27" s="15" t="s">
        <v>124</v>
      </c>
      <c r="D27" s="2"/>
      <c r="E27" s="17" t="s">
        <v>113</v>
      </c>
      <c r="F27" s="6" t="s">
        <v>154</v>
      </c>
      <c r="G27" s="26">
        <v>4</v>
      </c>
      <c r="H27" s="24"/>
      <c r="I27" s="24"/>
      <c r="J27" s="24"/>
      <c r="K27" s="24"/>
      <c r="L27" s="46"/>
      <c r="M27" s="46"/>
      <c r="N27" s="47">
        <f t="shared" si="1"/>
        <v>0</v>
      </c>
      <c r="O27" s="48">
        <v>8</v>
      </c>
      <c r="P27" s="46">
        <v>8</v>
      </c>
      <c r="Q27" s="46"/>
      <c r="R27" s="46"/>
      <c r="S27" s="46"/>
      <c r="T27" s="47">
        <f t="shared" si="2"/>
        <v>0</v>
      </c>
    </row>
    <row r="28" spans="1:20" ht="15.75" x14ac:dyDescent="0.25">
      <c r="A28" s="3">
        <f t="shared" si="3"/>
        <v>19</v>
      </c>
      <c r="B28" s="10" t="s">
        <v>35</v>
      </c>
      <c r="C28" s="15" t="s">
        <v>124</v>
      </c>
      <c r="D28" s="2"/>
      <c r="E28" s="17" t="s">
        <v>105</v>
      </c>
      <c r="F28" s="6" t="s">
        <v>228</v>
      </c>
      <c r="G28" s="26"/>
      <c r="H28" s="24"/>
      <c r="I28" s="24"/>
      <c r="J28" s="24"/>
      <c r="K28" s="24"/>
      <c r="L28" s="46"/>
      <c r="M28" s="46"/>
      <c r="N28" s="47">
        <f t="shared" si="1"/>
        <v>0</v>
      </c>
      <c r="O28" s="48"/>
      <c r="P28" s="46"/>
      <c r="Q28" s="46"/>
      <c r="R28" s="46"/>
      <c r="S28" s="46"/>
      <c r="T28" s="47">
        <f t="shared" si="2"/>
        <v>0</v>
      </c>
    </row>
    <row r="29" spans="1:20" ht="15.75" x14ac:dyDescent="0.25">
      <c r="A29" s="3">
        <f t="shared" si="3"/>
        <v>20</v>
      </c>
      <c r="B29" s="12" t="s">
        <v>36</v>
      </c>
      <c r="C29" s="15" t="s">
        <v>124</v>
      </c>
      <c r="D29" s="2"/>
      <c r="E29" s="19" t="s">
        <v>114</v>
      </c>
      <c r="F29" s="6" t="s">
        <v>155</v>
      </c>
      <c r="G29" s="26">
        <v>4</v>
      </c>
      <c r="H29" s="24">
        <v>4</v>
      </c>
      <c r="I29" s="24">
        <v>4</v>
      </c>
      <c r="J29" s="24">
        <v>4</v>
      </c>
      <c r="K29" s="24"/>
      <c r="L29" s="46"/>
      <c r="M29" s="46"/>
      <c r="N29" s="47">
        <f t="shared" si="1"/>
        <v>0</v>
      </c>
      <c r="O29" s="48">
        <v>11</v>
      </c>
      <c r="P29" s="46">
        <v>9</v>
      </c>
      <c r="Q29" s="46"/>
      <c r="R29" s="46"/>
      <c r="S29" s="46"/>
      <c r="T29" s="47">
        <f t="shared" si="2"/>
        <v>0</v>
      </c>
    </row>
    <row r="30" spans="1:20" ht="15.75" x14ac:dyDescent="0.25">
      <c r="A30" s="3">
        <f t="shared" si="3"/>
        <v>21</v>
      </c>
      <c r="B30" s="11" t="s">
        <v>37</v>
      </c>
      <c r="C30" s="15" t="s">
        <v>124</v>
      </c>
      <c r="D30" s="2"/>
      <c r="E30" s="17" t="s">
        <v>108</v>
      </c>
      <c r="F30" s="6" t="s">
        <v>156</v>
      </c>
      <c r="G30" s="26">
        <v>5</v>
      </c>
      <c r="H30" s="24"/>
      <c r="I30" s="24"/>
      <c r="J30" s="24"/>
      <c r="K30" s="24"/>
      <c r="L30" s="46"/>
      <c r="M30" s="46"/>
      <c r="N30" s="47">
        <f t="shared" si="1"/>
        <v>0</v>
      </c>
      <c r="O30" s="48">
        <v>6</v>
      </c>
      <c r="P30" s="46">
        <v>6</v>
      </c>
      <c r="Q30" s="46"/>
      <c r="R30" s="46"/>
      <c r="S30" s="46"/>
      <c r="T30" s="47">
        <f t="shared" si="2"/>
        <v>0</v>
      </c>
    </row>
    <row r="31" spans="1:20" ht="15.75" x14ac:dyDescent="0.25">
      <c r="A31" s="3">
        <f t="shared" si="3"/>
        <v>22</v>
      </c>
      <c r="B31" s="11" t="s">
        <v>38</v>
      </c>
      <c r="C31" s="15" t="s">
        <v>124</v>
      </c>
      <c r="D31" s="2"/>
      <c r="E31" s="17" t="s">
        <v>106</v>
      </c>
      <c r="F31" s="6" t="s">
        <v>157</v>
      </c>
      <c r="G31" s="26">
        <v>4</v>
      </c>
      <c r="H31" s="24"/>
      <c r="I31" s="24"/>
      <c r="J31" s="24"/>
      <c r="K31" s="24"/>
      <c r="L31" s="46"/>
      <c r="M31" s="46"/>
      <c r="N31" s="47">
        <f t="shared" si="1"/>
        <v>0</v>
      </c>
      <c r="O31" s="48">
        <v>1</v>
      </c>
      <c r="P31" s="46">
        <v>1</v>
      </c>
      <c r="Q31" s="46"/>
      <c r="R31" s="46"/>
      <c r="S31" s="46"/>
      <c r="T31" s="47">
        <f t="shared" si="2"/>
        <v>0</v>
      </c>
    </row>
    <row r="32" spans="1:20" ht="15.75" x14ac:dyDescent="0.25">
      <c r="A32" s="3">
        <f t="shared" si="3"/>
        <v>23</v>
      </c>
      <c r="B32" s="10" t="s">
        <v>39</v>
      </c>
      <c r="C32" s="15" t="s">
        <v>124</v>
      </c>
      <c r="D32" s="2"/>
      <c r="E32" s="10" t="s">
        <v>105</v>
      </c>
      <c r="F32" s="6" t="s">
        <v>220</v>
      </c>
      <c r="G32" s="26"/>
      <c r="H32" s="24"/>
      <c r="I32" s="24"/>
      <c r="J32" s="24"/>
      <c r="K32" s="24"/>
      <c r="L32" s="46"/>
      <c r="M32" s="46"/>
      <c r="N32" s="47">
        <f t="shared" si="1"/>
        <v>0</v>
      </c>
      <c r="O32" s="48"/>
      <c r="P32" s="46"/>
      <c r="Q32" s="46"/>
      <c r="R32" s="46"/>
      <c r="S32" s="46"/>
      <c r="T32" s="47">
        <f t="shared" si="2"/>
        <v>0</v>
      </c>
    </row>
    <row r="33" spans="1:20" ht="15.75" x14ac:dyDescent="0.25">
      <c r="A33" s="3">
        <f t="shared" si="3"/>
        <v>24</v>
      </c>
      <c r="B33" s="10" t="s">
        <v>137</v>
      </c>
      <c r="C33" s="15" t="s">
        <v>124</v>
      </c>
      <c r="D33" s="2"/>
      <c r="E33" s="17" t="s">
        <v>106</v>
      </c>
      <c r="F33" s="6" t="s">
        <v>158</v>
      </c>
      <c r="G33" s="26">
        <v>1</v>
      </c>
      <c r="H33" s="24"/>
      <c r="I33" s="24"/>
      <c r="J33" s="24"/>
      <c r="K33" s="24"/>
      <c r="L33" s="46"/>
      <c r="M33" s="46"/>
      <c r="N33" s="47">
        <f t="shared" si="1"/>
        <v>0</v>
      </c>
      <c r="O33" s="48"/>
      <c r="P33" s="46"/>
      <c r="Q33" s="46"/>
      <c r="R33" s="46"/>
      <c r="S33" s="46"/>
      <c r="T33" s="47"/>
    </row>
    <row r="34" spans="1:20" ht="15.75" x14ac:dyDescent="0.25">
      <c r="A34" s="3">
        <f t="shared" si="3"/>
        <v>25</v>
      </c>
      <c r="B34" s="12" t="s">
        <v>40</v>
      </c>
      <c r="C34" s="15" t="s">
        <v>124</v>
      </c>
      <c r="D34" s="2"/>
      <c r="E34" s="19" t="s">
        <v>115</v>
      </c>
      <c r="F34" s="6" t="s">
        <v>159</v>
      </c>
      <c r="G34" s="26">
        <v>3</v>
      </c>
      <c r="H34" s="24">
        <v>2</v>
      </c>
      <c r="I34" s="24">
        <v>3</v>
      </c>
      <c r="J34" s="24">
        <v>3</v>
      </c>
      <c r="K34" s="24"/>
      <c r="L34" s="46"/>
      <c r="M34" s="46"/>
      <c r="N34" s="47">
        <f t="shared" si="1"/>
        <v>0</v>
      </c>
      <c r="O34" s="48">
        <v>2</v>
      </c>
      <c r="P34" s="46">
        <v>2</v>
      </c>
      <c r="Q34" s="46"/>
      <c r="R34" s="46">
        <v>1436.08</v>
      </c>
      <c r="S34" s="46"/>
      <c r="T34" s="47">
        <f t="shared" si="2"/>
        <v>1436.08</v>
      </c>
    </row>
    <row r="35" spans="1:20" ht="15.75" x14ac:dyDescent="0.25">
      <c r="A35" s="3">
        <f t="shared" si="3"/>
        <v>26</v>
      </c>
      <c r="B35" s="11" t="s">
        <v>41</v>
      </c>
      <c r="C35" s="15" t="s">
        <v>124</v>
      </c>
      <c r="D35" s="2"/>
      <c r="E35" s="17" t="s">
        <v>106</v>
      </c>
      <c r="F35" s="6" t="s">
        <v>160</v>
      </c>
      <c r="G35" s="26">
        <v>3</v>
      </c>
      <c r="H35" s="24">
        <v>1</v>
      </c>
      <c r="I35" s="24">
        <v>1</v>
      </c>
      <c r="J35" s="24">
        <v>1</v>
      </c>
      <c r="K35" s="24"/>
      <c r="L35" s="46"/>
      <c r="M35" s="46"/>
      <c r="N35" s="47">
        <f t="shared" si="1"/>
        <v>0</v>
      </c>
      <c r="O35" s="48">
        <v>4</v>
      </c>
      <c r="P35" s="46">
        <v>4</v>
      </c>
      <c r="Q35" s="46"/>
      <c r="R35" s="46"/>
      <c r="S35" s="46"/>
      <c r="T35" s="47">
        <f t="shared" si="2"/>
        <v>0</v>
      </c>
    </row>
    <row r="36" spans="1:20" ht="15.75" x14ac:dyDescent="0.25">
      <c r="A36" s="3">
        <f t="shared" si="3"/>
        <v>27</v>
      </c>
      <c r="B36" s="13" t="s">
        <v>42</v>
      </c>
      <c r="C36" s="15" t="s">
        <v>124</v>
      </c>
      <c r="D36" s="2"/>
      <c r="E36" s="17" t="s">
        <v>106</v>
      </c>
      <c r="F36" s="6" t="s">
        <v>221</v>
      </c>
      <c r="G36" s="26"/>
      <c r="H36" s="24"/>
      <c r="I36" s="24"/>
      <c r="J36" s="24"/>
      <c r="K36" s="24"/>
      <c r="L36" s="46"/>
      <c r="M36" s="46"/>
      <c r="N36" s="47">
        <f t="shared" si="1"/>
        <v>0</v>
      </c>
      <c r="O36" s="48">
        <v>3</v>
      </c>
      <c r="P36" s="46">
        <v>3</v>
      </c>
      <c r="Q36" s="46">
        <v>3</v>
      </c>
      <c r="R36" s="46"/>
      <c r="S36" s="46"/>
      <c r="T36" s="47">
        <f t="shared" si="2"/>
        <v>0</v>
      </c>
    </row>
    <row r="37" spans="1:20" ht="15.75" x14ac:dyDescent="0.25">
      <c r="A37" s="3">
        <f t="shared" si="3"/>
        <v>28</v>
      </c>
      <c r="B37" s="13" t="s">
        <v>43</v>
      </c>
      <c r="C37" s="15" t="s">
        <v>124</v>
      </c>
      <c r="D37" s="2"/>
      <c r="E37" s="17" t="s">
        <v>106</v>
      </c>
      <c r="F37" s="6" t="s">
        <v>161</v>
      </c>
      <c r="G37" s="26">
        <v>2</v>
      </c>
      <c r="H37" s="24"/>
      <c r="I37" s="24"/>
      <c r="J37" s="24"/>
      <c r="K37" s="24"/>
      <c r="L37" s="46"/>
      <c r="M37" s="46"/>
      <c r="N37" s="47">
        <f t="shared" si="1"/>
        <v>0</v>
      </c>
      <c r="O37" s="48">
        <v>1</v>
      </c>
      <c r="P37" s="46">
        <v>1</v>
      </c>
      <c r="Q37" s="46"/>
      <c r="R37" s="46"/>
      <c r="S37" s="46"/>
      <c r="T37" s="47">
        <f t="shared" si="2"/>
        <v>0</v>
      </c>
    </row>
    <row r="38" spans="1:20" ht="15.75" x14ac:dyDescent="0.25">
      <c r="A38" s="3">
        <f t="shared" si="3"/>
        <v>29</v>
      </c>
      <c r="B38" s="11" t="s">
        <v>44</v>
      </c>
      <c r="C38" s="15" t="s">
        <v>124</v>
      </c>
      <c r="D38" s="2"/>
      <c r="E38" s="17" t="s">
        <v>105</v>
      </c>
      <c r="F38" s="6" t="s">
        <v>162</v>
      </c>
      <c r="G38" s="26">
        <v>7</v>
      </c>
      <c r="H38" s="24"/>
      <c r="I38" s="24"/>
      <c r="J38" s="24"/>
      <c r="K38" s="24"/>
      <c r="L38" s="46"/>
      <c r="M38" s="46"/>
      <c r="N38" s="47">
        <f t="shared" si="1"/>
        <v>0</v>
      </c>
      <c r="O38" s="48">
        <v>11</v>
      </c>
      <c r="P38" s="46">
        <v>11</v>
      </c>
      <c r="Q38" s="46"/>
      <c r="R38" s="46"/>
      <c r="S38" s="46"/>
      <c r="T38" s="47">
        <f t="shared" si="2"/>
        <v>0</v>
      </c>
    </row>
    <row r="39" spans="1:20" ht="15.75" x14ac:dyDescent="0.25">
      <c r="A39" s="3">
        <f t="shared" si="3"/>
        <v>30</v>
      </c>
      <c r="B39" s="11" t="s">
        <v>45</v>
      </c>
      <c r="C39" s="15" t="s">
        <v>124</v>
      </c>
      <c r="D39" s="2"/>
      <c r="E39" s="17" t="s">
        <v>111</v>
      </c>
      <c r="F39" s="6" t="s">
        <v>163</v>
      </c>
      <c r="G39" s="26">
        <v>2</v>
      </c>
      <c r="H39" s="24"/>
      <c r="I39" s="24"/>
      <c r="J39" s="24"/>
      <c r="K39" s="24"/>
      <c r="L39" s="46"/>
      <c r="M39" s="46"/>
      <c r="N39" s="47">
        <f t="shared" si="1"/>
        <v>0</v>
      </c>
      <c r="O39" s="48"/>
      <c r="P39" s="46"/>
      <c r="Q39" s="46"/>
      <c r="R39" s="46"/>
      <c r="S39" s="46"/>
      <c r="T39" s="47">
        <f t="shared" si="2"/>
        <v>0</v>
      </c>
    </row>
    <row r="40" spans="1:20" ht="15.75" x14ac:dyDescent="0.25">
      <c r="A40" s="3">
        <f>A39+1</f>
        <v>31</v>
      </c>
      <c r="B40" s="10" t="s">
        <v>46</v>
      </c>
      <c r="C40" s="15" t="s">
        <v>124</v>
      </c>
      <c r="D40" s="2"/>
      <c r="E40" s="17" t="s">
        <v>106</v>
      </c>
      <c r="F40" s="6" t="s">
        <v>164</v>
      </c>
      <c r="G40" s="26">
        <v>2</v>
      </c>
      <c r="H40" s="24"/>
      <c r="I40" s="24"/>
      <c r="J40" s="24"/>
      <c r="K40" s="24"/>
      <c r="L40" s="46"/>
      <c r="M40" s="46"/>
      <c r="N40" s="47">
        <f t="shared" si="1"/>
        <v>0</v>
      </c>
      <c r="O40" s="48">
        <v>2</v>
      </c>
      <c r="P40" s="46">
        <v>2</v>
      </c>
      <c r="Q40" s="46"/>
      <c r="R40" s="46"/>
      <c r="S40" s="46"/>
      <c r="T40" s="47">
        <f t="shared" si="2"/>
        <v>0</v>
      </c>
    </row>
    <row r="41" spans="1:20" ht="15.75" x14ac:dyDescent="0.25">
      <c r="A41" s="3">
        <f t="shared" si="3"/>
        <v>32</v>
      </c>
      <c r="B41" s="10" t="s">
        <v>47</v>
      </c>
      <c r="C41" s="15" t="s">
        <v>124</v>
      </c>
      <c r="D41" s="2"/>
      <c r="E41" s="17" t="s">
        <v>116</v>
      </c>
      <c r="F41" s="6" t="s">
        <v>165</v>
      </c>
      <c r="G41" s="26">
        <v>3</v>
      </c>
      <c r="H41" s="24">
        <v>1</v>
      </c>
      <c r="I41" s="24">
        <v>1</v>
      </c>
      <c r="J41" s="24">
        <v>1</v>
      </c>
      <c r="K41" s="24"/>
      <c r="L41" s="46"/>
      <c r="M41" s="46"/>
      <c r="N41" s="47">
        <f t="shared" si="1"/>
        <v>0</v>
      </c>
      <c r="O41" s="48">
        <v>2</v>
      </c>
      <c r="P41" s="46">
        <v>2</v>
      </c>
      <c r="Q41" s="46"/>
      <c r="R41" s="46"/>
      <c r="S41" s="46"/>
      <c r="T41" s="47">
        <f t="shared" si="2"/>
        <v>0</v>
      </c>
    </row>
    <row r="42" spans="1:20" ht="15.75" customHeight="1" x14ac:dyDescent="0.25">
      <c r="A42" s="3">
        <f t="shared" si="3"/>
        <v>33</v>
      </c>
      <c r="B42" s="13" t="s">
        <v>48</v>
      </c>
      <c r="C42" s="15" t="s">
        <v>124</v>
      </c>
      <c r="D42" s="2"/>
      <c r="E42" s="17" t="s">
        <v>106</v>
      </c>
      <c r="F42" s="6" t="s">
        <v>166</v>
      </c>
      <c r="G42" s="26">
        <v>1</v>
      </c>
      <c r="H42" s="24"/>
      <c r="I42" s="24"/>
      <c r="J42" s="24"/>
      <c r="K42" s="24"/>
      <c r="L42" s="46"/>
      <c r="M42" s="46"/>
      <c r="N42" s="47">
        <f t="shared" si="1"/>
        <v>0</v>
      </c>
      <c r="O42" s="48">
        <v>2</v>
      </c>
      <c r="P42" s="46">
        <v>1</v>
      </c>
      <c r="Q42" s="46"/>
      <c r="R42" s="46"/>
      <c r="S42" s="46"/>
      <c r="T42" s="47">
        <f t="shared" si="2"/>
        <v>0</v>
      </c>
    </row>
    <row r="43" spans="1:20" ht="15.75" x14ac:dyDescent="0.25">
      <c r="A43" s="3">
        <f t="shared" si="3"/>
        <v>34</v>
      </c>
      <c r="B43" s="10" t="s">
        <v>49</v>
      </c>
      <c r="C43" s="15" t="s">
        <v>124</v>
      </c>
      <c r="D43" s="2"/>
      <c r="E43" s="17" t="s">
        <v>106</v>
      </c>
      <c r="F43" s="6" t="s">
        <v>167</v>
      </c>
      <c r="G43" s="26">
        <v>1</v>
      </c>
      <c r="H43" s="24"/>
      <c r="I43" s="24"/>
      <c r="J43" s="24"/>
      <c r="K43" s="24"/>
      <c r="L43" s="46"/>
      <c r="M43" s="46"/>
      <c r="N43" s="47">
        <f t="shared" si="1"/>
        <v>0</v>
      </c>
      <c r="O43" s="48">
        <v>3</v>
      </c>
      <c r="P43" s="46">
        <v>3</v>
      </c>
      <c r="Q43" s="46"/>
      <c r="R43" s="46"/>
      <c r="S43" s="46"/>
      <c r="T43" s="47">
        <f t="shared" si="2"/>
        <v>0</v>
      </c>
    </row>
    <row r="44" spans="1:20" ht="15.75" x14ac:dyDescent="0.25">
      <c r="A44" s="3">
        <f t="shared" si="3"/>
        <v>35</v>
      </c>
      <c r="B44" s="13" t="s">
        <v>50</v>
      </c>
      <c r="C44" s="15" t="s">
        <v>124</v>
      </c>
      <c r="D44" s="2"/>
      <c r="E44" s="17" t="s">
        <v>106</v>
      </c>
      <c r="F44" s="6" t="s">
        <v>168</v>
      </c>
      <c r="G44" s="26">
        <v>2</v>
      </c>
      <c r="H44" s="24">
        <v>2</v>
      </c>
      <c r="I44" s="24">
        <v>2</v>
      </c>
      <c r="J44" s="24">
        <v>2</v>
      </c>
      <c r="K44" s="24"/>
      <c r="L44" s="46"/>
      <c r="M44" s="46"/>
      <c r="N44" s="47">
        <f t="shared" si="1"/>
        <v>0</v>
      </c>
      <c r="O44" s="48">
        <v>1</v>
      </c>
      <c r="P44" s="46">
        <v>1</v>
      </c>
      <c r="Q44" s="46"/>
      <c r="R44" s="46"/>
      <c r="S44" s="46"/>
      <c r="T44" s="47">
        <f t="shared" si="2"/>
        <v>0</v>
      </c>
    </row>
    <row r="45" spans="1:20" ht="15.75" x14ac:dyDescent="0.25">
      <c r="A45" s="3">
        <f t="shared" si="3"/>
        <v>36</v>
      </c>
      <c r="B45" s="11" t="s">
        <v>51</v>
      </c>
      <c r="C45" s="15" t="s">
        <v>124</v>
      </c>
      <c r="D45" s="2"/>
      <c r="E45" s="22" t="s">
        <v>112</v>
      </c>
      <c r="F45" s="6" t="s">
        <v>169</v>
      </c>
      <c r="G45" s="26"/>
      <c r="H45" s="24"/>
      <c r="I45" s="24"/>
      <c r="J45" s="24"/>
      <c r="K45" s="24"/>
      <c r="L45" s="46"/>
      <c r="M45" s="46"/>
      <c r="N45" s="47">
        <f t="shared" si="1"/>
        <v>0</v>
      </c>
      <c r="O45" s="48"/>
      <c r="P45" s="46"/>
      <c r="Q45" s="46"/>
      <c r="R45" s="46"/>
      <c r="S45" s="46"/>
      <c r="T45" s="47">
        <f t="shared" si="2"/>
        <v>0</v>
      </c>
    </row>
    <row r="46" spans="1:20" ht="15.75" x14ac:dyDescent="0.25">
      <c r="A46" s="3">
        <f t="shared" si="3"/>
        <v>37</v>
      </c>
      <c r="B46" s="11" t="s">
        <v>131</v>
      </c>
      <c r="C46" s="15" t="s">
        <v>124</v>
      </c>
      <c r="D46" s="2"/>
      <c r="E46" s="22" t="s">
        <v>106</v>
      </c>
      <c r="F46" s="6" t="s">
        <v>222</v>
      </c>
      <c r="G46" s="26"/>
      <c r="H46" s="24"/>
      <c r="I46" s="24"/>
      <c r="J46" s="24"/>
      <c r="K46" s="24"/>
      <c r="L46" s="46"/>
      <c r="M46" s="46"/>
      <c r="N46" s="47">
        <f t="shared" si="1"/>
        <v>0</v>
      </c>
      <c r="O46" s="48">
        <v>1</v>
      </c>
      <c r="P46" s="46">
        <v>1</v>
      </c>
      <c r="Q46" s="46">
        <v>1</v>
      </c>
      <c r="R46" s="49">
        <v>11787.49</v>
      </c>
      <c r="S46" s="49">
        <v>11787.49</v>
      </c>
      <c r="T46" s="47">
        <f t="shared" si="2"/>
        <v>0</v>
      </c>
    </row>
    <row r="47" spans="1:20" ht="15.75" x14ac:dyDescent="0.25">
      <c r="A47" s="3">
        <f t="shared" si="3"/>
        <v>38</v>
      </c>
      <c r="B47" s="13" t="s">
        <v>52</v>
      </c>
      <c r="C47" s="15" t="s">
        <v>124</v>
      </c>
      <c r="D47" s="2"/>
      <c r="E47" s="17" t="s">
        <v>106</v>
      </c>
      <c r="F47" s="6" t="s">
        <v>170</v>
      </c>
      <c r="G47" s="26">
        <v>2</v>
      </c>
      <c r="H47" s="24">
        <v>2</v>
      </c>
      <c r="I47" s="24">
        <v>2</v>
      </c>
      <c r="J47" s="24">
        <v>2</v>
      </c>
      <c r="K47" s="24"/>
      <c r="L47" s="46"/>
      <c r="M47" s="46"/>
      <c r="N47" s="47">
        <f t="shared" si="1"/>
        <v>0</v>
      </c>
      <c r="O47" s="48"/>
      <c r="P47" s="46"/>
      <c r="Q47" s="46"/>
      <c r="R47" s="46"/>
      <c r="S47" s="46"/>
      <c r="T47" s="47">
        <f t="shared" si="2"/>
        <v>0</v>
      </c>
    </row>
    <row r="48" spans="1:20" ht="15.75" x14ac:dyDescent="0.25">
      <c r="A48" s="3">
        <f t="shared" si="3"/>
        <v>39</v>
      </c>
      <c r="B48" s="10" t="s">
        <v>53</v>
      </c>
      <c r="C48" s="15" t="s">
        <v>124</v>
      </c>
      <c r="D48" s="2"/>
      <c r="E48" s="17" t="s">
        <v>105</v>
      </c>
      <c r="F48" s="6" t="s">
        <v>171</v>
      </c>
      <c r="G48" s="26">
        <v>4</v>
      </c>
      <c r="H48" s="24"/>
      <c r="I48" s="24"/>
      <c r="J48" s="24"/>
      <c r="K48" s="24"/>
      <c r="L48" s="46"/>
      <c r="M48" s="46"/>
      <c r="N48" s="47">
        <f t="shared" si="1"/>
        <v>0</v>
      </c>
      <c r="O48" s="48">
        <v>1</v>
      </c>
      <c r="P48" s="46">
        <v>1</v>
      </c>
      <c r="Q48" s="46"/>
      <c r="R48" s="46"/>
      <c r="S48" s="46"/>
      <c r="T48" s="47">
        <f t="shared" si="2"/>
        <v>0</v>
      </c>
    </row>
    <row r="49" spans="1:20" ht="15.75" x14ac:dyDescent="0.25">
      <c r="A49" s="3">
        <f t="shared" si="3"/>
        <v>40</v>
      </c>
      <c r="B49" s="10" t="s">
        <v>54</v>
      </c>
      <c r="C49" s="15" t="s">
        <v>124</v>
      </c>
      <c r="D49" s="2"/>
      <c r="E49" s="17" t="s">
        <v>106</v>
      </c>
      <c r="F49" s="6" t="s">
        <v>172</v>
      </c>
      <c r="G49" s="26">
        <v>2</v>
      </c>
      <c r="H49" s="24"/>
      <c r="I49" s="24"/>
      <c r="J49" s="24"/>
      <c r="K49" s="24"/>
      <c r="L49" s="46"/>
      <c r="M49" s="46"/>
      <c r="N49" s="47">
        <f t="shared" si="1"/>
        <v>0</v>
      </c>
      <c r="O49" s="48">
        <v>3</v>
      </c>
      <c r="P49" s="46">
        <v>2</v>
      </c>
      <c r="Q49" s="46"/>
      <c r="R49" s="46"/>
      <c r="S49" s="46"/>
      <c r="T49" s="47">
        <f t="shared" si="2"/>
        <v>0</v>
      </c>
    </row>
    <row r="50" spans="1:20" ht="15.75" x14ac:dyDescent="0.25">
      <c r="A50" s="3">
        <f t="shared" si="3"/>
        <v>41</v>
      </c>
      <c r="B50" s="10" t="s">
        <v>55</v>
      </c>
      <c r="C50" s="15" t="s">
        <v>124</v>
      </c>
      <c r="D50" s="2"/>
      <c r="E50" s="17" t="s">
        <v>106</v>
      </c>
      <c r="F50" s="6" t="s">
        <v>173</v>
      </c>
      <c r="G50" s="26">
        <v>5</v>
      </c>
      <c r="H50" s="24"/>
      <c r="I50" s="24"/>
      <c r="J50" s="24"/>
      <c r="K50" s="24"/>
      <c r="L50" s="46"/>
      <c r="M50" s="46"/>
      <c r="N50" s="47">
        <f t="shared" si="1"/>
        <v>0</v>
      </c>
      <c r="O50" s="48">
        <v>4</v>
      </c>
      <c r="P50" s="46">
        <v>4</v>
      </c>
      <c r="Q50" s="46"/>
      <c r="R50" s="46"/>
      <c r="S50" s="46"/>
      <c r="T50" s="47">
        <f t="shared" si="2"/>
        <v>0</v>
      </c>
    </row>
    <row r="51" spans="1:20" ht="15.75" x14ac:dyDescent="0.25">
      <c r="A51" s="3">
        <f t="shared" si="3"/>
        <v>42</v>
      </c>
      <c r="B51" s="10" t="s">
        <v>56</v>
      </c>
      <c r="C51" s="15" t="s">
        <v>124</v>
      </c>
      <c r="D51" s="2"/>
      <c r="E51" s="17" t="s">
        <v>106</v>
      </c>
      <c r="F51" s="6" t="s">
        <v>174</v>
      </c>
      <c r="G51" s="26">
        <v>3</v>
      </c>
      <c r="H51" s="24">
        <v>2</v>
      </c>
      <c r="I51" s="24">
        <v>2</v>
      </c>
      <c r="J51" s="24">
        <v>2</v>
      </c>
      <c r="K51" s="24"/>
      <c r="L51" s="46"/>
      <c r="M51" s="46"/>
      <c r="N51" s="47">
        <f t="shared" si="1"/>
        <v>0</v>
      </c>
      <c r="O51" s="48">
        <v>1</v>
      </c>
      <c r="P51" s="46">
        <v>1</v>
      </c>
      <c r="Q51" s="46"/>
      <c r="R51" s="46"/>
      <c r="S51" s="46"/>
      <c r="T51" s="47">
        <f t="shared" si="2"/>
        <v>0</v>
      </c>
    </row>
    <row r="52" spans="1:20" ht="15.75" x14ac:dyDescent="0.25">
      <c r="A52" s="3">
        <f t="shared" si="3"/>
        <v>43</v>
      </c>
      <c r="B52" s="13" t="s">
        <v>57</v>
      </c>
      <c r="C52" s="15" t="s">
        <v>124</v>
      </c>
      <c r="D52" s="2"/>
      <c r="E52" s="17" t="s">
        <v>106</v>
      </c>
      <c r="F52" s="6" t="s">
        <v>175</v>
      </c>
      <c r="G52" s="26">
        <v>3</v>
      </c>
      <c r="H52" s="24">
        <v>1</v>
      </c>
      <c r="I52" s="24">
        <v>1</v>
      </c>
      <c r="J52" s="24">
        <v>1</v>
      </c>
      <c r="K52" s="24"/>
      <c r="L52" s="46"/>
      <c r="M52" s="46"/>
      <c r="N52" s="47">
        <f t="shared" si="1"/>
        <v>0</v>
      </c>
      <c r="O52" s="48">
        <v>1</v>
      </c>
      <c r="P52" s="46">
        <v>1</v>
      </c>
      <c r="Q52" s="46"/>
      <c r="R52" s="46"/>
      <c r="S52" s="46"/>
      <c r="T52" s="47">
        <f t="shared" si="2"/>
        <v>0</v>
      </c>
    </row>
    <row r="53" spans="1:20" ht="15.75" x14ac:dyDescent="0.25">
      <c r="A53" s="3">
        <f t="shared" si="3"/>
        <v>44</v>
      </c>
      <c r="B53" s="13" t="s">
        <v>58</v>
      </c>
      <c r="C53" s="15" t="s">
        <v>124</v>
      </c>
      <c r="D53" s="2"/>
      <c r="E53" s="17" t="s">
        <v>106</v>
      </c>
      <c r="F53" s="6" t="s">
        <v>229</v>
      </c>
      <c r="G53" s="26"/>
      <c r="H53" s="24"/>
      <c r="I53" s="24"/>
      <c r="J53" s="24"/>
      <c r="K53" s="24"/>
      <c r="L53" s="46"/>
      <c r="M53" s="46"/>
      <c r="N53" s="47">
        <f t="shared" si="1"/>
        <v>0</v>
      </c>
      <c r="O53" s="48"/>
      <c r="P53" s="46"/>
      <c r="Q53" s="46"/>
      <c r="R53" s="46"/>
      <c r="S53" s="46"/>
      <c r="T53" s="47">
        <f t="shared" si="2"/>
        <v>0</v>
      </c>
    </row>
    <row r="54" spans="1:20" ht="15.75" x14ac:dyDescent="0.25">
      <c r="A54" s="3">
        <f t="shared" si="3"/>
        <v>45</v>
      </c>
      <c r="B54" s="13" t="s">
        <v>59</v>
      </c>
      <c r="C54" s="15" t="s">
        <v>124</v>
      </c>
      <c r="D54" s="2"/>
      <c r="E54" s="17" t="s">
        <v>112</v>
      </c>
      <c r="F54" s="6" t="s">
        <v>176</v>
      </c>
      <c r="G54" s="26">
        <v>11</v>
      </c>
      <c r="H54" s="24">
        <v>2</v>
      </c>
      <c r="I54" s="24">
        <v>2</v>
      </c>
      <c r="J54" s="24"/>
      <c r="K54" s="24"/>
      <c r="L54" s="46"/>
      <c r="M54" s="46"/>
      <c r="N54" s="47">
        <f t="shared" si="1"/>
        <v>0</v>
      </c>
      <c r="O54" s="48">
        <v>15</v>
      </c>
      <c r="P54" s="46">
        <v>7</v>
      </c>
      <c r="Q54" s="46">
        <v>6</v>
      </c>
      <c r="R54" s="46">
        <v>2632.7</v>
      </c>
      <c r="S54" s="46">
        <v>2632.7</v>
      </c>
      <c r="T54" s="47">
        <f t="shared" si="2"/>
        <v>0</v>
      </c>
    </row>
    <row r="55" spans="1:20" ht="15.75" x14ac:dyDescent="0.25">
      <c r="A55" s="3">
        <f t="shared" si="3"/>
        <v>46</v>
      </c>
      <c r="B55" s="13" t="s">
        <v>60</v>
      </c>
      <c r="C55" s="15" t="s">
        <v>125</v>
      </c>
      <c r="D55" s="38" t="s">
        <v>126</v>
      </c>
      <c r="E55" s="17" t="s">
        <v>106</v>
      </c>
      <c r="F55" s="6" t="s">
        <v>177</v>
      </c>
      <c r="G55" s="26">
        <v>1</v>
      </c>
      <c r="H55" s="24"/>
      <c r="I55" s="24"/>
      <c r="J55" s="24"/>
      <c r="K55" s="24"/>
      <c r="L55" s="46"/>
      <c r="M55" s="46"/>
      <c r="N55" s="47">
        <f t="shared" si="1"/>
        <v>0</v>
      </c>
      <c r="O55" s="48">
        <v>1</v>
      </c>
      <c r="P55" s="46">
        <v>1</v>
      </c>
      <c r="Q55" s="46"/>
      <c r="R55" s="46"/>
      <c r="S55" s="46"/>
      <c r="T55" s="47">
        <f t="shared" si="2"/>
        <v>0</v>
      </c>
    </row>
    <row r="56" spans="1:20" ht="15.75" x14ac:dyDescent="0.25">
      <c r="A56" s="3">
        <f t="shared" si="3"/>
        <v>47</v>
      </c>
      <c r="B56" s="11" t="s">
        <v>61</v>
      </c>
      <c r="C56" s="15" t="s">
        <v>124</v>
      </c>
      <c r="D56" s="2"/>
      <c r="E56" s="17" t="s">
        <v>107</v>
      </c>
      <c r="F56" s="6" t="s">
        <v>178</v>
      </c>
      <c r="G56" s="26">
        <v>9</v>
      </c>
      <c r="H56" s="24">
        <v>1</v>
      </c>
      <c r="I56" s="24">
        <v>1</v>
      </c>
      <c r="J56" s="24">
        <v>1</v>
      </c>
      <c r="K56" s="24"/>
      <c r="L56" s="46"/>
      <c r="M56" s="46"/>
      <c r="N56" s="47">
        <f t="shared" si="1"/>
        <v>0</v>
      </c>
      <c r="O56" s="48">
        <v>8</v>
      </c>
      <c r="P56" s="46">
        <v>8</v>
      </c>
      <c r="Q56" s="46"/>
      <c r="R56" s="46"/>
      <c r="S56" s="46"/>
      <c r="T56" s="47">
        <f t="shared" si="2"/>
        <v>0</v>
      </c>
    </row>
    <row r="57" spans="1:20" ht="15.75" x14ac:dyDescent="0.25">
      <c r="A57" s="3">
        <f t="shared" si="3"/>
        <v>48</v>
      </c>
      <c r="B57" s="11" t="s">
        <v>134</v>
      </c>
      <c r="C57" s="15" t="s">
        <v>124</v>
      </c>
      <c r="D57" s="2"/>
      <c r="E57" s="17" t="s">
        <v>112</v>
      </c>
      <c r="F57" s="6" t="s">
        <v>179</v>
      </c>
      <c r="G57" s="26"/>
      <c r="H57" s="24"/>
      <c r="I57" s="24"/>
      <c r="J57" s="24"/>
      <c r="K57" s="24"/>
      <c r="L57" s="46"/>
      <c r="M57" s="46"/>
      <c r="N57" s="47">
        <f t="shared" si="1"/>
        <v>0</v>
      </c>
      <c r="O57" s="48"/>
      <c r="P57" s="46"/>
      <c r="Q57" s="46"/>
      <c r="R57" s="46"/>
      <c r="S57" s="46"/>
      <c r="T57" s="47"/>
    </row>
    <row r="58" spans="1:20" ht="15.75" x14ac:dyDescent="0.25">
      <c r="A58" s="3">
        <f t="shared" si="3"/>
        <v>49</v>
      </c>
      <c r="B58" s="11" t="s">
        <v>62</v>
      </c>
      <c r="C58" s="15" t="s">
        <v>124</v>
      </c>
      <c r="D58" s="2"/>
      <c r="E58" s="17" t="s">
        <v>106</v>
      </c>
      <c r="F58" s="6" t="s">
        <v>230</v>
      </c>
      <c r="G58" s="26"/>
      <c r="H58" s="24"/>
      <c r="I58" s="24"/>
      <c r="J58" s="24"/>
      <c r="K58" s="24"/>
      <c r="L58" s="46"/>
      <c r="M58" s="46"/>
      <c r="N58" s="47">
        <f t="shared" si="1"/>
        <v>0</v>
      </c>
      <c r="O58" s="48"/>
      <c r="P58" s="46"/>
      <c r="Q58" s="46"/>
      <c r="R58" s="46"/>
      <c r="S58" s="46"/>
      <c r="T58" s="47">
        <f t="shared" si="2"/>
        <v>0</v>
      </c>
    </row>
    <row r="59" spans="1:20" ht="15.75" x14ac:dyDescent="0.25">
      <c r="A59" s="3">
        <f t="shared" si="3"/>
        <v>50</v>
      </c>
      <c r="B59" s="11" t="s">
        <v>63</v>
      </c>
      <c r="C59" s="15" t="s">
        <v>124</v>
      </c>
      <c r="D59" s="2"/>
      <c r="E59" s="22" t="s">
        <v>112</v>
      </c>
      <c r="F59" s="6" t="s">
        <v>224</v>
      </c>
      <c r="G59" s="26"/>
      <c r="H59" s="24"/>
      <c r="I59" s="24"/>
      <c r="J59" s="24"/>
      <c r="K59" s="24"/>
      <c r="L59" s="46"/>
      <c r="M59" s="46"/>
      <c r="N59" s="47">
        <f t="shared" si="1"/>
        <v>0</v>
      </c>
      <c r="O59" s="48"/>
      <c r="P59" s="46"/>
      <c r="Q59" s="46"/>
      <c r="R59" s="46"/>
      <c r="S59" s="46"/>
      <c r="T59" s="47">
        <f t="shared" si="2"/>
        <v>0</v>
      </c>
    </row>
    <row r="60" spans="1:20" ht="15.75" x14ac:dyDescent="0.25">
      <c r="A60" s="3">
        <f t="shared" si="3"/>
        <v>51</v>
      </c>
      <c r="B60" s="11" t="s">
        <v>64</v>
      </c>
      <c r="C60" s="15" t="s">
        <v>124</v>
      </c>
      <c r="D60" s="2"/>
      <c r="E60" s="22" t="s">
        <v>107</v>
      </c>
      <c r="F60" s="6" t="s">
        <v>180</v>
      </c>
      <c r="G60" s="26">
        <v>12</v>
      </c>
      <c r="H60" s="24">
        <v>1</v>
      </c>
      <c r="I60" s="24">
        <v>1</v>
      </c>
      <c r="J60" s="24"/>
      <c r="K60" s="24"/>
      <c r="L60" s="46"/>
      <c r="M60" s="46"/>
      <c r="N60" s="47">
        <f t="shared" si="1"/>
        <v>0</v>
      </c>
      <c r="O60" s="48">
        <v>4</v>
      </c>
      <c r="P60" s="46">
        <v>3</v>
      </c>
      <c r="Q60" s="46"/>
      <c r="R60" s="46"/>
      <c r="S60" s="46"/>
      <c r="T60" s="47">
        <f t="shared" si="2"/>
        <v>0</v>
      </c>
    </row>
    <row r="61" spans="1:20" ht="15.75" x14ac:dyDescent="0.25">
      <c r="A61" s="3">
        <f t="shared" si="3"/>
        <v>52</v>
      </c>
      <c r="B61" s="11" t="s">
        <v>135</v>
      </c>
      <c r="C61" s="15" t="s">
        <v>124</v>
      </c>
      <c r="D61" s="2"/>
      <c r="E61" s="22" t="s">
        <v>136</v>
      </c>
      <c r="F61" s="6" t="s">
        <v>181</v>
      </c>
      <c r="G61" s="26"/>
      <c r="H61" s="24"/>
      <c r="I61" s="24"/>
      <c r="J61" s="24"/>
      <c r="K61" s="24"/>
      <c r="L61" s="46"/>
      <c r="M61" s="46"/>
      <c r="N61" s="47">
        <f t="shared" si="1"/>
        <v>0</v>
      </c>
      <c r="O61" s="48"/>
      <c r="P61" s="46"/>
      <c r="Q61" s="46"/>
      <c r="R61" s="46"/>
      <c r="S61" s="46"/>
      <c r="T61" s="47"/>
    </row>
    <row r="62" spans="1:20" ht="18.75" customHeight="1" x14ac:dyDescent="0.25">
      <c r="A62" s="3">
        <f t="shared" si="3"/>
        <v>53</v>
      </c>
      <c r="B62" s="13" t="s">
        <v>65</v>
      </c>
      <c r="C62" s="15" t="s">
        <v>124</v>
      </c>
      <c r="D62" s="2"/>
      <c r="E62" s="17" t="s">
        <v>106</v>
      </c>
      <c r="F62" s="6" t="s">
        <v>182</v>
      </c>
      <c r="G62" s="26">
        <v>2</v>
      </c>
      <c r="H62" s="24"/>
      <c r="I62" s="24"/>
      <c r="J62" s="24"/>
      <c r="K62" s="24"/>
      <c r="L62" s="46"/>
      <c r="M62" s="46"/>
      <c r="N62" s="47">
        <f t="shared" si="1"/>
        <v>0</v>
      </c>
      <c r="O62" s="48"/>
      <c r="P62" s="46"/>
      <c r="Q62" s="46"/>
      <c r="R62" s="46"/>
      <c r="S62" s="46"/>
      <c r="T62" s="47">
        <f t="shared" si="2"/>
        <v>0</v>
      </c>
    </row>
    <row r="63" spans="1:20" ht="15.75" x14ac:dyDescent="0.25">
      <c r="A63" s="3">
        <f t="shared" si="3"/>
        <v>54</v>
      </c>
      <c r="B63" s="13" t="s">
        <v>66</v>
      </c>
      <c r="C63" s="15" t="s">
        <v>124</v>
      </c>
      <c r="D63" s="2"/>
      <c r="E63" s="17" t="s">
        <v>112</v>
      </c>
      <c r="F63" s="6" t="s">
        <v>227</v>
      </c>
      <c r="G63" s="26"/>
      <c r="H63" s="24"/>
      <c r="I63" s="24"/>
      <c r="J63" s="24"/>
      <c r="K63" s="24"/>
      <c r="L63" s="46"/>
      <c r="M63" s="46"/>
      <c r="N63" s="47">
        <f t="shared" si="1"/>
        <v>0</v>
      </c>
      <c r="O63" s="48">
        <v>8</v>
      </c>
      <c r="P63" s="46">
        <v>8</v>
      </c>
      <c r="Q63" s="46">
        <v>8</v>
      </c>
      <c r="R63" s="46">
        <v>3232.69</v>
      </c>
      <c r="S63" s="46"/>
      <c r="T63" s="47">
        <f t="shared" si="2"/>
        <v>3232.69</v>
      </c>
    </row>
    <row r="64" spans="1:20" ht="15.75" x14ac:dyDescent="0.25">
      <c r="A64" s="3">
        <f t="shared" si="3"/>
        <v>55</v>
      </c>
      <c r="B64" s="10" t="s">
        <v>67</v>
      </c>
      <c r="C64" s="15" t="s">
        <v>124</v>
      </c>
      <c r="D64" s="2"/>
      <c r="E64" s="17" t="s">
        <v>106</v>
      </c>
      <c r="F64" s="6" t="s">
        <v>183</v>
      </c>
      <c r="G64" s="26">
        <v>4</v>
      </c>
      <c r="H64" s="24">
        <v>2</v>
      </c>
      <c r="I64" s="24">
        <v>2</v>
      </c>
      <c r="J64" s="24">
        <v>2</v>
      </c>
      <c r="K64" s="24"/>
      <c r="L64" s="46"/>
      <c r="M64" s="46"/>
      <c r="N64" s="47">
        <f t="shared" si="1"/>
        <v>0</v>
      </c>
      <c r="O64" s="48">
        <v>3</v>
      </c>
      <c r="P64" s="46">
        <v>3</v>
      </c>
      <c r="Q64" s="46"/>
      <c r="R64" s="46"/>
      <c r="S64" s="46"/>
      <c r="T64" s="47">
        <f t="shared" si="2"/>
        <v>0</v>
      </c>
    </row>
    <row r="65" spans="1:20" ht="15.75" x14ac:dyDescent="0.25">
      <c r="A65" s="3">
        <f t="shared" si="3"/>
        <v>56</v>
      </c>
      <c r="B65" s="10" t="s">
        <v>68</v>
      </c>
      <c r="C65" s="15" t="s">
        <v>124</v>
      </c>
      <c r="D65" s="2"/>
      <c r="E65" s="17" t="s">
        <v>111</v>
      </c>
      <c r="F65" s="6" t="s">
        <v>184</v>
      </c>
      <c r="G65" s="26">
        <v>6</v>
      </c>
      <c r="H65" s="24">
        <v>1</v>
      </c>
      <c r="I65" s="24">
        <v>1</v>
      </c>
      <c r="J65" s="24"/>
      <c r="K65" s="24"/>
      <c r="L65" s="46"/>
      <c r="M65" s="46"/>
      <c r="N65" s="47">
        <f t="shared" si="1"/>
        <v>0</v>
      </c>
      <c r="O65" s="48">
        <v>6</v>
      </c>
      <c r="P65" s="46">
        <v>4</v>
      </c>
      <c r="Q65" s="46"/>
      <c r="R65" s="46"/>
      <c r="S65" s="46"/>
      <c r="T65" s="47">
        <f t="shared" si="2"/>
        <v>0</v>
      </c>
    </row>
    <row r="66" spans="1:20" ht="15.75" x14ac:dyDescent="0.25">
      <c r="A66" s="3">
        <f t="shared" si="3"/>
        <v>57</v>
      </c>
      <c r="B66" s="13" t="s">
        <v>69</v>
      </c>
      <c r="C66" s="15" t="s">
        <v>124</v>
      </c>
      <c r="D66" s="2"/>
      <c r="E66" s="17" t="s">
        <v>106</v>
      </c>
      <c r="F66" s="6" t="s">
        <v>185</v>
      </c>
      <c r="G66" s="26">
        <v>2</v>
      </c>
      <c r="H66" s="24">
        <v>1</v>
      </c>
      <c r="I66" s="24">
        <v>1</v>
      </c>
      <c r="J66" s="24">
        <v>1</v>
      </c>
      <c r="K66" s="24"/>
      <c r="L66" s="46"/>
      <c r="M66" s="46"/>
      <c r="N66" s="47">
        <f t="shared" si="1"/>
        <v>0</v>
      </c>
      <c r="O66" s="48">
        <v>4</v>
      </c>
      <c r="P66" s="46">
        <v>4</v>
      </c>
      <c r="Q66" s="46"/>
      <c r="R66" s="46"/>
      <c r="S66" s="46"/>
      <c r="T66" s="47">
        <f t="shared" si="2"/>
        <v>0</v>
      </c>
    </row>
    <row r="67" spans="1:20" ht="15.75" x14ac:dyDescent="0.25">
      <c r="A67" s="3">
        <f t="shared" si="3"/>
        <v>58</v>
      </c>
      <c r="B67" s="11" t="s">
        <v>70</v>
      </c>
      <c r="C67" s="15" t="s">
        <v>124</v>
      </c>
      <c r="D67" s="2"/>
      <c r="E67" s="17" t="s">
        <v>107</v>
      </c>
      <c r="F67" s="6" t="s">
        <v>186</v>
      </c>
      <c r="G67" s="26">
        <v>10</v>
      </c>
      <c r="H67" s="24">
        <v>2</v>
      </c>
      <c r="I67" s="24">
        <v>5</v>
      </c>
      <c r="J67" s="24">
        <v>2</v>
      </c>
      <c r="K67" s="24"/>
      <c r="L67" s="46"/>
      <c r="M67" s="46"/>
      <c r="N67" s="47">
        <f t="shared" si="1"/>
        <v>0</v>
      </c>
      <c r="O67" s="48">
        <v>3</v>
      </c>
      <c r="P67" s="46">
        <v>3</v>
      </c>
      <c r="Q67" s="46"/>
      <c r="R67" s="46"/>
      <c r="S67" s="46"/>
      <c r="T67" s="47">
        <f t="shared" si="2"/>
        <v>0</v>
      </c>
    </row>
    <row r="68" spans="1:20" ht="15.75" x14ac:dyDescent="0.25">
      <c r="A68" s="3">
        <f t="shared" si="3"/>
        <v>59</v>
      </c>
      <c r="B68" s="11" t="s">
        <v>71</v>
      </c>
      <c r="C68" s="15" t="s">
        <v>124</v>
      </c>
      <c r="D68" s="2"/>
      <c r="E68" s="17" t="s">
        <v>117</v>
      </c>
      <c r="F68" s="6" t="s">
        <v>187</v>
      </c>
      <c r="G68" s="26">
        <v>7</v>
      </c>
      <c r="H68" s="24">
        <v>3</v>
      </c>
      <c r="I68" s="24">
        <v>4</v>
      </c>
      <c r="J68" s="24">
        <v>4</v>
      </c>
      <c r="K68" s="24">
        <v>1</v>
      </c>
      <c r="L68" s="46">
        <v>992.16</v>
      </c>
      <c r="M68" s="46">
        <v>992.16</v>
      </c>
      <c r="N68" s="47">
        <f t="shared" si="1"/>
        <v>0</v>
      </c>
      <c r="O68" s="48">
        <v>7</v>
      </c>
      <c r="P68" s="46">
        <v>7</v>
      </c>
      <c r="Q68" s="46">
        <v>6</v>
      </c>
      <c r="R68" s="46">
        <v>2992.76</v>
      </c>
      <c r="S68" s="46">
        <v>2992.76</v>
      </c>
      <c r="T68" s="47">
        <f t="shared" si="2"/>
        <v>0</v>
      </c>
    </row>
    <row r="69" spans="1:20" ht="15.75" x14ac:dyDescent="0.25">
      <c r="A69" s="3">
        <f t="shared" si="3"/>
        <v>60</v>
      </c>
      <c r="B69" s="11" t="s">
        <v>72</v>
      </c>
      <c r="C69" s="15" t="s">
        <v>125</v>
      </c>
      <c r="D69" s="38" t="s">
        <v>126</v>
      </c>
      <c r="E69" s="17" t="s">
        <v>106</v>
      </c>
      <c r="F69" s="6" t="s">
        <v>188</v>
      </c>
      <c r="G69" s="26">
        <v>1</v>
      </c>
      <c r="H69" s="24"/>
      <c r="I69" s="24"/>
      <c r="J69" s="24"/>
      <c r="K69" s="24"/>
      <c r="L69" s="46"/>
      <c r="M69" s="46"/>
      <c r="N69" s="47">
        <f t="shared" si="1"/>
        <v>0</v>
      </c>
      <c r="O69" s="48"/>
      <c r="P69" s="46"/>
      <c r="Q69" s="46"/>
      <c r="R69" s="46"/>
      <c r="S69" s="46"/>
      <c r="T69" s="47">
        <f t="shared" si="2"/>
        <v>0</v>
      </c>
    </row>
    <row r="70" spans="1:20" ht="15.75" x14ac:dyDescent="0.25">
      <c r="A70" s="3">
        <f t="shared" si="3"/>
        <v>61</v>
      </c>
      <c r="B70" s="10" t="s">
        <v>73</v>
      </c>
      <c r="C70" s="15" t="s">
        <v>124</v>
      </c>
      <c r="D70" s="2"/>
      <c r="E70" s="17" t="s">
        <v>106</v>
      </c>
      <c r="F70" s="6" t="s">
        <v>189</v>
      </c>
      <c r="G70" s="26">
        <v>1</v>
      </c>
      <c r="H70" s="24"/>
      <c r="I70" s="24"/>
      <c r="J70" s="24"/>
      <c r="K70" s="24"/>
      <c r="L70" s="46"/>
      <c r="M70" s="46"/>
      <c r="N70" s="47">
        <f t="shared" si="1"/>
        <v>0</v>
      </c>
      <c r="O70" s="48"/>
      <c r="P70" s="46"/>
      <c r="Q70" s="46"/>
      <c r="R70" s="46"/>
      <c r="S70" s="46"/>
      <c r="T70" s="47">
        <f t="shared" si="2"/>
        <v>0</v>
      </c>
    </row>
    <row r="71" spans="1:20" ht="15.75" x14ac:dyDescent="0.25">
      <c r="A71" s="3">
        <f t="shared" si="3"/>
        <v>62</v>
      </c>
      <c r="B71" s="11" t="s">
        <v>74</v>
      </c>
      <c r="C71" s="15" t="s">
        <v>124</v>
      </c>
      <c r="D71" s="2"/>
      <c r="E71" s="17" t="s">
        <v>111</v>
      </c>
      <c r="F71" s="6" t="s">
        <v>190</v>
      </c>
      <c r="G71" s="26">
        <v>3</v>
      </c>
      <c r="H71" s="24">
        <v>1</v>
      </c>
      <c r="I71" s="24">
        <v>1</v>
      </c>
      <c r="J71" s="24"/>
      <c r="K71" s="24"/>
      <c r="L71" s="46"/>
      <c r="M71" s="46"/>
      <c r="N71" s="47">
        <f t="shared" si="1"/>
        <v>0</v>
      </c>
      <c r="O71" s="48">
        <v>11</v>
      </c>
      <c r="P71" s="46">
        <v>9</v>
      </c>
      <c r="Q71" s="46"/>
      <c r="R71" s="46"/>
      <c r="S71" s="46"/>
      <c r="T71" s="47">
        <f t="shared" si="2"/>
        <v>0</v>
      </c>
    </row>
    <row r="72" spans="1:20" ht="15.75" x14ac:dyDescent="0.25">
      <c r="A72" s="3">
        <f t="shared" si="3"/>
        <v>63</v>
      </c>
      <c r="B72" s="11" t="s">
        <v>75</v>
      </c>
      <c r="C72" s="15" t="s">
        <v>124</v>
      </c>
      <c r="D72" s="2"/>
      <c r="E72" s="17" t="s">
        <v>118</v>
      </c>
      <c r="F72" s="6" t="s">
        <v>191</v>
      </c>
      <c r="G72" s="26">
        <v>3</v>
      </c>
      <c r="H72" s="24">
        <v>1</v>
      </c>
      <c r="I72" s="24">
        <v>1</v>
      </c>
      <c r="J72" s="24"/>
      <c r="K72" s="24"/>
      <c r="L72" s="46"/>
      <c r="M72" s="46"/>
      <c r="N72" s="47">
        <f t="shared" si="1"/>
        <v>0</v>
      </c>
      <c r="O72" s="48">
        <v>3</v>
      </c>
      <c r="P72" s="46">
        <v>3</v>
      </c>
      <c r="Q72" s="46"/>
      <c r="R72" s="46"/>
      <c r="S72" s="46"/>
      <c r="T72" s="47">
        <f t="shared" si="2"/>
        <v>0</v>
      </c>
    </row>
    <row r="73" spans="1:20" ht="15.75" x14ac:dyDescent="0.25">
      <c r="A73" s="3">
        <f t="shared" si="3"/>
        <v>64</v>
      </c>
      <c r="B73" s="10" t="s">
        <v>76</v>
      </c>
      <c r="C73" s="15" t="s">
        <v>124</v>
      </c>
      <c r="D73" s="2"/>
      <c r="E73" s="10" t="s">
        <v>105</v>
      </c>
      <c r="F73" s="6" t="s">
        <v>192</v>
      </c>
      <c r="G73" s="26">
        <v>3</v>
      </c>
      <c r="H73" s="24"/>
      <c r="I73" s="24"/>
      <c r="J73" s="24"/>
      <c r="K73" s="24"/>
      <c r="L73" s="46"/>
      <c r="M73" s="46"/>
      <c r="N73" s="47">
        <f t="shared" si="1"/>
        <v>0</v>
      </c>
      <c r="O73" s="48">
        <v>2</v>
      </c>
      <c r="P73" s="46">
        <v>2</v>
      </c>
      <c r="Q73" s="46"/>
      <c r="R73" s="46"/>
      <c r="S73" s="46"/>
      <c r="T73" s="47">
        <f t="shared" si="2"/>
        <v>0</v>
      </c>
    </row>
    <row r="74" spans="1:20" ht="15.75" x14ac:dyDescent="0.25">
      <c r="A74" s="3">
        <f t="shared" si="3"/>
        <v>65</v>
      </c>
      <c r="B74" s="11" t="s">
        <v>77</v>
      </c>
      <c r="C74" s="15" t="s">
        <v>124</v>
      </c>
      <c r="D74" s="2"/>
      <c r="E74" s="10" t="s">
        <v>111</v>
      </c>
      <c r="F74" s="6" t="s">
        <v>225</v>
      </c>
      <c r="G74" s="26"/>
      <c r="H74" s="24"/>
      <c r="I74" s="24"/>
      <c r="J74" s="24"/>
      <c r="K74" s="24"/>
      <c r="L74" s="46"/>
      <c r="M74" s="46"/>
      <c r="N74" s="47">
        <f t="shared" si="1"/>
        <v>0</v>
      </c>
      <c r="O74" s="48">
        <v>1</v>
      </c>
      <c r="P74" s="46">
        <v>1</v>
      </c>
      <c r="Q74" s="46">
        <v>1</v>
      </c>
      <c r="R74" s="46">
        <v>3278.32</v>
      </c>
      <c r="S74" s="46"/>
      <c r="T74" s="47">
        <f t="shared" si="2"/>
        <v>3278.32</v>
      </c>
    </row>
    <row r="75" spans="1:20" ht="15.75" x14ac:dyDescent="0.25">
      <c r="A75" s="3">
        <f t="shared" si="3"/>
        <v>66</v>
      </c>
      <c r="B75" s="10" t="s">
        <v>78</v>
      </c>
      <c r="C75" s="15" t="s">
        <v>124</v>
      </c>
      <c r="D75" s="2"/>
      <c r="E75" s="23" t="s">
        <v>119</v>
      </c>
      <c r="F75" s="6" t="s">
        <v>193</v>
      </c>
      <c r="G75" s="26">
        <v>2</v>
      </c>
      <c r="H75" s="24"/>
      <c r="I75" s="24"/>
      <c r="J75" s="24"/>
      <c r="K75" s="24"/>
      <c r="L75" s="46"/>
      <c r="M75" s="46"/>
      <c r="N75" s="47">
        <f t="shared" si="1"/>
        <v>0</v>
      </c>
      <c r="O75" s="48">
        <v>2</v>
      </c>
      <c r="P75" s="46">
        <v>2</v>
      </c>
      <c r="Q75" s="46"/>
      <c r="R75" s="46"/>
      <c r="S75" s="46"/>
      <c r="T75" s="47">
        <f t="shared" si="2"/>
        <v>0</v>
      </c>
    </row>
    <row r="76" spans="1:20" ht="15.75" x14ac:dyDescent="0.25">
      <c r="A76" s="3">
        <f t="shared" ref="A76:A102" si="4">A75+1</f>
        <v>67</v>
      </c>
      <c r="B76" s="11" t="s">
        <v>79</v>
      </c>
      <c r="C76" s="15" t="s">
        <v>124</v>
      </c>
      <c r="D76" s="2"/>
      <c r="E76" s="17" t="s">
        <v>106</v>
      </c>
      <c r="F76" s="6" t="s">
        <v>194</v>
      </c>
      <c r="G76" s="26">
        <v>4</v>
      </c>
      <c r="H76" s="24">
        <v>1</v>
      </c>
      <c r="I76" s="24">
        <v>1</v>
      </c>
      <c r="J76" s="24">
        <v>1</v>
      </c>
      <c r="K76" s="24"/>
      <c r="L76" s="46"/>
      <c r="M76" s="46"/>
      <c r="N76" s="47">
        <f t="shared" si="1"/>
        <v>0</v>
      </c>
      <c r="O76" s="48">
        <v>2</v>
      </c>
      <c r="P76" s="46">
        <v>2</v>
      </c>
      <c r="Q76" s="46"/>
      <c r="R76" s="46"/>
      <c r="S76" s="46"/>
      <c r="T76" s="47">
        <f t="shared" si="2"/>
        <v>0</v>
      </c>
    </row>
    <row r="77" spans="1:20" ht="15.75" x14ac:dyDescent="0.25">
      <c r="A77" s="3">
        <f t="shared" si="4"/>
        <v>68</v>
      </c>
      <c r="B77" s="11" t="s">
        <v>80</v>
      </c>
      <c r="C77" s="15" t="s">
        <v>124</v>
      </c>
      <c r="D77" s="2"/>
      <c r="E77" s="17" t="s">
        <v>106</v>
      </c>
      <c r="F77" s="6" t="s">
        <v>195</v>
      </c>
      <c r="G77" s="26">
        <v>2</v>
      </c>
      <c r="H77" s="24"/>
      <c r="I77" s="24"/>
      <c r="J77" s="24"/>
      <c r="K77" s="24"/>
      <c r="L77" s="46"/>
      <c r="M77" s="46"/>
      <c r="N77" s="47">
        <f t="shared" si="1"/>
        <v>0</v>
      </c>
      <c r="O77" s="48"/>
      <c r="P77" s="46"/>
      <c r="Q77" s="46"/>
      <c r="R77" s="46"/>
      <c r="S77" s="46"/>
      <c r="T77" s="47">
        <f t="shared" si="2"/>
        <v>0</v>
      </c>
    </row>
    <row r="78" spans="1:20" ht="16.5" customHeight="1" x14ac:dyDescent="0.25">
      <c r="A78" s="3">
        <f t="shared" si="4"/>
        <v>69</v>
      </c>
      <c r="B78" s="14" t="s">
        <v>81</v>
      </c>
      <c r="C78" s="15" t="s">
        <v>124</v>
      </c>
      <c r="D78" s="2"/>
      <c r="E78" s="10" t="s">
        <v>106</v>
      </c>
      <c r="F78" s="6" t="s">
        <v>226</v>
      </c>
      <c r="G78" s="26"/>
      <c r="H78" s="24"/>
      <c r="I78" s="24"/>
      <c r="J78" s="24"/>
      <c r="K78" s="24"/>
      <c r="L78" s="46"/>
      <c r="M78" s="46"/>
      <c r="N78" s="47">
        <f t="shared" si="1"/>
        <v>0</v>
      </c>
      <c r="O78" s="48">
        <v>4</v>
      </c>
      <c r="P78" s="46">
        <v>4</v>
      </c>
      <c r="Q78" s="46">
        <v>3</v>
      </c>
      <c r="R78" s="46">
        <v>852.2</v>
      </c>
      <c r="S78" s="46"/>
      <c r="T78" s="47">
        <f t="shared" si="2"/>
        <v>852.2</v>
      </c>
    </row>
    <row r="79" spans="1:20" ht="15.75" x14ac:dyDescent="0.25">
      <c r="A79" s="3">
        <f t="shared" si="4"/>
        <v>70</v>
      </c>
      <c r="B79" s="14" t="s">
        <v>82</v>
      </c>
      <c r="C79" s="15" t="s">
        <v>124</v>
      </c>
      <c r="D79" s="2"/>
      <c r="E79" s="10" t="s">
        <v>106</v>
      </c>
      <c r="F79" s="6" t="s">
        <v>196</v>
      </c>
      <c r="G79" s="26">
        <v>3</v>
      </c>
      <c r="H79" s="24"/>
      <c r="I79" s="24"/>
      <c r="J79" s="24"/>
      <c r="K79" s="24"/>
      <c r="L79" s="46"/>
      <c r="M79" s="46"/>
      <c r="N79" s="47">
        <f t="shared" si="1"/>
        <v>0</v>
      </c>
      <c r="O79" s="48"/>
      <c r="P79" s="46"/>
      <c r="Q79" s="46"/>
      <c r="R79" s="46"/>
      <c r="S79" s="46"/>
      <c r="T79" s="47">
        <f t="shared" si="2"/>
        <v>0</v>
      </c>
    </row>
    <row r="80" spans="1:20" ht="15.75" x14ac:dyDescent="0.25">
      <c r="A80" s="3">
        <f t="shared" si="4"/>
        <v>71</v>
      </c>
      <c r="B80" s="14" t="s">
        <v>83</v>
      </c>
      <c r="C80" s="15" t="s">
        <v>124</v>
      </c>
      <c r="D80" s="2"/>
      <c r="E80" s="10" t="s">
        <v>106</v>
      </c>
      <c r="F80" s="6" t="s">
        <v>197</v>
      </c>
      <c r="G80" s="26">
        <v>3</v>
      </c>
      <c r="H80" s="24">
        <v>1</v>
      </c>
      <c r="I80" s="24">
        <v>1</v>
      </c>
      <c r="J80" s="24">
        <v>1</v>
      </c>
      <c r="K80" s="24"/>
      <c r="L80" s="46"/>
      <c r="M80" s="46"/>
      <c r="N80" s="47">
        <f t="shared" ref="N80:N102" si="5" xml:space="preserve"> (L80-M80)</f>
        <v>0</v>
      </c>
      <c r="O80" s="48">
        <v>5</v>
      </c>
      <c r="P80" s="46">
        <v>5</v>
      </c>
      <c r="Q80" s="46"/>
      <c r="R80" s="46"/>
      <c r="S80" s="46"/>
      <c r="T80" s="47">
        <f t="shared" ref="T80:T102" si="6" xml:space="preserve"> (R80-S80)</f>
        <v>0</v>
      </c>
    </row>
    <row r="81" spans="1:20" ht="15.75" x14ac:dyDescent="0.25">
      <c r="A81" s="3">
        <f t="shared" si="4"/>
        <v>72</v>
      </c>
      <c r="B81" s="11" t="s">
        <v>84</v>
      </c>
      <c r="C81" s="15" t="s">
        <v>124</v>
      </c>
      <c r="D81" s="2"/>
      <c r="E81" s="10" t="s">
        <v>120</v>
      </c>
      <c r="F81" s="6" t="s">
        <v>198</v>
      </c>
      <c r="G81" s="26"/>
      <c r="H81" s="24"/>
      <c r="I81" s="24"/>
      <c r="J81" s="24"/>
      <c r="K81" s="24"/>
      <c r="L81" s="46"/>
      <c r="M81" s="46"/>
      <c r="N81" s="47">
        <f t="shared" si="5"/>
        <v>0</v>
      </c>
      <c r="O81" s="48"/>
      <c r="P81" s="46"/>
      <c r="Q81" s="46"/>
      <c r="R81" s="46"/>
      <c r="S81" s="46"/>
      <c r="T81" s="47">
        <f t="shared" si="6"/>
        <v>0</v>
      </c>
    </row>
    <row r="82" spans="1:20" ht="15.75" x14ac:dyDescent="0.25">
      <c r="A82" s="3">
        <f t="shared" si="4"/>
        <v>73</v>
      </c>
      <c r="B82" s="13" t="s">
        <v>85</v>
      </c>
      <c r="C82" s="15" t="s">
        <v>124</v>
      </c>
      <c r="D82" s="2"/>
      <c r="E82" s="19" t="s">
        <v>106</v>
      </c>
      <c r="F82" s="6" t="s">
        <v>199</v>
      </c>
      <c r="G82" s="26">
        <v>4</v>
      </c>
      <c r="H82" s="24">
        <v>1</v>
      </c>
      <c r="I82" s="24">
        <v>1</v>
      </c>
      <c r="J82" s="24">
        <v>1</v>
      </c>
      <c r="K82" s="24"/>
      <c r="L82" s="46"/>
      <c r="M82" s="46"/>
      <c r="N82" s="47">
        <f t="shared" si="5"/>
        <v>0</v>
      </c>
      <c r="O82" s="48">
        <v>3</v>
      </c>
      <c r="P82" s="46">
        <v>3</v>
      </c>
      <c r="Q82" s="46"/>
      <c r="R82" s="46"/>
      <c r="S82" s="46"/>
      <c r="T82" s="47">
        <f t="shared" si="6"/>
        <v>0</v>
      </c>
    </row>
    <row r="83" spans="1:20" ht="15.75" x14ac:dyDescent="0.25">
      <c r="A83" s="3">
        <f t="shared" si="4"/>
        <v>74</v>
      </c>
      <c r="B83" s="10" t="s">
        <v>86</v>
      </c>
      <c r="C83" s="15" t="s">
        <v>124</v>
      </c>
      <c r="D83" s="2"/>
      <c r="E83" s="22" t="s">
        <v>118</v>
      </c>
      <c r="F83" s="6" t="s">
        <v>200</v>
      </c>
      <c r="G83" s="26">
        <v>4</v>
      </c>
      <c r="H83" s="24"/>
      <c r="I83" s="24"/>
      <c r="J83" s="24"/>
      <c r="K83" s="24"/>
      <c r="L83" s="46"/>
      <c r="M83" s="46"/>
      <c r="N83" s="47">
        <f t="shared" si="5"/>
        <v>0</v>
      </c>
      <c r="O83" s="48"/>
      <c r="P83" s="46"/>
      <c r="Q83" s="46"/>
      <c r="R83" s="46"/>
      <c r="S83" s="46"/>
      <c r="T83" s="47">
        <f t="shared" si="6"/>
        <v>0</v>
      </c>
    </row>
    <row r="84" spans="1:20" ht="15.75" x14ac:dyDescent="0.25">
      <c r="A84" s="3">
        <f t="shared" si="4"/>
        <v>75</v>
      </c>
      <c r="B84" s="10" t="s">
        <v>87</v>
      </c>
      <c r="C84" s="15" t="s">
        <v>124</v>
      </c>
      <c r="D84" s="2"/>
      <c r="E84" s="22" t="s">
        <v>115</v>
      </c>
      <c r="F84" s="6" t="s">
        <v>201</v>
      </c>
      <c r="G84" s="26">
        <v>3</v>
      </c>
      <c r="H84" s="24"/>
      <c r="I84" s="24"/>
      <c r="J84" s="24"/>
      <c r="K84" s="24"/>
      <c r="L84" s="46"/>
      <c r="M84" s="46"/>
      <c r="N84" s="47">
        <f t="shared" si="5"/>
        <v>0</v>
      </c>
      <c r="O84" s="48"/>
      <c r="P84" s="46"/>
      <c r="Q84" s="46"/>
      <c r="R84" s="46"/>
      <c r="S84" s="46"/>
      <c r="T84" s="47">
        <f t="shared" si="6"/>
        <v>0</v>
      </c>
    </row>
    <row r="85" spans="1:20" ht="15.75" x14ac:dyDescent="0.25">
      <c r="A85" s="3">
        <f t="shared" si="4"/>
        <v>76</v>
      </c>
      <c r="B85" s="11" t="s">
        <v>88</v>
      </c>
      <c r="C85" s="15" t="s">
        <v>124</v>
      </c>
      <c r="D85" s="2"/>
      <c r="E85" s="17" t="s">
        <v>121</v>
      </c>
      <c r="F85" s="6" t="s">
        <v>202</v>
      </c>
      <c r="G85" s="26">
        <v>10</v>
      </c>
      <c r="H85" s="24">
        <v>4</v>
      </c>
      <c r="I85" s="24">
        <v>6</v>
      </c>
      <c r="J85" s="24"/>
      <c r="K85" s="24"/>
      <c r="L85" s="46"/>
      <c r="M85" s="46"/>
      <c r="N85" s="47">
        <f t="shared" si="5"/>
        <v>0</v>
      </c>
      <c r="O85" s="48">
        <v>5</v>
      </c>
      <c r="P85" s="46">
        <v>3</v>
      </c>
      <c r="Q85" s="46"/>
      <c r="R85" s="46"/>
      <c r="S85" s="46"/>
      <c r="T85" s="47">
        <f t="shared" si="6"/>
        <v>0</v>
      </c>
    </row>
    <row r="86" spans="1:20" ht="15.75" x14ac:dyDescent="0.25">
      <c r="A86" s="3">
        <f t="shared" si="4"/>
        <v>77</v>
      </c>
      <c r="B86" s="14" t="s">
        <v>89</v>
      </c>
      <c r="C86" s="15" t="s">
        <v>124</v>
      </c>
      <c r="D86" s="2"/>
      <c r="E86" s="19" t="s">
        <v>106</v>
      </c>
      <c r="F86" s="6" t="s">
        <v>203</v>
      </c>
      <c r="G86" s="26">
        <v>1</v>
      </c>
      <c r="H86" s="24"/>
      <c r="I86" s="24"/>
      <c r="J86" s="24"/>
      <c r="K86" s="24"/>
      <c r="L86" s="46"/>
      <c r="M86" s="46"/>
      <c r="N86" s="47">
        <f t="shared" si="5"/>
        <v>0</v>
      </c>
      <c r="O86" s="48"/>
      <c r="P86" s="46"/>
      <c r="Q86" s="46"/>
      <c r="R86" s="46"/>
      <c r="S86" s="46"/>
      <c r="T86" s="47">
        <f t="shared" si="6"/>
        <v>0</v>
      </c>
    </row>
    <row r="87" spans="1:20" ht="15.75" x14ac:dyDescent="0.25">
      <c r="A87" s="3">
        <f t="shared" si="4"/>
        <v>78</v>
      </c>
      <c r="B87" s="14" t="s">
        <v>90</v>
      </c>
      <c r="C87" s="15" t="s">
        <v>124</v>
      </c>
      <c r="D87" s="2"/>
      <c r="E87" s="19" t="s">
        <v>106</v>
      </c>
      <c r="F87" s="6" t="s">
        <v>204</v>
      </c>
      <c r="G87" s="26">
        <v>1</v>
      </c>
      <c r="H87" s="24"/>
      <c r="I87" s="24"/>
      <c r="J87" s="24"/>
      <c r="K87" s="24"/>
      <c r="L87" s="46"/>
      <c r="M87" s="46"/>
      <c r="N87" s="47">
        <f t="shared" si="5"/>
        <v>0</v>
      </c>
      <c r="O87" s="48">
        <v>1</v>
      </c>
      <c r="P87" s="46">
        <v>1</v>
      </c>
      <c r="Q87" s="46"/>
      <c r="R87" s="46"/>
      <c r="S87" s="46"/>
      <c r="T87" s="47">
        <f t="shared" si="6"/>
        <v>0</v>
      </c>
    </row>
    <row r="88" spans="1:20" ht="15.75" x14ac:dyDescent="0.25">
      <c r="A88" s="3">
        <f t="shared" si="4"/>
        <v>79</v>
      </c>
      <c r="B88" s="10" t="s">
        <v>91</v>
      </c>
      <c r="C88" s="15" t="s">
        <v>124</v>
      </c>
      <c r="D88" s="2"/>
      <c r="E88" s="17" t="s">
        <v>111</v>
      </c>
      <c r="F88" s="6" t="s">
        <v>231</v>
      </c>
      <c r="G88" s="26">
        <v>1</v>
      </c>
      <c r="H88" s="24"/>
      <c r="I88" s="24"/>
      <c r="J88" s="24"/>
      <c r="K88" s="24"/>
      <c r="L88" s="46"/>
      <c r="M88" s="46"/>
      <c r="N88" s="47">
        <f t="shared" si="5"/>
        <v>0</v>
      </c>
      <c r="O88" s="48">
        <v>6</v>
      </c>
      <c r="P88" s="46">
        <v>4</v>
      </c>
      <c r="Q88" s="46">
        <v>4</v>
      </c>
      <c r="R88" s="46">
        <v>4474.76</v>
      </c>
      <c r="S88" s="46"/>
      <c r="T88" s="47">
        <f t="shared" si="6"/>
        <v>4474.76</v>
      </c>
    </row>
    <row r="89" spans="1:20" ht="15.75" x14ac:dyDescent="0.25">
      <c r="A89" s="3">
        <f t="shared" si="4"/>
        <v>80</v>
      </c>
      <c r="B89" s="10" t="s">
        <v>92</v>
      </c>
      <c r="C89" s="15" t="s">
        <v>124</v>
      </c>
      <c r="D89" s="2"/>
      <c r="E89" s="19" t="s">
        <v>106</v>
      </c>
      <c r="F89" s="6" t="s">
        <v>205</v>
      </c>
      <c r="G89" s="26">
        <v>1</v>
      </c>
      <c r="H89" s="24"/>
      <c r="I89" s="24"/>
      <c r="J89" s="24"/>
      <c r="K89" s="24"/>
      <c r="L89" s="46"/>
      <c r="M89" s="46"/>
      <c r="N89" s="47">
        <f t="shared" si="5"/>
        <v>0</v>
      </c>
      <c r="O89" s="48">
        <v>1</v>
      </c>
      <c r="P89" s="46">
        <v>1</v>
      </c>
      <c r="Q89" s="46"/>
      <c r="R89" s="46"/>
      <c r="S89" s="46"/>
      <c r="T89" s="47">
        <f t="shared" si="6"/>
        <v>0</v>
      </c>
    </row>
    <row r="90" spans="1:20" ht="15.75" x14ac:dyDescent="0.25">
      <c r="A90" s="3">
        <f t="shared" si="4"/>
        <v>81</v>
      </c>
      <c r="B90" s="11" t="s">
        <v>93</v>
      </c>
      <c r="C90" s="15" t="s">
        <v>124</v>
      </c>
      <c r="D90" s="2"/>
      <c r="E90" s="17" t="s">
        <v>122</v>
      </c>
      <c r="F90" s="6" t="s">
        <v>206</v>
      </c>
      <c r="G90" s="26">
        <v>8</v>
      </c>
      <c r="H90" s="24"/>
      <c r="I90" s="24"/>
      <c r="J90" s="24"/>
      <c r="K90" s="24"/>
      <c r="L90" s="46"/>
      <c r="M90" s="46"/>
      <c r="N90" s="47">
        <f t="shared" si="5"/>
        <v>0</v>
      </c>
      <c r="O90" s="48"/>
      <c r="P90" s="46"/>
      <c r="Q90" s="46"/>
      <c r="R90" s="46"/>
      <c r="S90" s="46"/>
      <c r="T90" s="47">
        <f t="shared" si="6"/>
        <v>0</v>
      </c>
    </row>
    <row r="91" spans="1:20" ht="15.75" x14ac:dyDescent="0.25">
      <c r="A91" s="3">
        <f t="shared" si="4"/>
        <v>82</v>
      </c>
      <c r="B91" s="11" t="s">
        <v>94</v>
      </c>
      <c r="C91" s="15" t="s">
        <v>124</v>
      </c>
      <c r="D91" s="2"/>
      <c r="E91" s="19" t="s">
        <v>106</v>
      </c>
      <c r="F91" s="6" t="s">
        <v>218</v>
      </c>
      <c r="G91" s="26">
        <v>2</v>
      </c>
      <c r="H91" s="24"/>
      <c r="I91" s="24"/>
      <c r="J91" s="24"/>
      <c r="K91" s="24"/>
      <c r="L91" s="46"/>
      <c r="M91" s="46"/>
      <c r="N91" s="47">
        <f t="shared" si="5"/>
        <v>0</v>
      </c>
      <c r="O91" s="48"/>
      <c r="P91" s="46"/>
      <c r="Q91" s="46"/>
      <c r="R91" s="46"/>
      <c r="S91" s="46"/>
      <c r="T91" s="47">
        <f t="shared" si="6"/>
        <v>0</v>
      </c>
    </row>
    <row r="92" spans="1:20" ht="15.75" x14ac:dyDescent="0.25">
      <c r="A92" s="3">
        <f t="shared" si="4"/>
        <v>83</v>
      </c>
      <c r="B92" s="11" t="s">
        <v>95</v>
      </c>
      <c r="C92" s="15" t="s">
        <v>124</v>
      </c>
      <c r="D92" s="2"/>
      <c r="E92" s="19" t="s">
        <v>123</v>
      </c>
      <c r="F92" s="6" t="s">
        <v>217</v>
      </c>
      <c r="G92" s="26">
        <v>3</v>
      </c>
      <c r="H92" s="24"/>
      <c r="I92" s="24"/>
      <c r="J92" s="24"/>
      <c r="K92" s="24"/>
      <c r="L92" s="46"/>
      <c r="M92" s="46"/>
      <c r="N92" s="47">
        <f t="shared" si="5"/>
        <v>0</v>
      </c>
      <c r="O92" s="48">
        <v>1</v>
      </c>
      <c r="P92" s="46">
        <v>1</v>
      </c>
      <c r="Q92" s="46"/>
      <c r="R92" s="46"/>
      <c r="S92" s="46"/>
      <c r="T92" s="47">
        <f t="shared" si="6"/>
        <v>0</v>
      </c>
    </row>
    <row r="93" spans="1:20" ht="15.75" x14ac:dyDescent="0.25">
      <c r="A93" s="3">
        <f t="shared" si="4"/>
        <v>84</v>
      </c>
      <c r="B93" s="11" t="s">
        <v>96</v>
      </c>
      <c r="C93" s="15" t="s">
        <v>124</v>
      </c>
      <c r="D93" s="2"/>
      <c r="E93" s="22" t="s">
        <v>112</v>
      </c>
      <c r="F93" s="6" t="s">
        <v>216</v>
      </c>
      <c r="G93" s="26">
        <v>10</v>
      </c>
      <c r="H93" s="24"/>
      <c r="I93" s="24"/>
      <c r="J93" s="24"/>
      <c r="K93" s="24"/>
      <c r="L93" s="46"/>
      <c r="M93" s="46"/>
      <c r="N93" s="47">
        <f t="shared" si="5"/>
        <v>0</v>
      </c>
      <c r="O93" s="48">
        <v>3</v>
      </c>
      <c r="P93" s="46">
        <v>3</v>
      </c>
      <c r="Q93" s="46"/>
      <c r="R93" s="46"/>
      <c r="S93" s="46"/>
      <c r="T93" s="47">
        <f t="shared" si="6"/>
        <v>0</v>
      </c>
    </row>
    <row r="94" spans="1:20" ht="15.75" x14ac:dyDescent="0.25">
      <c r="A94" s="3">
        <f t="shared" si="4"/>
        <v>85</v>
      </c>
      <c r="B94" s="11" t="s">
        <v>97</v>
      </c>
      <c r="C94" s="15" t="s">
        <v>124</v>
      </c>
      <c r="D94" s="2"/>
      <c r="E94" s="17" t="s">
        <v>111</v>
      </c>
      <c r="F94" s="6" t="s">
        <v>215</v>
      </c>
      <c r="G94" s="26">
        <v>3</v>
      </c>
      <c r="H94" s="24"/>
      <c r="I94" s="24"/>
      <c r="J94" s="24"/>
      <c r="K94" s="24"/>
      <c r="L94" s="46"/>
      <c r="M94" s="46"/>
      <c r="N94" s="47">
        <f t="shared" si="5"/>
        <v>0</v>
      </c>
      <c r="O94" s="48">
        <v>12</v>
      </c>
      <c r="P94" s="46">
        <v>11</v>
      </c>
      <c r="Q94" s="46"/>
      <c r="R94" s="46"/>
      <c r="S94" s="46"/>
      <c r="T94" s="47">
        <f t="shared" si="6"/>
        <v>0</v>
      </c>
    </row>
    <row r="95" spans="1:20" ht="15.75" x14ac:dyDescent="0.25">
      <c r="A95" s="3">
        <f t="shared" si="4"/>
        <v>86</v>
      </c>
      <c r="B95" s="10" t="s">
        <v>98</v>
      </c>
      <c r="C95" s="15" t="s">
        <v>124</v>
      </c>
      <c r="D95" s="2"/>
      <c r="E95" s="19" t="s">
        <v>106</v>
      </c>
      <c r="F95" s="6" t="s">
        <v>214</v>
      </c>
      <c r="G95" s="26">
        <v>5</v>
      </c>
      <c r="H95" s="24"/>
      <c r="I95" s="24"/>
      <c r="J95" s="24"/>
      <c r="K95" s="24"/>
      <c r="L95" s="46"/>
      <c r="M95" s="46"/>
      <c r="N95" s="47">
        <f t="shared" si="5"/>
        <v>0</v>
      </c>
      <c r="O95" s="48">
        <v>1</v>
      </c>
      <c r="P95" s="46">
        <v>1</v>
      </c>
      <c r="Q95" s="46"/>
      <c r="R95" s="46"/>
      <c r="S95" s="46"/>
      <c r="T95" s="47">
        <f t="shared" si="6"/>
        <v>0</v>
      </c>
    </row>
    <row r="96" spans="1:20" ht="15.75" x14ac:dyDescent="0.25">
      <c r="A96" s="3">
        <f t="shared" si="4"/>
        <v>87</v>
      </c>
      <c r="B96" s="10" t="s">
        <v>129</v>
      </c>
      <c r="C96" s="15" t="s">
        <v>124</v>
      </c>
      <c r="D96" s="2"/>
      <c r="E96" s="19" t="s">
        <v>106</v>
      </c>
      <c r="F96" s="6" t="s">
        <v>213</v>
      </c>
      <c r="G96" s="26">
        <v>1</v>
      </c>
      <c r="H96" s="24"/>
      <c r="I96" s="24"/>
      <c r="J96" s="24"/>
      <c r="K96" s="24"/>
      <c r="L96" s="46"/>
      <c r="M96" s="46"/>
      <c r="N96" s="47">
        <f t="shared" si="5"/>
        <v>0</v>
      </c>
      <c r="O96" s="48"/>
      <c r="P96" s="46"/>
      <c r="Q96" s="46"/>
      <c r="R96" s="46"/>
      <c r="S96" s="46"/>
      <c r="T96" s="47">
        <f t="shared" si="6"/>
        <v>0</v>
      </c>
    </row>
    <row r="97" spans="1:20" ht="15.75" x14ac:dyDescent="0.25">
      <c r="A97" s="3">
        <f t="shared" si="4"/>
        <v>88</v>
      </c>
      <c r="B97" s="10" t="s">
        <v>99</v>
      </c>
      <c r="C97" s="15" t="s">
        <v>124</v>
      </c>
      <c r="D97" s="2"/>
      <c r="E97" s="19" t="s">
        <v>106</v>
      </c>
      <c r="F97" s="6" t="s">
        <v>212</v>
      </c>
      <c r="G97" s="26">
        <v>4</v>
      </c>
      <c r="H97" s="24">
        <v>1</v>
      </c>
      <c r="I97" s="24">
        <v>1</v>
      </c>
      <c r="J97" s="24">
        <v>1</v>
      </c>
      <c r="K97" s="24"/>
      <c r="L97" s="46"/>
      <c r="M97" s="46"/>
      <c r="N97" s="47">
        <f t="shared" si="5"/>
        <v>0</v>
      </c>
      <c r="O97" s="48">
        <v>2</v>
      </c>
      <c r="P97" s="46">
        <v>2</v>
      </c>
      <c r="Q97" s="46"/>
      <c r="R97" s="46"/>
      <c r="S97" s="46"/>
      <c r="T97" s="47">
        <f t="shared" si="6"/>
        <v>0</v>
      </c>
    </row>
    <row r="98" spans="1:20" ht="15.75" x14ac:dyDescent="0.25">
      <c r="A98" s="3">
        <f t="shared" si="4"/>
        <v>89</v>
      </c>
      <c r="B98" s="13" t="s">
        <v>100</v>
      </c>
      <c r="C98" s="15" t="s">
        <v>124</v>
      </c>
      <c r="D98" s="2"/>
      <c r="E98" s="19" t="s">
        <v>106</v>
      </c>
      <c r="F98" s="6" t="s">
        <v>211</v>
      </c>
      <c r="G98" s="26">
        <v>3</v>
      </c>
      <c r="H98" s="24"/>
      <c r="I98" s="24"/>
      <c r="J98" s="24"/>
      <c r="K98" s="24"/>
      <c r="L98" s="46"/>
      <c r="M98" s="46"/>
      <c r="N98" s="47">
        <f t="shared" si="5"/>
        <v>0</v>
      </c>
      <c r="O98" s="48">
        <v>4</v>
      </c>
      <c r="P98" s="46">
        <v>3</v>
      </c>
      <c r="Q98" s="46"/>
      <c r="R98" s="46"/>
      <c r="S98" s="46"/>
      <c r="T98" s="47">
        <f t="shared" si="6"/>
        <v>0</v>
      </c>
    </row>
    <row r="99" spans="1:20" ht="14.25" customHeight="1" x14ac:dyDescent="0.25">
      <c r="A99" s="3">
        <f t="shared" si="4"/>
        <v>90</v>
      </c>
      <c r="B99" s="13" t="s">
        <v>101</v>
      </c>
      <c r="C99" s="15" t="s">
        <v>124</v>
      </c>
      <c r="D99" s="2"/>
      <c r="E99" s="17" t="s">
        <v>106</v>
      </c>
      <c r="F99" s="6" t="s">
        <v>210</v>
      </c>
      <c r="G99" s="26">
        <v>1</v>
      </c>
      <c r="H99" s="24"/>
      <c r="I99" s="24"/>
      <c r="J99" s="24"/>
      <c r="K99" s="24"/>
      <c r="L99" s="46"/>
      <c r="M99" s="46"/>
      <c r="N99" s="47">
        <f t="shared" si="5"/>
        <v>0</v>
      </c>
      <c r="O99" s="48">
        <v>3</v>
      </c>
      <c r="P99" s="46">
        <v>3</v>
      </c>
      <c r="Q99" s="46"/>
      <c r="R99" s="46"/>
      <c r="S99" s="46"/>
      <c r="T99" s="47">
        <f t="shared" si="6"/>
        <v>0</v>
      </c>
    </row>
    <row r="100" spans="1:20" ht="15.75" x14ac:dyDescent="0.25">
      <c r="A100" s="3">
        <f t="shared" si="4"/>
        <v>91</v>
      </c>
      <c r="B100" s="13" t="s">
        <v>102</v>
      </c>
      <c r="C100" s="15" t="s">
        <v>124</v>
      </c>
      <c r="D100" s="2"/>
      <c r="E100" s="17" t="s">
        <v>106</v>
      </c>
      <c r="F100" s="6" t="s">
        <v>209</v>
      </c>
      <c r="G100" s="26">
        <v>6</v>
      </c>
      <c r="H100" s="24">
        <v>1</v>
      </c>
      <c r="I100" s="24">
        <v>1</v>
      </c>
      <c r="J100" s="24">
        <v>1</v>
      </c>
      <c r="K100" s="24"/>
      <c r="L100" s="46"/>
      <c r="M100" s="46"/>
      <c r="N100" s="47">
        <f t="shared" si="5"/>
        <v>0</v>
      </c>
      <c r="O100" s="48">
        <v>5</v>
      </c>
      <c r="P100" s="46">
        <v>5</v>
      </c>
      <c r="Q100" s="46"/>
      <c r="R100" s="46"/>
      <c r="S100" s="46"/>
      <c r="T100" s="47">
        <f t="shared" si="6"/>
        <v>0</v>
      </c>
    </row>
    <row r="101" spans="1:20" ht="15.75" x14ac:dyDescent="0.25">
      <c r="A101" s="3">
        <f t="shared" si="4"/>
        <v>92</v>
      </c>
      <c r="B101" s="11" t="s">
        <v>103</v>
      </c>
      <c r="C101" s="15" t="s">
        <v>124</v>
      </c>
      <c r="D101" s="2"/>
      <c r="E101" s="22" t="s">
        <v>112</v>
      </c>
      <c r="F101" s="6" t="s">
        <v>208</v>
      </c>
      <c r="G101" s="26">
        <v>10</v>
      </c>
      <c r="H101" s="24"/>
      <c r="I101" s="24"/>
      <c r="J101" s="24"/>
      <c r="K101" s="24"/>
      <c r="L101" s="46"/>
      <c r="M101" s="46"/>
      <c r="N101" s="47">
        <f t="shared" si="5"/>
        <v>0</v>
      </c>
      <c r="O101" s="48">
        <v>9</v>
      </c>
      <c r="P101" s="46">
        <v>5</v>
      </c>
      <c r="Q101" s="46"/>
      <c r="R101" s="46"/>
      <c r="S101" s="46"/>
      <c r="T101" s="47">
        <f t="shared" si="6"/>
        <v>0</v>
      </c>
    </row>
    <row r="102" spans="1:20" ht="16.5" thickBot="1" x14ac:dyDescent="0.3">
      <c r="A102" s="3">
        <f t="shared" si="4"/>
        <v>93</v>
      </c>
      <c r="B102" s="30" t="s">
        <v>104</v>
      </c>
      <c r="C102" s="31" t="s">
        <v>124</v>
      </c>
      <c r="D102" s="32"/>
      <c r="E102" s="33" t="s">
        <v>106</v>
      </c>
      <c r="F102" s="6" t="s">
        <v>207</v>
      </c>
      <c r="G102" s="35">
        <v>2</v>
      </c>
      <c r="H102" s="36"/>
      <c r="I102" s="36"/>
      <c r="J102" s="36"/>
      <c r="K102" s="36"/>
      <c r="L102" s="50"/>
      <c r="M102" s="50"/>
      <c r="N102" s="47">
        <f t="shared" si="5"/>
        <v>0</v>
      </c>
      <c r="O102" s="52"/>
      <c r="P102" s="50"/>
      <c r="Q102" s="50"/>
      <c r="R102" s="50"/>
      <c r="S102" s="50"/>
      <c r="T102" s="51">
        <f t="shared" si="6"/>
        <v>0</v>
      </c>
    </row>
    <row r="103" spans="1:20" x14ac:dyDescent="0.25">
      <c r="A103" s="294"/>
      <c r="B103" s="294"/>
      <c r="C103" s="294"/>
      <c r="D103" s="294"/>
      <c r="E103" s="294"/>
      <c r="F103" s="294"/>
      <c r="G103" s="27">
        <f t="shared" ref="G103:N103" si="7">SUM(G10:G102)</f>
        <v>298</v>
      </c>
      <c r="H103" s="27">
        <f t="shared" si="7"/>
        <v>55</v>
      </c>
      <c r="I103" s="27">
        <f t="shared" si="7"/>
        <v>63</v>
      </c>
      <c r="J103" s="27">
        <f t="shared" si="7"/>
        <v>42</v>
      </c>
      <c r="K103" s="27">
        <f t="shared" si="7"/>
        <v>9</v>
      </c>
      <c r="L103" s="53">
        <f t="shared" si="7"/>
        <v>7792.76</v>
      </c>
      <c r="M103" s="53">
        <f t="shared" si="7"/>
        <v>3247.5499999999997</v>
      </c>
      <c r="N103" s="53">
        <f t="shared" si="7"/>
        <v>4545.21</v>
      </c>
      <c r="O103" s="53">
        <f>SUM(O10:O102)</f>
        <v>286</v>
      </c>
      <c r="P103" s="53">
        <f>SUM(P10:P102)</f>
        <v>248</v>
      </c>
      <c r="Q103" s="53">
        <f>SUM(Q11:Q102)</f>
        <v>75</v>
      </c>
      <c r="R103" s="53">
        <f>SUM(R11:R102)</f>
        <v>93883.999999999985</v>
      </c>
      <c r="S103" s="53">
        <f>SUM(S11:S102)</f>
        <v>31897.260000000002</v>
      </c>
      <c r="T103" s="54">
        <f>SUM(T10:T102)</f>
        <v>65339.55</v>
      </c>
    </row>
  </sheetData>
  <mergeCells count="8">
    <mergeCell ref="A103:F103"/>
    <mergeCell ref="A1:Q1"/>
    <mergeCell ref="R1:T1"/>
    <mergeCell ref="A2:T6"/>
    <mergeCell ref="A7:A8"/>
    <mergeCell ref="B7:F7"/>
    <mergeCell ref="G7:N7"/>
    <mergeCell ref="O7:T7"/>
  </mergeCells>
  <phoneticPr fontId="0" type="noConversion"/>
  <conditionalFormatting sqref="R46:S46">
    <cfRule type="cellIs" dxfId="445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3"/>
  <sheetViews>
    <sheetView topLeftCell="A64" workbookViewId="0">
      <selection activeCell="C74" sqref="A74:IV74"/>
    </sheetView>
  </sheetViews>
  <sheetFormatPr defaultRowHeight="15" x14ac:dyDescent="0.25"/>
  <cols>
    <col min="2" max="2" width="40.7109375" customWidth="1"/>
    <col min="3" max="3" width="10.140625" customWidth="1"/>
    <col min="4" max="4" width="12.28515625" customWidth="1"/>
    <col min="5" max="5" width="20.5703125" customWidth="1"/>
    <col min="6" max="6" width="21.140625" customWidth="1"/>
    <col min="7" max="7" width="12.140625" customWidth="1"/>
    <col min="8" max="8" width="12.85546875" customWidth="1"/>
    <col min="9" max="9" width="11" customWidth="1"/>
    <col min="10" max="10" width="12.140625" customWidth="1"/>
    <col min="11" max="11" width="14.85546875" customWidth="1"/>
    <col min="12" max="12" width="10.7109375" style="55" customWidth="1"/>
    <col min="13" max="13" width="11.42578125" customWidth="1"/>
    <col min="14" max="14" width="11.140625" customWidth="1"/>
    <col min="15" max="15" width="13.28515625" customWidth="1"/>
    <col min="16" max="16" width="13" customWidth="1"/>
    <col min="17" max="17" width="12.85546875" customWidth="1"/>
    <col min="18" max="18" width="12" style="55" customWidth="1"/>
    <col min="19" max="19" width="12.5703125" customWidth="1"/>
  </cols>
  <sheetData>
    <row r="1" spans="1:20" ht="15.75" thickBot="1" x14ac:dyDescent="0.3">
      <c r="A1" s="310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2"/>
      <c r="R1" s="313" t="s">
        <v>17</v>
      </c>
      <c r="S1" s="313"/>
      <c r="T1" s="313"/>
    </row>
    <row r="2" spans="1:20" x14ac:dyDescent="0.25">
      <c r="A2" s="295" t="s">
        <v>233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7"/>
    </row>
    <row r="3" spans="1:20" x14ac:dyDescent="0.25">
      <c r="A3" s="298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300"/>
    </row>
    <row r="4" spans="1:20" ht="34.5" customHeight="1" x14ac:dyDescent="0.25">
      <c r="A4" s="298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300"/>
    </row>
    <row r="5" spans="1:20" x14ac:dyDescent="0.25">
      <c r="A5" s="298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300"/>
    </row>
    <row r="6" spans="1:20" ht="15.75" thickBot="1" x14ac:dyDescent="0.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3"/>
    </row>
    <row r="7" spans="1:20" ht="58.5" customHeight="1" thickBot="1" x14ac:dyDescent="0.3">
      <c r="A7" s="305" t="s">
        <v>0</v>
      </c>
      <c r="B7" s="307" t="s">
        <v>1</v>
      </c>
      <c r="C7" s="308"/>
      <c r="D7" s="308"/>
      <c r="E7" s="308"/>
      <c r="F7" s="309"/>
      <c r="G7" s="307" t="s">
        <v>2</v>
      </c>
      <c r="H7" s="308"/>
      <c r="I7" s="308"/>
      <c r="J7" s="308"/>
      <c r="K7" s="308"/>
      <c r="L7" s="308"/>
      <c r="M7" s="308"/>
      <c r="N7" s="309"/>
      <c r="O7" s="314" t="s">
        <v>234</v>
      </c>
      <c r="P7" s="315"/>
      <c r="Q7" s="315"/>
      <c r="R7" s="315"/>
      <c r="S7" s="315"/>
      <c r="T7" s="316"/>
    </row>
    <row r="8" spans="1:20" ht="185.25" customHeight="1" x14ac:dyDescent="0.25">
      <c r="A8" s="306"/>
      <c r="B8" s="8" t="s">
        <v>4</v>
      </c>
      <c r="C8" s="8" t="s">
        <v>5</v>
      </c>
      <c r="D8" s="8" t="s">
        <v>6</v>
      </c>
      <c r="E8" s="8" t="s">
        <v>7</v>
      </c>
      <c r="F8" s="9" t="s">
        <v>8</v>
      </c>
      <c r="G8" s="7" t="s">
        <v>9</v>
      </c>
      <c r="H8" s="8" t="s">
        <v>10</v>
      </c>
      <c r="I8" s="8" t="s">
        <v>11</v>
      </c>
      <c r="J8" s="8" t="s">
        <v>12</v>
      </c>
      <c r="K8" s="8" t="s">
        <v>13</v>
      </c>
      <c r="L8" s="40" t="s">
        <v>14</v>
      </c>
      <c r="M8" s="40" t="s">
        <v>15</v>
      </c>
      <c r="N8" s="41" t="s">
        <v>16</v>
      </c>
      <c r="O8" s="42" t="s">
        <v>11</v>
      </c>
      <c r="P8" s="40" t="s">
        <v>12</v>
      </c>
      <c r="Q8" s="40" t="s">
        <v>13</v>
      </c>
      <c r="R8" s="40" t="s">
        <v>14</v>
      </c>
      <c r="S8" s="40" t="s">
        <v>15</v>
      </c>
      <c r="T8" s="41" t="s">
        <v>16</v>
      </c>
    </row>
    <row r="9" spans="1:20" x14ac:dyDescent="0.25">
      <c r="A9" s="4">
        <v>1</v>
      </c>
      <c r="B9" s="1">
        <v>2</v>
      </c>
      <c r="C9" s="1">
        <v>3</v>
      </c>
      <c r="D9" s="1">
        <v>4</v>
      </c>
      <c r="E9" s="1">
        <v>5</v>
      </c>
      <c r="F9" s="5">
        <v>6</v>
      </c>
      <c r="G9" s="4">
        <f>F9+1</f>
        <v>7</v>
      </c>
      <c r="H9" s="1">
        <f t="shared" ref="H9:T9" si="0">G9+1</f>
        <v>8</v>
      </c>
      <c r="I9" s="1">
        <f t="shared" si="0"/>
        <v>9</v>
      </c>
      <c r="J9" s="1">
        <f t="shared" si="0"/>
        <v>10</v>
      </c>
      <c r="K9" s="1">
        <f t="shared" si="0"/>
        <v>11</v>
      </c>
      <c r="L9" s="43">
        <f t="shared" si="0"/>
        <v>12</v>
      </c>
      <c r="M9" s="43">
        <f t="shared" si="0"/>
        <v>13</v>
      </c>
      <c r="N9" s="44">
        <f t="shared" si="0"/>
        <v>14</v>
      </c>
      <c r="O9" s="45">
        <f t="shared" si="0"/>
        <v>15</v>
      </c>
      <c r="P9" s="43">
        <f t="shared" si="0"/>
        <v>16</v>
      </c>
      <c r="Q9" s="43">
        <f t="shared" si="0"/>
        <v>17</v>
      </c>
      <c r="R9" s="43">
        <f t="shared" si="0"/>
        <v>18</v>
      </c>
      <c r="S9" s="43">
        <f t="shared" si="0"/>
        <v>19</v>
      </c>
      <c r="T9" s="44">
        <f t="shared" si="0"/>
        <v>20</v>
      </c>
    </row>
    <row r="10" spans="1:20" ht="15.75" x14ac:dyDescent="0.25">
      <c r="A10" s="3">
        <v>1</v>
      </c>
      <c r="B10" s="10" t="s">
        <v>18</v>
      </c>
      <c r="C10" s="15" t="s">
        <v>124</v>
      </c>
      <c r="D10" s="2"/>
      <c r="E10" s="16" t="s">
        <v>105</v>
      </c>
      <c r="F10" s="6" t="s">
        <v>138</v>
      </c>
      <c r="G10" s="26">
        <v>9</v>
      </c>
      <c r="H10" s="24">
        <v>3</v>
      </c>
      <c r="I10" s="24">
        <v>3</v>
      </c>
      <c r="J10" s="24">
        <v>3</v>
      </c>
      <c r="K10" s="24">
        <v>3</v>
      </c>
      <c r="L10" s="46">
        <v>1033.5</v>
      </c>
      <c r="M10" s="46"/>
      <c r="N10" s="47">
        <f xml:space="preserve"> (L10-M10)</f>
        <v>1033.5</v>
      </c>
      <c r="O10" s="48">
        <v>2</v>
      </c>
      <c r="P10" s="46">
        <v>2</v>
      </c>
      <c r="Q10" s="46">
        <v>2</v>
      </c>
      <c r="R10" s="46">
        <v>3352.81</v>
      </c>
      <c r="S10" s="46"/>
      <c r="T10" s="47">
        <f xml:space="preserve"> (R10-S10)</f>
        <v>3352.81</v>
      </c>
    </row>
    <row r="11" spans="1:20" ht="15.75" x14ac:dyDescent="0.25">
      <c r="A11" s="3">
        <f>A10+1</f>
        <v>2</v>
      </c>
      <c r="B11" s="10" t="s">
        <v>19</v>
      </c>
      <c r="C11" s="15" t="s">
        <v>124</v>
      </c>
      <c r="D11" s="2"/>
      <c r="E11" s="17" t="s">
        <v>106</v>
      </c>
      <c r="F11" s="6" t="s">
        <v>139</v>
      </c>
      <c r="G11" s="26">
        <v>1</v>
      </c>
      <c r="H11" s="24"/>
      <c r="I11" s="24"/>
      <c r="J11" s="24"/>
      <c r="K11" s="24"/>
      <c r="L11" s="46"/>
      <c r="M11" s="46"/>
      <c r="N11" s="47">
        <f t="shared" ref="N11:N79" si="1" xml:space="preserve"> (L11-M11)</f>
        <v>0</v>
      </c>
      <c r="O11" s="48">
        <v>1</v>
      </c>
      <c r="P11" s="46">
        <v>1</v>
      </c>
      <c r="Q11" s="46">
        <v>1</v>
      </c>
      <c r="R11" s="46">
        <v>234.23</v>
      </c>
      <c r="S11" s="46"/>
      <c r="T11" s="47">
        <f t="shared" ref="T11:T79" si="2" xml:space="preserve"> (R11-S11)</f>
        <v>234.23</v>
      </c>
    </row>
    <row r="12" spans="1:20" ht="15.75" x14ac:dyDescent="0.25">
      <c r="A12" s="3">
        <f t="shared" ref="A12:A75" si="3">A11+1</f>
        <v>3</v>
      </c>
      <c r="B12" s="11" t="s">
        <v>20</v>
      </c>
      <c r="C12" s="15" t="s">
        <v>124</v>
      </c>
      <c r="D12" s="2"/>
      <c r="E12" s="17" t="s">
        <v>107</v>
      </c>
      <c r="F12" s="6" t="s">
        <v>223</v>
      </c>
      <c r="G12" s="26"/>
      <c r="H12" s="24"/>
      <c r="I12" s="24"/>
      <c r="J12" s="24"/>
      <c r="K12" s="24"/>
      <c r="L12" s="46"/>
      <c r="M12" s="46"/>
      <c r="N12" s="47">
        <f t="shared" si="1"/>
        <v>0</v>
      </c>
      <c r="O12" s="48">
        <v>2</v>
      </c>
      <c r="P12" s="46"/>
      <c r="Q12" s="46"/>
      <c r="R12" s="46"/>
      <c r="S12" s="46"/>
      <c r="T12" s="47">
        <f t="shared" si="2"/>
        <v>0</v>
      </c>
    </row>
    <row r="13" spans="1:20" ht="15.75" x14ac:dyDescent="0.25">
      <c r="A13" s="3">
        <f t="shared" si="3"/>
        <v>4</v>
      </c>
      <c r="B13" s="11" t="s">
        <v>21</v>
      </c>
      <c r="C13" s="15" t="s">
        <v>124</v>
      </c>
      <c r="D13" s="2"/>
      <c r="E13" s="17" t="s">
        <v>108</v>
      </c>
      <c r="F13" s="6" t="s">
        <v>140</v>
      </c>
      <c r="G13" s="26">
        <v>2</v>
      </c>
      <c r="H13" s="24">
        <v>1</v>
      </c>
      <c r="I13" s="24">
        <v>1</v>
      </c>
      <c r="J13" s="24">
        <v>1</v>
      </c>
      <c r="K13" s="24"/>
      <c r="L13" s="46"/>
      <c r="M13" s="46"/>
      <c r="N13" s="47">
        <f t="shared" si="1"/>
        <v>0</v>
      </c>
      <c r="O13" s="48">
        <v>3</v>
      </c>
      <c r="P13" s="46">
        <v>3</v>
      </c>
      <c r="Q13" s="46"/>
      <c r="R13" s="46"/>
      <c r="S13" s="46"/>
      <c r="T13" s="47">
        <f t="shared" si="2"/>
        <v>0</v>
      </c>
    </row>
    <row r="14" spans="1:20" ht="15.75" x14ac:dyDescent="0.25">
      <c r="A14" s="3">
        <f t="shared" si="3"/>
        <v>5</v>
      </c>
      <c r="B14" s="10" t="s">
        <v>22</v>
      </c>
      <c r="C14" s="15" t="s">
        <v>124</v>
      </c>
      <c r="D14" s="2"/>
      <c r="E14" s="17" t="s">
        <v>106</v>
      </c>
      <c r="F14" s="6" t="s">
        <v>141</v>
      </c>
      <c r="G14" s="26">
        <v>4</v>
      </c>
      <c r="H14" s="24">
        <v>2</v>
      </c>
      <c r="I14" s="24">
        <v>2</v>
      </c>
      <c r="J14" s="24">
        <v>1</v>
      </c>
      <c r="K14" s="24"/>
      <c r="L14" s="46"/>
      <c r="M14" s="46"/>
      <c r="N14" s="47">
        <f t="shared" si="1"/>
        <v>0</v>
      </c>
      <c r="O14" s="48">
        <v>3</v>
      </c>
      <c r="P14" s="46">
        <v>3</v>
      </c>
      <c r="Q14" s="46"/>
      <c r="R14" s="46"/>
      <c r="S14" s="46"/>
      <c r="T14" s="47">
        <f t="shared" si="2"/>
        <v>0</v>
      </c>
    </row>
    <row r="15" spans="1:20" ht="15.75" x14ac:dyDescent="0.25">
      <c r="A15" s="3">
        <f t="shared" si="3"/>
        <v>6</v>
      </c>
      <c r="B15" s="10" t="s">
        <v>23</v>
      </c>
      <c r="C15" s="15" t="s">
        <v>124</v>
      </c>
      <c r="D15" s="2"/>
      <c r="E15" s="17" t="s">
        <v>106</v>
      </c>
      <c r="F15" s="6" t="s">
        <v>142</v>
      </c>
      <c r="G15" s="26">
        <v>6</v>
      </c>
      <c r="H15" s="24">
        <v>2</v>
      </c>
      <c r="I15" s="24">
        <v>2</v>
      </c>
      <c r="J15" s="24">
        <v>2</v>
      </c>
      <c r="K15" s="24"/>
      <c r="L15" s="46"/>
      <c r="M15" s="46"/>
      <c r="N15" s="47">
        <f t="shared" si="1"/>
        <v>0</v>
      </c>
      <c r="O15" s="48">
        <v>6</v>
      </c>
      <c r="P15" s="46">
        <v>5</v>
      </c>
      <c r="Q15" s="46">
        <v>5</v>
      </c>
      <c r="R15" s="46">
        <v>4569.41</v>
      </c>
      <c r="S15" s="46"/>
      <c r="T15" s="47">
        <f t="shared" si="2"/>
        <v>4569.41</v>
      </c>
    </row>
    <row r="16" spans="1:20" ht="15.75" x14ac:dyDescent="0.25">
      <c r="A16" s="3">
        <f t="shared" si="3"/>
        <v>7</v>
      </c>
      <c r="B16" s="10" t="s">
        <v>133</v>
      </c>
      <c r="C16" s="15" t="s">
        <v>124</v>
      </c>
      <c r="D16" s="2"/>
      <c r="E16" s="17" t="s">
        <v>106</v>
      </c>
      <c r="F16" s="6" t="s">
        <v>143</v>
      </c>
      <c r="G16" s="26"/>
      <c r="H16" s="24"/>
      <c r="I16" s="24"/>
      <c r="J16" s="24"/>
      <c r="K16" s="24"/>
      <c r="L16" s="46"/>
      <c r="M16" s="46"/>
      <c r="N16" s="47">
        <f t="shared" si="1"/>
        <v>0</v>
      </c>
      <c r="O16" s="48"/>
      <c r="P16" s="46"/>
      <c r="Q16" s="46"/>
      <c r="R16" s="46"/>
      <c r="S16" s="46"/>
      <c r="T16" s="47">
        <f t="shared" si="2"/>
        <v>0</v>
      </c>
    </row>
    <row r="17" spans="1:20" ht="15.75" x14ac:dyDescent="0.25">
      <c r="A17" s="3">
        <f t="shared" si="3"/>
        <v>8</v>
      </c>
      <c r="B17" s="10" t="s">
        <v>24</v>
      </c>
      <c r="C17" s="15" t="s">
        <v>124</v>
      </c>
      <c r="D17" s="2"/>
      <c r="E17" s="17" t="s">
        <v>109</v>
      </c>
      <c r="F17" s="6" t="s">
        <v>144</v>
      </c>
      <c r="G17" s="26">
        <v>4</v>
      </c>
      <c r="H17" s="24"/>
      <c r="I17" s="24"/>
      <c r="J17" s="24"/>
      <c r="K17" s="24"/>
      <c r="L17" s="46"/>
      <c r="M17" s="46"/>
      <c r="N17" s="47">
        <f t="shared" si="1"/>
        <v>0</v>
      </c>
      <c r="O17" s="48"/>
      <c r="P17" s="46"/>
      <c r="Q17" s="46"/>
      <c r="R17" s="46"/>
      <c r="S17" s="46"/>
      <c r="T17" s="47">
        <f t="shared" si="2"/>
        <v>0</v>
      </c>
    </row>
    <row r="18" spans="1:20" ht="15.75" x14ac:dyDescent="0.25">
      <c r="A18" s="3">
        <f t="shared" si="3"/>
        <v>9</v>
      </c>
      <c r="B18" s="10" t="s">
        <v>25</v>
      </c>
      <c r="C18" s="15" t="s">
        <v>124</v>
      </c>
      <c r="D18" s="2"/>
      <c r="E18" s="18" t="s">
        <v>110</v>
      </c>
      <c r="F18" s="6" t="s">
        <v>145</v>
      </c>
      <c r="G18" s="26">
        <v>1</v>
      </c>
      <c r="H18" s="24"/>
      <c r="I18" s="24"/>
      <c r="J18" s="24"/>
      <c r="K18" s="24"/>
      <c r="L18" s="46"/>
      <c r="M18" s="46"/>
      <c r="N18" s="47">
        <f t="shared" si="1"/>
        <v>0</v>
      </c>
      <c r="O18" s="48">
        <v>1</v>
      </c>
      <c r="P18" s="46">
        <v>1</v>
      </c>
      <c r="Q18" s="46"/>
      <c r="R18" s="46"/>
      <c r="S18" s="46"/>
      <c r="T18" s="47">
        <f t="shared" si="2"/>
        <v>0</v>
      </c>
    </row>
    <row r="19" spans="1:20" ht="15.75" x14ac:dyDescent="0.25">
      <c r="A19" s="3">
        <f t="shared" si="3"/>
        <v>10</v>
      </c>
      <c r="B19" s="12" t="s">
        <v>26</v>
      </c>
      <c r="C19" s="15" t="s">
        <v>124</v>
      </c>
      <c r="D19" s="2"/>
      <c r="E19" s="19" t="s">
        <v>107</v>
      </c>
      <c r="F19" s="6" t="s">
        <v>146</v>
      </c>
      <c r="G19" s="26">
        <v>9</v>
      </c>
      <c r="H19" s="24">
        <v>3</v>
      </c>
      <c r="I19" s="24">
        <v>4</v>
      </c>
      <c r="J19" s="24">
        <v>4</v>
      </c>
      <c r="K19" s="24">
        <v>1</v>
      </c>
      <c r="L19" s="46">
        <v>749.29</v>
      </c>
      <c r="M19" s="46"/>
      <c r="N19" s="47">
        <f t="shared" si="1"/>
        <v>749.29</v>
      </c>
      <c r="O19" s="48">
        <v>9</v>
      </c>
      <c r="P19" s="46">
        <v>8</v>
      </c>
      <c r="Q19" s="46">
        <v>4</v>
      </c>
      <c r="R19" s="46">
        <v>9246.57</v>
      </c>
      <c r="S19" s="46"/>
      <c r="T19" s="47">
        <f t="shared" si="2"/>
        <v>9246.57</v>
      </c>
    </row>
    <row r="20" spans="1:20" ht="15.75" x14ac:dyDescent="0.25">
      <c r="A20" s="3">
        <f t="shared" si="3"/>
        <v>11</v>
      </c>
      <c r="B20" s="11" t="s">
        <v>27</v>
      </c>
      <c r="C20" s="15" t="s">
        <v>124</v>
      </c>
      <c r="D20" s="2"/>
      <c r="E20" s="17" t="s">
        <v>111</v>
      </c>
      <c r="F20" s="6" t="s">
        <v>147</v>
      </c>
      <c r="G20" s="26">
        <v>6</v>
      </c>
      <c r="H20" s="24"/>
      <c r="I20" s="24"/>
      <c r="J20" s="24"/>
      <c r="K20" s="24"/>
      <c r="L20" s="46"/>
      <c r="M20" s="46"/>
      <c r="N20" s="47">
        <f t="shared" si="1"/>
        <v>0</v>
      </c>
      <c r="O20" s="48">
        <v>13</v>
      </c>
      <c r="P20" s="46">
        <v>10</v>
      </c>
      <c r="Q20" s="46">
        <v>8</v>
      </c>
      <c r="R20" s="46">
        <v>7325.68</v>
      </c>
      <c r="S20" s="46"/>
      <c r="T20" s="47">
        <f t="shared" si="2"/>
        <v>7325.68</v>
      </c>
    </row>
    <row r="21" spans="1:20" ht="15.75" x14ac:dyDescent="0.25">
      <c r="A21" s="3">
        <f t="shared" si="3"/>
        <v>12</v>
      </c>
      <c r="B21" s="10" t="s">
        <v>28</v>
      </c>
      <c r="C21" s="15" t="s">
        <v>124</v>
      </c>
      <c r="D21" s="2"/>
      <c r="E21" s="17" t="s">
        <v>106</v>
      </c>
      <c r="F21" s="6" t="s">
        <v>148</v>
      </c>
      <c r="G21" s="26">
        <v>2</v>
      </c>
      <c r="H21" s="24"/>
      <c r="I21" s="24"/>
      <c r="J21" s="24"/>
      <c r="K21" s="24"/>
      <c r="L21" s="46"/>
      <c r="M21" s="46"/>
      <c r="N21" s="47">
        <f t="shared" si="1"/>
        <v>0</v>
      </c>
      <c r="O21" s="48">
        <v>2</v>
      </c>
      <c r="P21" s="46">
        <v>2</v>
      </c>
      <c r="Q21" s="46"/>
      <c r="R21" s="46"/>
      <c r="S21" s="46"/>
      <c r="T21" s="47">
        <f t="shared" si="2"/>
        <v>0</v>
      </c>
    </row>
    <row r="22" spans="1:20" ht="15.75" x14ac:dyDescent="0.25">
      <c r="A22" s="3">
        <f t="shared" si="3"/>
        <v>13</v>
      </c>
      <c r="B22" s="10" t="s">
        <v>29</v>
      </c>
      <c r="C22" s="15" t="s">
        <v>124</v>
      </c>
      <c r="D22" s="2"/>
      <c r="E22" s="20" t="s">
        <v>112</v>
      </c>
      <c r="F22" s="6" t="s">
        <v>149</v>
      </c>
      <c r="G22" s="26">
        <v>11</v>
      </c>
      <c r="H22" s="24">
        <v>1</v>
      </c>
      <c r="I22" s="24">
        <v>1</v>
      </c>
      <c r="J22" s="24">
        <v>1</v>
      </c>
      <c r="K22" s="24">
        <v>1</v>
      </c>
      <c r="L22" s="46">
        <v>910.39</v>
      </c>
      <c r="M22" s="46"/>
      <c r="N22" s="47">
        <f t="shared" si="1"/>
        <v>910.39</v>
      </c>
      <c r="O22" s="48">
        <v>13</v>
      </c>
      <c r="P22" s="46">
        <v>13</v>
      </c>
      <c r="Q22" s="46">
        <v>12</v>
      </c>
      <c r="R22" s="46">
        <v>14006.59</v>
      </c>
      <c r="S22" s="46"/>
      <c r="T22" s="47">
        <f t="shared" si="2"/>
        <v>14006.59</v>
      </c>
    </row>
    <row r="23" spans="1:20" ht="15.75" x14ac:dyDescent="0.25">
      <c r="A23" s="3">
        <f t="shared" si="3"/>
        <v>14</v>
      </c>
      <c r="B23" s="12" t="s">
        <v>30</v>
      </c>
      <c r="C23" s="15" t="s">
        <v>124</v>
      </c>
      <c r="D23" s="2"/>
      <c r="E23" s="19" t="s">
        <v>111</v>
      </c>
      <c r="F23" s="6" t="s">
        <v>150</v>
      </c>
      <c r="G23" s="26">
        <v>4</v>
      </c>
      <c r="H23" s="24">
        <v>2</v>
      </c>
      <c r="I23" s="24">
        <v>2</v>
      </c>
      <c r="J23" s="24">
        <v>1</v>
      </c>
      <c r="K23" s="24">
        <v>1</v>
      </c>
      <c r="L23" s="46">
        <v>1852.06</v>
      </c>
      <c r="M23" s="46"/>
      <c r="N23" s="47">
        <f t="shared" si="1"/>
        <v>1852.06</v>
      </c>
      <c r="O23" s="48">
        <v>9</v>
      </c>
      <c r="P23" s="46">
        <v>5</v>
      </c>
      <c r="Q23" s="46">
        <v>5</v>
      </c>
      <c r="R23" s="46">
        <v>13330.21</v>
      </c>
      <c r="S23" s="46"/>
      <c r="T23" s="47">
        <f t="shared" si="2"/>
        <v>13330.21</v>
      </c>
    </row>
    <row r="24" spans="1:20" ht="15.75" x14ac:dyDescent="0.25">
      <c r="A24" s="3">
        <f t="shared" si="3"/>
        <v>15</v>
      </c>
      <c r="B24" s="10" t="s">
        <v>31</v>
      </c>
      <c r="C24" s="15" t="s">
        <v>124</v>
      </c>
      <c r="D24" s="2"/>
      <c r="E24" s="21" t="s">
        <v>107</v>
      </c>
      <c r="F24" s="6" t="s">
        <v>151</v>
      </c>
      <c r="G24" s="26">
        <v>6</v>
      </c>
      <c r="H24" s="24"/>
      <c r="I24" s="24"/>
      <c r="J24" s="24"/>
      <c r="K24" s="24"/>
      <c r="L24" s="46"/>
      <c r="M24" s="46"/>
      <c r="N24" s="47">
        <f t="shared" si="1"/>
        <v>0</v>
      </c>
      <c r="O24" s="48">
        <v>5</v>
      </c>
      <c r="P24" s="46">
        <v>5</v>
      </c>
      <c r="Q24" s="46"/>
      <c r="R24" s="46"/>
      <c r="S24" s="46"/>
      <c r="T24" s="47">
        <f t="shared" si="2"/>
        <v>0</v>
      </c>
    </row>
    <row r="25" spans="1:20" ht="15.75" x14ac:dyDescent="0.25">
      <c r="A25" s="3">
        <f t="shared" si="3"/>
        <v>16</v>
      </c>
      <c r="B25" s="13" t="s">
        <v>32</v>
      </c>
      <c r="C25" s="15" t="s">
        <v>124</v>
      </c>
      <c r="D25" s="2"/>
      <c r="E25" s="17" t="s">
        <v>106</v>
      </c>
      <c r="F25" s="6" t="s">
        <v>152</v>
      </c>
      <c r="G25" s="26">
        <v>6</v>
      </c>
      <c r="H25" s="24">
        <v>2</v>
      </c>
      <c r="I25" s="24">
        <v>2</v>
      </c>
      <c r="J25" s="24">
        <v>2</v>
      </c>
      <c r="K25" s="24">
        <v>2</v>
      </c>
      <c r="L25" s="46">
        <v>2255.39</v>
      </c>
      <c r="M25" s="46">
        <v>2255.39</v>
      </c>
      <c r="N25" s="47">
        <f t="shared" si="1"/>
        <v>0</v>
      </c>
      <c r="O25" s="48">
        <v>15</v>
      </c>
      <c r="P25" s="46">
        <v>15</v>
      </c>
      <c r="Q25" s="46">
        <v>8</v>
      </c>
      <c r="R25" s="46">
        <v>14484.31</v>
      </c>
      <c r="S25" s="46">
        <v>14484.31</v>
      </c>
      <c r="T25" s="47">
        <f t="shared" si="2"/>
        <v>0</v>
      </c>
    </row>
    <row r="26" spans="1:20" ht="15.75" x14ac:dyDescent="0.25">
      <c r="A26" s="3">
        <f t="shared" si="3"/>
        <v>17</v>
      </c>
      <c r="B26" s="10" t="s">
        <v>33</v>
      </c>
      <c r="C26" s="15" t="s">
        <v>124</v>
      </c>
      <c r="D26" s="2"/>
      <c r="E26" s="17" t="s">
        <v>106</v>
      </c>
      <c r="F26" s="6" t="s">
        <v>153</v>
      </c>
      <c r="G26" s="26">
        <v>4</v>
      </c>
      <c r="H26" s="24"/>
      <c r="I26" s="24"/>
      <c r="J26" s="24"/>
      <c r="K26" s="24"/>
      <c r="L26" s="46"/>
      <c r="M26" s="46"/>
      <c r="N26" s="47">
        <f t="shared" si="1"/>
        <v>0</v>
      </c>
      <c r="O26" s="48"/>
      <c r="P26" s="46"/>
      <c r="Q26" s="46"/>
      <c r="R26" s="46"/>
      <c r="S26" s="46"/>
      <c r="T26" s="47">
        <f t="shared" si="2"/>
        <v>0</v>
      </c>
    </row>
    <row r="27" spans="1:20" ht="15.75" x14ac:dyDescent="0.25">
      <c r="A27" s="3">
        <f t="shared" si="3"/>
        <v>18</v>
      </c>
      <c r="B27" s="10" t="s">
        <v>34</v>
      </c>
      <c r="C27" s="15" t="s">
        <v>124</v>
      </c>
      <c r="D27" s="2"/>
      <c r="E27" s="17" t="s">
        <v>113</v>
      </c>
      <c r="F27" s="6" t="s">
        <v>154</v>
      </c>
      <c r="G27" s="26">
        <v>6</v>
      </c>
      <c r="H27" s="24"/>
      <c r="I27" s="24"/>
      <c r="J27" s="24"/>
      <c r="K27" s="24"/>
      <c r="L27" s="46"/>
      <c r="M27" s="46"/>
      <c r="N27" s="47">
        <f t="shared" si="1"/>
        <v>0</v>
      </c>
      <c r="O27" s="48">
        <v>8</v>
      </c>
      <c r="P27" s="46">
        <v>8</v>
      </c>
      <c r="Q27" s="46"/>
      <c r="R27" s="46"/>
      <c r="S27" s="46"/>
      <c r="T27" s="47">
        <f t="shared" si="2"/>
        <v>0</v>
      </c>
    </row>
    <row r="28" spans="1:20" ht="15.75" x14ac:dyDescent="0.25">
      <c r="A28" s="3">
        <f t="shared" si="3"/>
        <v>19</v>
      </c>
      <c r="B28" s="10" t="s">
        <v>35</v>
      </c>
      <c r="C28" s="15" t="s">
        <v>124</v>
      </c>
      <c r="D28" s="2"/>
      <c r="E28" s="17" t="s">
        <v>105</v>
      </c>
      <c r="F28" s="6" t="s">
        <v>228</v>
      </c>
      <c r="G28" s="26"/>
      <c r="H28" s="24"/>
      <c r="I28" s="24"/>
      <c r="J28" s="24"/>
      <c r="K28" s="24"/>
      <c r="L28" s="46"/>
      <c r="M28" s="46"/>
      <c r="N28" s="47">
        <f t="shared" si="1"/>
        <v>0</v>
      </c>
      <c r="O28" s="48"/>
      <c r="P28" s="46"/>
      <c r="Q28" s="46"/>
      <c r="R28" s="46"/>
      <c r="S28" s="46"/>
      <c r="T28" s="47">
        <f t="shared" si="2"/>
        <v>0</v>
      </c>
    </row>
    <row r="29" spans="1:20" ht="15.75" x14ac:dyDescent="0.25">
      <c r="A29" s="3">
        <f t="shared" si="3"/>
        <v>20</v>
      </c>
      <c r="B29" s="12" t="s">
        <v>36</v>
      </c>
      <c r="C29" s="15" t="s">
        <v>124</v>
      </c>
      <c r="D29" s="2"/>
      <c r="E29" s="19" t="s">
        <v>114</v>
      </c>
      <c r="F29" s="6" t="s">
        <v>155</v>
      </c>
      <c r="G29" s="26">
        <v>4</v>
      </c>
      <c r="H29" s="24">
        <v>4</v>
      </c>
      <c r="I29" s="24">
        <v>4</v>
      </c>
      <c r="J29" s="24">
        <v>4</v>
      </c>
      <c r="K29" s="24"/>
      <c r="L29" s="46"/>
      <c r="M29" s="46"/>
      <c r="N29" s="47">
        <f t="shared" si="1"/>
        <v>0</v>
      </c>
      <c r="O29" s="48">
        <v>11</v>
      </c>
      <c r="P29" s="46">
        <v>9</v>
      </c>
      <c r="Q29" s="46"/>
      <c r="R29" s="46"/>
      <c r="S29" s="46"/>
      <c r="T29" s="47">
        <f t="shared" si="2"/>
        <v>0</v>
      </c>
    </row>
    <row r="30" spans="1:20" ht="15.75" x14ac:dyDescent="0.25">
      <c r="A30" s="3">
        <f t="shared" si="3"/>
        <v>21</v>
      </c>
      <c r="B30" s="11" t="s">
        <v>37</v>
      </c>
      <c r="C30" s="15" t="s">
        <v>124</v>
      </c>
      <c r="D30" s="2"/>
      <c r="E30" s="17" t="s">
        <v>108</v>
      </c>
      <c r="F30" s="6" t="s">
        <v>156</v>
      </c>
      <c r="G30" s="26">
        <v>6</v>
      </c>
      <c r="H30" s="24"/>
      <c r="I30" s="24"/>
      <c r="J30" s="24"/>
      <c r="K30" s="24"/>
      <c r="L30" s="46"/>
      <c r="M30" s="46"/>
      <c r="N30" s="47">
        <f t="shared" si="1"/>
        <v>0</v>
      </c>
      <c r="O30" s="48">
        <v>7</v>
      </c>
      <c r="P30" s="46">
        <v>6</v>
      </c>
      <c r="Q30" s="46"/>
      <c r="R30" s="46"/>
      <c r="S30" s="46"/>
      <c r="T30" s="47">
        <f t="shared" si="2"/>
        <v>0</v>
      </c>
    </row>
    <row r="31" spans="1:20" ht="15.75" x14ac:dyDescent="0.25">
      <c r="A31" s="3">
        <f t="shared" si="3"/>
        <v>22</v>
      </c>
      <c r="B31" s="11" t="s">
        <v>38</v>
      </c>
      <c r="C31" s="15" t="s">
        <v>124</v>
      </c>
      <c r="D31" s="2"/>
      <c r="E31" s="17" t="s">
        <v>106</v>
      </c>
      <c r="F31" s="6" t="s">
        <v>157</v>
      </c>
      <c r="G31" s="26">
        <v>4</v>
      </c>
      <c r="H31" s="24"/>
      <c r="I31" s="24"/>
      <c r="J31" s="24"/>
      <c r="K31" s="24"/>
      <c r="L31" s="46"/>
      <c r="M31" s="46"/>
      <c r="N31" s="47">
        <f t="shared" si="1"/>
        <v>0</v>
      </c>
      <c r="O31" s="48">
        <v>1</v>
      </c>
      <c r="P31" s="46">
        <v>1</v>
      </c>
      <c r="Q31" s="46"/>
      <c r="R31" s="46"/>
      <c r="S31" s="46"/>
      <c r="T31" s="47">
        <f t="shared" si="2"/>
        <v>0</v>
      </c>
    </row>
    <row r="32" spans="1:20" ht="15.75" x14ac:dyDescent="0.25">
      <c r="A32" s="3">
        <f t="shared" si="3"/>
        <v>23</v>
      </c>
      <c r="B32" s="10" t="s">
        <v>39</v>
      </c>
      <c r="C32" s="15" t="s">
        <v>124</v>
      </c>
      <c r="D32" s="2"/>
      <c r="E32" s="10" t="s">
        <v>105</v>
      </c>
      <c r="F32" s="6" t="s">
        <v>220</v>
      </c>
      <c r="G32" s="26"/>
      <c r="H32" s="24"/>
      <c r="I32" s="24"/>
      <c r="J32" s="24"/>
      <c r="K32" s="24"/>
      <c r="L32" s="46"/>
      <c r="M32" s="46"/>
      <c r="N32" s="47">
        <f t="shared" si="1"/>
        <v>0</v>
      </c>
      <c r="O32" s="48"/>
      <c r="P32" s="46"/>
      <c r="Q32" s="46"/>
      <c r="R32" s="46"/>
      <c r="S32" s="46"/>
      <c r="T32" s="47">
        <f t="shared" si="2"/>
        <v>0</v>
      </c>
    </row>
    <row r="33" spans="1:20" ht="15.75" x14ac:dyDescent="0.25">
      <c r="A33" s="3">
        <f t="shared" si="3"/>
        <v>24</v>
      </c>
      <c r="B33" s="10" t="s">
        <v>137</v>
      </c>
      <c r="C33" s="15" t="s">
        <v>124</v>
      </c>
      <c r="D33" s="2"/>
      <c r="E33" s="17" t="s">
        <v>106</v>
      </c>
      <c r="F33" s="6" t="s">
        <v>158</v>
      </c>
      <c r="G33" s="26">
        <v>1</v>
      </c>
      <c r="H33" s="24"/>
      <c r="I33" s="24"/>
      <c r="J33" s="24"/>
      <c r="K33" s="24"/>
      <c r="L33" s="46"/>
      <c r="M33" s="46"/>
      <c r="N33" s="47">
        <f t="shared" si="1"/>
        <v>0</v>
      </c>
      <c r="O33" s="48"/>
      <c r="P33" s="46"/>
      <c r="Q33" s="46"/>
      <c r="R33" s="46"/>
      <c r="S33" s="46"/>
      <c r="T33" s="47"/>
    </row>
    <row r="34" spans="1:20" ht="15.75" x14ac:dyDescent="0.25">
      <c r="A34" s="3">
        <f t="shared" si="3"/>
        <v>25</v>
      </c>
      <c r="B34" s="12" t="s">
        <v>40</v>
      </c>
      <c r="C34" s="15" t="s">
        <v>124</v>
      </c>
      <c r="D34" s="2"/>
      <c r="E34" s="19" t="s">
        <v>115</v>
      </c>
      <c r="F34" s="6" t="s">
        <v>159</v>
      </c>
      <c r="G34" s="26">
        <v>3</v>
      </c>
      <c r="H34" s="24">
        <v>2</v>
      </c>
      <c r="I34" s="24">
        <v>3</v>
      </c>
      <c r="J34" s="24">
        <v>3</v>
      </c>
      <c r="K34" s="24"/>
      <c r="L34" s="46"/>
      <c r="M34" s="46"/>
      <c r="N34" s="47">
        <f t="shared" si="1"/>
        <v>0</v>
      </c>
      <c r="O34" s="48">
        <v>2</v>
      </c>
      <c r="P34" s="46">
        <v>2</v>
      </c>
      <c r="Q34" s="46"/>
      <c r="R34" s="46"/>
      <c r="S34" s="46"/>
      <c r="T34" s="47"/>
    </row>
    <row r="35" spans="1:20" ht="15.75" x14ac:dyDescent="0.25">
      <c r="A35" s="3">
        <f t="shared" si="3"/>
        <v>26</v>
      </c>
      <c r="B35" s="11" t="s">
        <v>41</v>
      </c>
      <c r="C35" s="15" t="s">
        <v>124</v>
      </c>
      <c r="D35" s="2"/>
      <c r="E35" s="17" t="s">
        <v>106</v>
      </c>
      <c r="F35" s="6" t="s">
        <v>160</v>
      </c>
      <c r="G35" s="26">
        <v>4</v>
      </c>
      <c r="H35" s="24">
        <v>1</v>
      </c>
      <c r="I35" s="24">
        <v>1</v>
      </c>
      <c r="J35" s="24">
        <v>1</v>
      </c>
      <c r="K35" s="24"/>
      <c r="L35" s="46"/>
      <c r="M35" s="46"/>
      <c r="N35" s="47">
        <f t="shared" si="1"/>
        <v>0</v>
      </c>
      <c r="O35" s="48">
        <v>4</v>
      </c>
      <c r="P35" s="46">
        <v>4</v>
      </c>
      <c r="Q35" s="46"/>
      <c r="R35" s="46"/>
      <c r="S35" s="46"/>
      <c r="T35" s="47">
        <f t="shared" si="2"/>
        <v>0</v>
      </c>
    </row>
    <row r="36" spans="1:20" ht="15.75" x14ac:dyDescent="0.25">
      <c r="A36" s="3">
        <f t="shared" si="3"/>
        <v>27</v>
      </c>
      <c r="B36" s="13" t="s">
        <v>42</v>
      </c>
      <c r="C36" s="15" t="s">
        <v>124</v>
      </c>
      <c r="D36" s="2"/>
      <c r="E36" s="17" t="s">
        <v>106</v>
      </c>
      <c r="F36" s="6" t="s">
        <v>221</v>
      </c>
      <c r="G36" s="26"/>
      <c r="H36" s="24"/>
      <c r="I36" s="24"/>
      <c r="J36" s="24"/>
      <c r="K36" s="24"/>
      <c r="L36" s="46"/>
      <c r="M36" s="46"/>
      <c r="N36" s="47">
        <f t="shared" si="1"/>
        <v>0</v>
      </c>
      <c r="O36" s="48">
        <v>4</v>
      </c>
      <c r="P36" s="46">
        <v>4</v>
      </c>
      <c r="Q36" s="46">
        <v>3</v>
      </c>
      <c r="R36" s="46">
        <v>1436.08</v>
      </c>
      <c r="S36" s="46"/>
      <c r="T36" s="47">
        <f t="shared" si="2"/>
        <v>1436.08</v>
      </c>
    </row>
    <row r="37" spans="1:20" ht="15.75" x14ac:dyDescent="0.25">
      <c r="A37" s="3">
        <f t="shared" si="3"/>
        <v>28</v>
      </c>
      <c r="B37" s="13" t="s">
        <v>43</v>
      </c>
      <c r="C37" s="15" t="s">
        <v>124</v>
      </c>
      <c r="D37" s="2"/>
      <c r="E37" s="17" t="s">
        <v>106</v>
      </c>
      <c r="F37" s="6" t="s">
        <v>161</v>
      </c>
      <c r="G37" s="26">
        <v>5</v>
      </c>
      <c r="H37" s="24"/>
      <c r="I37" s="24"/>
      <c r="J37" s="24"/>
      <c r="K37" s="24"/>
      <c r="L37" s="46"/>
      <c r="M37" s="46"/>
      <c r="N37" s="47">
        <f t="shared" si="1"/>
        <v>0</v>
      </c>
      <c r="O37" s="48">
        <v>1</v>
      </c>
      <c r="P37" s="46">
        <v>1</v>
      </c>
      <c r="Q37" s="46"/>
      <c r="R37" s="46"/>
      <c r="S37" s="46"/>
      <c r="T37" s="47">
        <f t="shared" si="2"/>
        <v>0</v>
      </c>
    </row>
    <row r="38" spans="1:20" ht="15.75" x14ac:dyDescent="0.25">
      <c r="A38" s="3">
        <f t="shared" si="3"/>
        <v>29</v>
      </c>
      <c r="B38" s="11" t="s">
        <v>44</v>
      </c>
      <c r="C38" s="15" t="s">
        <v>124</v>
      </c>
      <c r="D38" s="2"/>
      <c r="E38" s="17" t="s">
        <v>105</v>
      </c>
      <c r="F38" s="6" t="s">
        <v>162</v>
      </c>
      <c r="G38" s="26">
        <v>10</v>
      </c>
      <c r="H38" s="24">
        <v>2</v>
      </c>
      <c r="I38" s="24">
        <v>3</v>
      </c>
      <c r="J38" s="24"/>
      <c r="K38" s="24"/>
      <c r="L38" s="46"/>
      <c r="M38" s="46"/>
      <c r="N38" s="47">
        <f t="shared" si="1"/>
        <v>0</v>
      </c>
      <c r="O38" s="48">
        <v>11</v>
      </c>
      <c r="P38" s="46">
        <v>11</v>
      </c>
      <c r="Q38" s="46"/>
      <c r="R38" s="46"/>
      <c r="S38" s="46"/>
      <c r="T38" s="47">
        <f t="shared" si="2"/>
        <v>0</v>
      </c>
    </row>
    <row r="39" spans="1:20" ht="15.75" x14ac:dyDescent="0.25">
      <c r="A39" s="3">
        <f t="shared" si="3"/>
        <v>30</v>
      </c>
      <c r="B39" s="11" t="s">
        <v>45</v>
      </c>
      <c r="C39" s="15" t="s">
        <v>124</v>
      </c>
      <c r="D39" s="2"/>
      <c r="E39" s="17" t="s">
        <v>111</v>
      </c>
      <c r="F39" s="6" t="s">
        <v>163</v>
      </c>
      <c r="G39" s="26">
        <v>2</v>
      </c>
      <c r="H39" s="24"/>
      <c r="I39" s="24"/>
      <c r="J39" s="24"/>
      <c r="K39" s="24"/>
      <c r="L39" s="46"/>
      <c r="M39" s="46"/>
      <c r="N39" s="47">
        <f t="shared" si="1"/>
        <v>0</v>
      </c>
      <c r="O39" s="48"/>
      <c r="P39" s="46"/>
      <c r="Q39" s="46"/>
      <c r="R39" s="46"/>
      <c r="S39" s="46"/>
      <c r="T39" s="47">
        <f t="shared" si="2"/>
        <v>0</v>
      </c>
    </row>
    <row r="40" spans="1:20" ht="15.75" x14ac:dyDescent="0.25">
      <c r="A40" s="3">
        <f>A39+1</f>
        <v>31</v>
      </c>
      <c r="B40" s="10" t="s">
        <v>46</v>
      </c>
      <c r="C40" s="15" t="s">
        <v>124</v>
      </c>
      <c r="D40" s="2"/>
      <c r="E40" s="17" t="s">
        <v>106</v>
      </c>
      <c r="F40" s="6" t="s">
        <v>164</v>
      </c>
      <c r="G40" s="26">
        <v>2</v>
      </c>
      <c r="H40" s="24"/>
      <c r="I40" s="24"/>
      <c r="J40" s="24"/>
      <c r="K40" s="24"/>
      <c r="L40" s="46"/>
      <c r="M40" s="46"/>
      <c r="N40" s="47">
        <f t="shared" si="1"/>
        <v>0</v>
      </c>
      <c r="O40" s="48">
        <v>2</v>
      </c>
      <c r="P40" s="46">
        <v>2</v>
      </c>
      <c r="Q40" s="46"/>
      <c r="R40" s="46"/>
      <c r="S40" s="46"/>
      <c r="T40" s="47">
        <f t="shared" si="2"/>
        <v>0</v>
      </c>
    </row>
    <row r="41" spans="1:20" ht="15.75" x14ac:dyDescent="0.25">
      <c r="A41" s="3">
        <f t="shared" si="3"/>
        <v>32</v>
      </c>
      <c r="B41" s="10" t="s">
        <v>47</v>
      </c>
      <c r="C41" s="15" t="s">
        <v>124</v>
      </c>
      <c r="D41" s="2"/>
      <c r="E41" s="17" t="s">
        <v>116</v>
      </c>
      <c r="F41" s="6" t="s">
        <v>165</v>
      </c>
      <c r="G41" s="26">
        <v>4</v>
      </c>
      <c r="H41" s="24">
        <v>1</v>
      </c>
      <c r="I41" s="24">
        <v>1</v>
      </c>
      <c r="J41" s="24">
        <v>1</v>
      </c>
      <c r="K41" s="24"/>
      <c r="L41" s="46"/>
      <c r="M41" s="46"/>
      <c r="N41" s="47">
        <f t="shared" si="1"/>
        <v>0</v>
      </c>
      <c r="O41" s="48">
        <v>2</v>
      </c>
      <c r="P41" s="46">
        <v>2</v>
      </c>
      <c r="Q41" s="46"/>
      <c r="R41" s="46"/>
      <c r="S41" s="46"/>
      <c r="T41" s="47">
        <f t="shared" si="2"/>
        <v>0</v>
      </c>
    </row>
    <row r="42" spans="1:20" ht="15.75" customHeight="1" x14ac:dyDescent="0.25">
      <c r="A42" s="3">
        <f t="shared" si="3"/>
        <v>33</v>
      </c>
      <c r="B42" s="13" t="s">
        <v>48</v>
      </c>
      <c r="C42" s="15" t="s">
        <v>124</v>
      </c>
      <c r="D42" s="2"/>
      <c r="E42" s="17" t="s">
        <v>106</v>
      </c>
      <c r="F42" s="6" t="s">
        <v>166</v>
      </c>
      <c r="G42" s="26">
        <v>2</v>
      </c>
      <c r="H42" s="24"/>
      <c r="I42" s="24"/>
      <c r="J42" s="24"/>
      <c r="K42" s="24"/>
      <c r="L42" s="46"/>
      <c r="M42" s="46"/>
      <c r="N42" s="47">
        <f t="shared" si="1"/>
        <v>0</v>
      </c>
      <c r="O42" s="48">
        <v>3</v>
      </c>
      <c r="P42" s="46">
        <v>2</v>
      </c>
      <c r="Q42" s="46"/>
      <c r="R42" s="46"/>
      <c r="S42" s="46"/>
      <c r="T42" s="47">
        <f t="shared" si="2"/>
        <v>0</v>
      </c>
    </row>
    <row r="43" spans="1:20" ht="15.75" x14ac:dyDescent="0.25">
      <c r="A43" s="3">
        <f t="shared" si="3"/>
        <v>34</v>
      </c>
      <c r="B43" s="10" t="s">
        <v>49</v>
      </c>
      <c r="C43" s="15" t="s">
        <v>124</v>
      </c>
      <c r="D43" s="2"/>
      <c r="E43" s="17" t="s">
        <v>106</v>
      </c>
      <c r="F43" s="6" t="s">
        <v>167</v>
      </c>
      <c r="G43" s="26">
        <v>1</v>
      </c>
      <c r="H43" s="24"/>
      <c r="I43" s="24"/>
      <c r="J43" s="24"/>
      <c r="K43" s="24"/>
      <c r="L43" s="46"/>
      <c r="M43" s="46"/>
      <c r="N43" s="47">
        <f t="shared" si="1"/>
        <v>0</v>
      </c>
      <c r="O43" s="48">
        <v>3</v>
      </c>
      <c r="P43" s="46">
        <v>3</v>
      </c>
      <c r="Q43" s="46"/>
      <c r="R43" s="46"/>
      <c r="S43" s="46"/>
      <c r="T43" s="47">
        <f t="shared" si="2"/>
        <v>0</v>
      </c>
    </row>
    <row r="44" spans="1:20" ht="15.75" x14ac:dyDescent="0.25">
      <c r="A44" s="3">
        <f t="shared" si="3"/>
        <v>35</v>
      </c>
      <c r="B44" s="13" t="s">
        <v>50</v>
      </c>
      <c r="C44" s="15" t="s">
        <v>124</v>
      </c>
      <c r="D44" s="2"/>
      <c r="E44" s="17" t="s">
        <v>106</v>
      </c>
      <c r="F44" s="6" t="s">
        <v>168</v>
      </c>
      <c r="G44" s="26">
        <v>2</v>
      </c>
      <c r="H44" s="24">
        <v>2</v>
      </c>
      <c r="I44" s="24">
        <v>2</v>
      </c>
      <c r="J44" s="24">
        <v>2</v>
      </c>
      <c r="K44" s="24"/>
      <c r="L44" s="46"/>
      <c r="M44" s="46"/>
      <c r="N44" s="47">
        <f t="shared" si="1"/>
        <v>0</v>
      </c>
      <c r="O44" s="48">
        <v>1</v>
      </c>
      <c r="P44" s="46">
        <v>1</v>
      </c>
      <c r="Q44" s="46"/>
      <c r="R44" s="46"/>
      <c r="S44" s="46"/>
      <c r="T44" s="47">
        <f t="shared" si="2"/>
        <v>0</v>
      </c>
    </row>
    <row r="45" spans="1:20" ht="15.75" x14ac:dyDescent="0.25">
      <c r="A45" s="3">
        <f t="shared" si="3"/>
        <v>36</v>
      </c>
      <c r="B45" s="11" t="s">
        <v>51</v>
      </c>
      <c r="C45" s="15" t="s">
        <v>124</v>
      </c>
      <c r="D45" s="2"/>
      <c r="E45" s="22" t="s">
        <v>112</v>
      </c>
      <c r="F45" s="6" t="s">
        <v>169</v>
      </c>
      <c r="G45" s="26"/>
      <c r="H45" s="24"/>
      <c r="I45" s="24"/>
      <c r="J45" s="24"/>
      <c r="K45" s="24"/>
      <c r="L45" s="46"/>
      <c r="M45" s="46"/>
      <c r="N45" s="47">
        <f t="shared" si="1"/>
        <v>0</v>
      </c>
      <c r="O45" s="48"/>
      <c r="P45" s="46"/>
      <c r="Q45" s="46"/>
      <c r="R45" s="46"/>
      <c r="S45" s="46"/>
      <c r="T45" s="47">
        <f t="shared" si="2"/>
        <v>0</v>
      </c>
    </row>
    <row r="46" spans="1:20" ht="15.75" x14ac:dyDescent="0.25">
      <c r="A46" s="3">
        <f t="shared" si="3"/>
        <v>37</v>
      </c>
      <c r="B46" s="11" t="s">
        <v>131</v>
      </c>
      <c r="C46" s="15" t="s">
        <v>124</v>
      </c>
      <c r="D46" s="2"/>
      <c r="E46" s="22" t="s">
        <v>106</v>
      </c>
      <c r="F46" s="6" t="s">
        <v>222</v>
      </c>
      <c r="G46" s="26"/>
      <c r="H46" s="24"/>
      <c r="I46" s="24"/>
      <c r="J46" s="24"/>
      <c r="K46" s="24"/>
      <c r="L46" s="46"/>
      <c r="M46" s="46"/>
      <c r="N46" s="47">
        <f t="shared" si="1"/>
        <v>0</v>
      </c>
      <c r="O46" s="48">
        <v>1</v>
      </c>
      <c r="P46" s="46">
        <v>1</v>
      </c>
      <c r="Q46" s="46">
        <v>1</v>
      </c>
      <c r="R46" s="49">
        <v>11787.49</v>
      </c>
      <c r="S46" s="49">
        <v>11787.49</v>
      </c>
      <c r="T46" s="47">
        <f t="shared" si="2"/>
        <v>0</v>
      </c>
    </row>
    <row r="47" spans="1:20" ht="15.75" x14ac:dyDescent="0.25">
      <c r="A47" s="3">
        <f t="shared" si="3"/>
        <v>38</v>
      </c>
      <c r="B47" s="13" t="s">
        <v>52</v>
      </c>
      <c r="C47" s="15" t="s">
        <v>124</v>
      </c>
      <c r="D47" s="2"/>
      <c r="E47" s="17" t="s">
        <v>106</v>
      </c>
      <c r="F47" s="6" t="s">
        <v>170</v>
      </c>
      <c r="G47" s="26">
        <v>3</v>
      </c>
      <c r="H47" s="24">
        <v>2</v>
      </c>
      <c r="I47" s="24">
        <v>2</v>
      </c>
      <c r="J47" s="24">
        <v>2</v>
      </c>
      <c r="K47" s="24"/>
      <c r="L47" s="46"/>
      <c r="M47" s="46"/>
      <c r="N47" s="47">
        <f t="shared" si="1"/>
        <v>0</v>
      </c>
      <c r="O47" s="48"/>
      <c r="P47" s="46"/>
      <c r="Q47" s="46"/>
      <c r="R47" s="46"/>
      <c r="S47" s="46"/>
      <c r="T47" s="47">
        <f t="shared" si="2"/>
        <v>0</v>
      </c>
    </row>
    <row r="48" spans="1:20" ht="15.75" x14ac:dyDescent="0.25">
      <c r="A48" s="3">
        <f t="shared" si="3"/>
        <v>39</v>
      </c>
      <c r="B48" s="10" t="s">
        <v>53</v>
      </c>
      <c r="C48" s="15" t="s">
        <v>124</v>
      </c>
      <c r="D48" s="2"/>
      <c r="E48" s="17" t="s">
        <v>105</v>
      </c>
      <c r="F48" s="6" t="s">
        <v>171</v>
      </c>
      <c r="G48" s="26">
        <v>5</v>
      </c>
      <c r="H48" s="24"/>
      <c r="I48" s="24"/>
      <c r="J48" s="24"/>
      <c r="K48" s="24"/>
      <c r="L48" s="46"/>
      <c r="M48" s="46"/>
      <c r="N48" s="47">
        <f t="shared" si="1"/>
        <v>0</v>
      </c>
      <c r="O48" s="48">
        <v>1</v>
      </c>
      <c r="P48" s="46">
        <v>1</v>
      </c>
      <c r="Q48" s="46"/>
      <c r="R48" s="46"/>
      <c r="S48" s="46"/>
      <c r="T48" s="47">
        <f t="shared" si="2"/>
        <v>0</v>
      </c>
    </row>
    <row r="49" spans="1:20" ht="15.75" x14ac:dyDescent="0.25">
      <c r="A49" s="3">
        <f t="shared" si="3"/>
        <v>40</v>
      </c>
      <c r="B49" s="10" t="s">
        <v>54</v>
      </c>
      <c r="C49" s="15" t="s">
        <v>124</v>
      </c>
      <c r="D49" s="2"/>
      <c r="E49" s="17" t="s">
        <v>106</v>
      </c>
      <c r="F49" s="6" t="s">
        <v>172</v>
      </c>
      <c r="G49" s="26">
        <v>2</v>
      </c>
      <c r="H49" s="24"/>
      <c r="I49" s="24"/>
      <c r="J49" s="24"/>
      <c r="K49" s="24"/>
      <c r="L49" s="46"/>
      <c r="M49" s="46"/>
      <c r="N49" s="47">
        <f t="shared" si="1"/>
        <v>0</v>
      </c>
      <c r="O49" s="48">
        <v>3</v>
      </c>
      <c r="P49" s="46">
        <v>2</v>
      </c>
      <c r="Q49" s="46"/>
      <c r="R49" s="46"/>
      <c r="S49" s="46"/>
      <c r="T49" s="47">
        <f t="shared" si="2"/>
        <v>0</v>
      </c>
    </row>
    <row r="50" spans="1:20" ht="15.75" x14ac:dyDescent="0.25">
      <c r="A50" s="3">
        <f t="shared" si="3"/>
        <v>41</v>
      </c>
      <c r="B50" s="10" t="s">
        <v>55</v>
      </c>
      <c r="C50" s="15" t="s">
        <v>124</v>
      </c>
      <c r="D50" s="2"/>
      <c r="E50" s="17" t="s">
        <v>106</v>
      </c>
      <c r="F50" s="6" t="s">
        <v>173</v>
      </c>
      <c r="G50" s="26">
        <v>6</v>
      </c>
      <c r="H50" s="24"/>
      <c r="I50" s="24"/>
      <c r="J50" s="24"/>
      <c r="K50" s="24"/>
      <c r="L50" s="46"/>
      <c r="M50" s="46"/>
      <c r="N50" s="47">
        <f t="shared" si="1"/>
        <v>0</v>
      </c>
      <c r="O50" s="48">
        <v>4</v>
      </c>
      <c r="P50" s="46">
        <v>4</v>
      </c>
      <c r="Q50" s="46"/>
      <c r="R50" s="46"/>
      <c r="S50" s="46"/>
      <c r="T50" s="47">
        <f t="shared" si="2"/>
        <v>0</v>
      </c>
    </row>
    <row r="51" spans="1:20" ht="15.75" x14ac:dyDescent="0.25">
      <c r="A51" s="3">
        <f t="shared" si="3"/>
        <v>42</v>
      </c>
      <c r="B51" s="10" t="s">
        <v>56</v>
      </c>
      <c r="C51" s="15" t="s">
        <v>124</v>
      </c>
      <c r="D51" s="2"/>
      <c r="E51" s="17" t="s">
        <v>106</v>
      </c>
      <c r="F51" s="6" t="s">
        <v>174</v>
      </c>
      <c r="G51" s="26">
        <v>3</v>
      </c>
      <c r="H51" s="24">
        <v>2</v>
      </c>
      <c r="I51" s="24">
        <v>2</v>
      </c>
      <c r="J51" s="24">
        <v>2</v>
      </c>
      <c r="K51" s="24"/>
      <c r="L51" s="46"/>
      <c r="M51" s="46"/>
      <c r="N51" s="47">
        <f t="shared" si="1"/>
        <v>0</v>
      </c>
      <c r="O51" s="48">
        <v>1</v>
      </c>
      <c r="P51" s="46">
        <v>1</v>
      </c>
      <c r="Q51" s="46"/>
      <c r="R51" s="46"/>
      <c r="S51" s="46"/>
      <c r="T51" s="47">
        <f t="shared" si="2"/>
        <v>0</v>
      </c>
    </row>
    <row r="52" spans="1:20" ht="15.75" x14ac:dyDescent="0.25">
      <c r="A52" s="3">
        <f t="shared" si="3"/>
        <v>43</v>
      </c>
      <c r="B52" s="13" t="s">
        <v>57</v>
      </c>
      <c r="C52" s="15" t="s">
        <v>124</v>
      </c>
      <c r="D52" s="2"/>
      <c r="E52" s="17" t="s">
        <v>106</v>
      </c>
      <c r="F52" s="6" t="s">
        <v>175</v>
      </c>
      <c r="G52" s="26">
        <v>4</v>
      </c>
      <c r="H52" s="24">
        <v>1</v>
      </c>
      <c r="I52" s="24">
        <v>1</v>
      </c>
      <c r="J52" s="24">
        <v>1</v>
      </c>
      <c r="K52" s="24"/>
      <c r="L52" s="46"/>
      <c r="M52" s="46"/>
      <c r="N52" s="47">
        <f t="shared" si="1"/>
        <v>0</v>
      </c>
      <c r="O52" s="48">
        <v>2</v>
      </c>
      <c r="P52" s="46">
        <v>2</v>
      </c>
      <c r="Q52" s="46"/>
      <c r="R52" s="46"/>
      <c r="S52" s="46"/>
      <c r="T52" s="47">
        <f t="shared" si="2"/>
        <v>0</v>
      </c>
    </row>
    <row r="53" spans="1:20" ht="15.75" x14ac:dyDescent="0.25">
      <c r="A53" s="3">
        <f t="shared" si="3"/>
        <v>44</v>
      </c>
      <c r="B53" s="13" t="s">
        <v>58</v>
      </c>
      <c r="C53" s="15" t="s">
        <v>124</v>
      </c>
      <c r="D53" s="2"/>
      <c r="E53" s="17" t="s">
        <v>106</v>
      </c>
      <c r="F53" s="6" t="s">
        <v>229</v>
      </c>
      <c r="G53" s="26"/>
      <c r="H53" s="24"/>
      <c r="I53" s="24"/>
      <c r="J53" s="24"/>
      <c r="K53" s="24"/>
      <c r="L53" s="46"/>
      <c r="M53" s="46"/>
      <c r="N53" s="47">
        <f t="shared" si="1"/>
        <v>0</v>
      </c>
      <c r="O53" s="48"/>
      <c r="P53" s="46"/>
      <c r="Q53" s="46"/>
      <c r="R53" s="46"/>
      <c r="S53" s="46"/>
      <c r="T53" s="47">
        <f t="shared" si="2"/>
        <v>0</v>
      </c>
    </row>
    <row r="54" spans="1:20" ht="15.75" x14ac:dyDescent="0.25">
      <c r="A54" s="3">
        <f t="shared" si="3"/>
        <v>45</v>
      </c>
      <c r="B54" s="13" t="s">
        <v>59</v>
      </c>
      <c r="C54" s="15" t="s">
        <v>124</v>
      </c>
      <c r="D54" s="2"/>
      <c r="E54" s="17" t="s">
        <v>112</v>
      </c>
      <c r="F54" s="6" t="s">
        <v>176</v>
      </c>
      <c r="G54" s="26">
        <v>13</v>
      </c>
      <c r="H54" s="24">
        <v>2</v>
      </c>
      <c r="I54" s="24">
        <v>2</v>
      </c>
      <c r="J54" s="24"/>
      <c r="K54" s="24"/>
      <c r="L54" s="46"/>
      <c r="M54" s="46"/>
      <c r="N54" s="47">
        <f t="shared" si="1"/>
        <v>0</v>
      </c>
      <c r="O54" s="48">
        <v>15</v>
      </c>
      <c r="P54" s="46">
        <v>7</v>
      </c>
      <c r="Q54" s="46">
        <v>6</v>
      </c>
      <c r="R54" s="46">
        <v>2632.7</v>
      </c>
      <c r="S54" s="46">
        <v>2632.7</v>
      </c>
      <c r="T54" s="47">
        <f t="shared" si="2"/>
        <v>0</v>
      </c>
    </row>
    <row r="55" spans="1:20" ht="15.75" x14ac:dyDescent="0.25">
      <c r="A55" s="3">
        <f t="shared" si="3"/>
        <v>46</v>
      </c>
      <c r="B55" s="13" t="s">
        <v>60</v>
      </c>
      <c r="C55" s="15" t="s">
        <v>125</v>
      </c>
      <c r="D55" s="38" t="s">
        <v>126</v>
      </c>
      <c r="E55" s="17" t="s">
        <v>106</v>
      </c>
      <c r="F55" s="6" t="s">
        <v>177</v>
      </c>
      <c r="G55" s="26">
        <v>1</v>
      </c>
      <c r="H55" s="24"/>
      <c r="I55" s="24"/>
      <c r="J55" s="24"/>
      <c r="K55" s="24"/>
      <c r="L55" s="46"/>
      <c r="M55" s="46"/>
      <c r="N55" s="47">
        <f t="shared" si="1"/>
        <v>0</v>
      </c>
      <c r="O55" s="48">
        <v>1</v>
      </c>
      <c r="P55" s="46">
        <v>1</v>
      </c>
      <c r="Q55" s="46"/>
      <c r="R55" s="46"/>
      <c r="S55" s="46"/>
      <c r="T55" s="47">
        <f t="shared" si="2"/>
        <v>0</v>
      </c>
    </row>
    <row r="56" spans="1:20" ht="15.75" x14ac:dyDescent="0.25">
      <c r="A56" s="3">
        <f t="shared" si="3"/>
        <v>47</v>
      </c>
      <c r="B56" s="11" t="s">
        <v>61</v>
      </c>
      <c r="C56" s="15" t="s">
        <v>124</v>
      </c>
      <c r="D56" s="2"/>
      <c r="E56" s="17" t="s">
        <v>107</v>
      </c>
      <c r="F56" s="6" t="s">
        <v>178</v>
      </c>
      <c r="G56" s="26">
        <v>11</v>
      </c>
      <c r="H56" s="24">
        <v>1</v>
      </c>
      <c r="I56" s="24">
        <v>1</v>
      </c>
      <c r="J56" s="24">
        <v>1</v>
      </c>
      <c r="K56" s="24"/>
      <c r="L56" s="46"/>
      <c r="M56" s="46"/>
      <c r="N56" s="47">
        <f t="shared" si="1"/>
        <v>0</v>
      </c>
      <c r="O56" s="48">
        <v>11</v>
      </c>
      <c r="P56" s="46">
        <v>10</v>
      </c>
      <c r="Q56" s="46"/>
      <c r="R56" s="46"/>
      <c r="S56" s="46"/>
      <c r="T56" s="47">
        <f t="shared" si="2"/>
        <v>0</v>
      </c>
    </row>
    <row r="57" spans="1:20" ht="15.75" x14ac:dyDescent="0.25">
      <c r="A57" s="3">
        <f t="shared" si="3"/>
        <v>48</v>
      </c>
      <c r="B57" s="11" t="s">
        <v>134</v>
      </c>
      <c r="C57" s="15" t="s">
        <v>124</v>
      </c>
      <c r="D57" s="2"/>
      <c r="E57" s="17" t="s">
        <v>112</v>
      </c>
      <c r="F57" s="6" t="s">
        <v>179</v>
      </c>
      <c r="G57" s="26"/>
      <c r="H57" s="24"/>
      <c r="I57" s="24"/>
      <c r="J57" s="24"/>
      <c r="K57" s="24"/>
      <c r="L57" s="46"/>
      <c r="M57" s="46"/>
      <c r="N57" s="47">
        <f t="shared" si="1"/>
        <v>0</v>
      </c>
      <c r="O57" s="48"/>
      <c r="P57" s="46"/>
      <c r="Q57" s="46"/>
      <c r="R57" s="46"/>
      <c r="S57" s="46"/>
      <c r="T57" s="47"/>
    </row>
    <row r="58" spans="1:20" ht="15.75" x14ac:dyDescent="0.25">
      <c r="A58" s="3">
        <f t="shared" si="3"/>
        <v>49</v>
      </c>
      <c r="B58" s="11" t="s">
        <v>62</v>
      </c>
      <c r="C58" s="15" t="s">
        <v>124</v>
      </c>
      <c r="D58" s="2"/>
      <c r="E58" s="17" t="s">
        <v>106</v>
      </c>
      <c r="F58" s="6" t="s">
        <v>230</v>
      </c>
      <c r="G58" s="26"/>
      <c r="H58" s="24"/>
      <c r="I58" s="24"/>
      <c r="J58" s="24"/>
      <c r="K58" s="24"/>
      <c r="L58" s="46"/>
      <c r="M58" s="46"/>
      <c r="N58" s="47">
        <f t="shared" si="1"/>
        <v>0</v>
      </c>
      <c r="O58" s="48"/>
      <c r="P58" s="46"/>
      <c r="Q58" s="46"/>
      <c r="R58" s="46"/>
      <c r="S58" s="46"/>
      <c r="T58" s="47">
        <f t="shared" si="2"/>
        <v>0</v>
      </c>
    </row>
    <row r="59" spans="1:20" ht="15.75" x14ac:dyDescent="0.25">
      <c r="A59" s="3">
        <f t="shared" si="3"/>
        <v>50</v>
      </c>
      <c r="B59" s="11" t="s">
        <v>63</v>
      </c>
      <c r="C59" s="15" t="s">
        <v>124</v>
      </c>
      <c r="D59" s="2"/>
      <c r="E59" s="22" t="s">
        <v>112</v>
      </c>
      <c r="F59" s="6" t="s">
        <v>224</v>
      </c>
      <c r="G59" s="26"/>
      <c r="H59" s="24"/>
      <c r="I59" s="24"/>
      <c r="J59" s="24"/>
      <c r="K59" s="24"/>
      <c r="L59" s="46"/>
      <c r="M59" s="46"/>
      <c r="N59" s="47">
        <f t="shared" si="1"/>
        <v>0</v>
      </c>
      <c r="O59" s="48"/>
      <c r="P59" s="46"/>
      <c r="Q59" s="46"/>
      <c r="R59" s="46"/>
      <c r="S59" s="46"/>
      <c r="T59" s="47">
        <f t="shared" si="2"/>
        <v>0</v>
      </c>
    </row>
    <row r="60" spans="1:20" ht="15.75" x14ac:dyDescent="0.25">
      <c r="A60" s="3">
        <f t="shared" si="3"/>
        <v>51</v>
      </c>
      <c r="B60" s="11" t="s">
        <v>64</v>
      </c>
      <c r="C60" s="15" t="s">
        <v>124</v>
      </c>
      <c r="D60" s="2"/>
      <c r="E60" s="22" t="s">
        <v>107</v>
      </c>
      <c r="F60" s="6" t="s">
        <v>180</v>
      </c>
      <c r="G60" s="26">
        <v>13</v>
      </c>
      <c r="H60" s="24">
        <v>1</v>
      </c>
      <c r="I60" s="24">
        <v>1</v>
      </c>
      <c r="J60" s="24"/>
      <c r="K60" s="24"/>
      <c r="L60" s="46"/>
      <c r="M60" s="46"/>
      <c r="N60" s="47">
        <f t="shared" si="1"/>
        <v>0</v>
      </c>
      <c r="O60" s="48">
        <v>4</v>
      </c>
      <c r="P60" s="46">
        <v>3</v>
      </c>
      <c r="Q60" s="46"/>
      <c r="R60" s="46"/>
      <c r="S60" s="46"/>
      <c r="T60" s="47">
        <f t="shared" si="2"/>
        <v>0</v>
      </c>
    </row>
    <row r="61" spans="1:20" ht="15.75" x14ac:dyDescent="0.25">
      <c r="A61" s="3">
        <f t="shared" si="3"/>
        <v>52</v>
      </c>
      <c r="B61" s="11" t="s">
        <v>135</v>
      </c>
      <c r="C61" s="15" t="s">
        <v>124</v>
      </c>
      <c r="D61" s="2"/>
      <c r="E61" s="22" t="s">
        <v>136</v>
      </c>
      <c r="F61" s="6" t="s">
        <v>181</v>
      </c>
      <c r="G61" s="26"/>
      <c r="H61" s="24"/>
      <c r="I61" s="24"/>
      <c r="J61" s="24"/>
      <c r="K61" s="24"/>
      <c r="L61" s="46"/>
      <c r="M61" s="46"/>
      <c r="N61" s="47">
        <f t="shared" si="1"/>
        <v>0</v>
      </c>
      <c r="O61" s="48"/>
      <c r="P61" s="46"/>
      <c r="Q61" s="46"/>
      <c r="R61" s="46"/>
      <c r="S61" s="46"/>
      <c r="T61" s="47"/>
    </row>
    <row r="62" spans="1:20" ht="18.75" customHeight="1" x14ac:dyDescent="0.25">
      <c r="A62" s="3">
        <f t="shared" si="3"/>
        <v>53</v>
      </c>
      <c r="B62" s="13" t="s">
        <v>65</v>
      </c>
      <c r="C62" s="15" t="s">
        <v>124</v>
      </c>
      <c r="D62" s="2"/>
      <c r="E62" s="17" t="s">
        <v>106</v>
      </c>
      <c r="F62" s="6" t="s">
        <v>182</v>
      </c>
      <c r="G62" s="26">
        <v>2</v>
      </c>
      <c r="H62" s="24"/>
      <c r="I62" s="24"/>
      <c r="J62" s="24"/>
      <c r="K62" s="24"/>
      <c r="L62" s="46"/>
      <c r="M62" s="46"/>
      <c r="N62" s="47">
        <f t="shared" si="1"/>
        <v>0</v>
      </c>
      <c r="O62" s="48"/>
      <c r="P62" s="46"/>
      <c r="Q62" s="46"/>
      <c r="R62" s="46"/>
      <c r="S62" s="46"/>
      <c r="T62" s="47">
        <f t="shared" si="2"/>
        <v>0</v>
      </c>
    </row>
    <row r="63" spans="1:20" ht="15.75" x14ac:dyDescent="0.25">
      <c r="A63" s="3">
        <f t="shared" si="3"/>
        <v>54</v>
      </c>
      <c r="B63" s="13" t="s">
        <v>66</v>
      </c>
      <c r="C63" s="15" t="s">
        <v>124</v>
      </c>
      <c r="D63" s="2"/>
      <c r="E63" s="17" t="s">
        <v>112</v>
      </c>
      <c r="F63" s="6" t="s">
        <v>227</v>
      </c>
      <c r="G63" s="26"/>
      <c r="H63" s="24"/>
      <c r="I63" s="24"/>
      <c r="J63" s="24"/>
      <c r="K63" s="24"/>
      <c r="L63" s="46"/>
      <c r="M63" s="46"/>
      <c r="N63" s="47">
        <f t="shared" si="1"/>
        <v>0</v>
      </c>
      <c r="O63" s="48">
        <v>8</v>
      </c>
      <c r="P63" s="46">
        <v>8</v>
      </c>
      <c r="Q63" s="46">
        <v>8</v>
      </c>
      <c r="R63" s="46">
        <v>3232.69</v>
      </c>
      <c r="S63" s="46"/>
      <c r="T63" s="47">
        <f t="shared" si="2"/>
        <v>3232.69</v>
      </c>
    </row>
    <row r="64" spans="1:20" ht="15.75" x14ac:dyDescent="0.25">
      <c r="A64" s="3">
        <f t="shared" si="3"/>
        <v>55</v>
      </c>
      <c r="B64" s="10" t="s">
        <v>67</v>
      </c>
      <c r="C64" s="15" t="s">
        <v>124</v>
      </c>
      <c r="D64" s="2"/>
      <c r="E64" s="17" t="s">
        <v>106</v>
      </c>
      <c r="F64" s="6" t="s">
        <v>183</v>
      </c>
      <c r="G64" s="26">
        <v>5</v>
      </c>
      <c r="H64" s="24">
        <v>2</v>
      </c>
      <c r="I64" s="24">
        <v>2</v>
      </c>
      <c r="J64" s="24">
        <v>2</v>
      </c>
      <c r="K64" s="24"/>
      <c r="L64" s="46"/>
      <c r="M64" s="46"/>
      <c r="N64" s="47">
        <f t="shared" si="1"/>
        <v>0</v>
      </c>
      <c r="O64" s="48">
        <v>3</v>
      </c>
      <c r="P64" s="46">
        <v>3</v>
      </c>
      <c r="Q64" s="46"/>
      <c r="R64" s="46"/>
      <c r="S64" s="46"/>
      <c r="T64" s="47">
        <f t="shared" si="2"/>
        <v>0</v>
      </c>
    </row>
    <row r="65" spans="1:20" ht="15.75" x14ac:dyDescent="0.25">
      <c r="A65" s="3">
        <f t="shared" si="3"/>
        <v>56</v>
      </c>
      <c r="B65" s="10" t="s">
        <v>68</v>
      </c>
      <c r="C65" s="15" t="s">
        <v>124</v>
      </c>
      <c r="D65" s="2"/>
      <c r="E65" s="17" t="s">
        <v>111</v>
      </c>
      <c r="F65" s="6" t="s">
        <v>184</v>
      </c>
      <c r="G65" s="26">
        <v>7</v>
      </c>
      <c r="H65" s="24">
        <v>1</v>
      </c>
      <c r="I65" s="24">
        <v>1</v>
      </c>
      <c r="J65" s="24"/>
      <c r="K65" s="24"/>
      <c r="L65" s="46"/>
      <c r="M65" s="46"/>
      <c r="N65" s="47">
        <f t="shared" si="1"/>
        <v>0</v>
      </c>
      <c r="O65" s="48">
        <v>6</v>
      </c>
      <c r="P65" s="46">
        <v>4</v>
      </c>
      <c r="Q65" s="46"/>
      <c r="R65" s="46"/>
      <c r="S65" s="46"/>
      <c r="T65" s="47">
        <f t="shared" si="2"/>
        <v>0</v>
      </c>
    </row>
    <row r="66" spans="1:20" ht="15.75" x14ac:dyDescent="0.25">
      <c r="A66" s="3">
        <f t="shared" si="3"/>
        <v>57</v>
      </c>
      <c r="B66" s="13" t="s">
        <v>69</v>
      </c>
      <c r="C66" s="15" t="s">
        <v>124</v>
      </c>
      <c r="D66" s="2"/>
      <c r="E66" s="17" t="s">
        <v>106</v>
      </c>
      <c r="F66" s="6" t="s">
        <v>185</v>
      </c>
      <c r="G66" s="26">
        <v>2</v>
      </c>
      <c r="H66" s="24">
        <v>1</v>
      </c>
      <c r="I66" s="24">
        <v>1</v>
      </c>
      <c r="J66" s="24">
        <v>1</v>
      </c>
      <c r="K66" s="24"/>
      <c r="L66" s="46"/>
      <c r="M66" s="46"/>
      <c r="N66" s="47">
        <f t="shared" si="1"/>
        <v>0</v>
      </c>
      <c r="O66" s="48">
        <v>4</v>
      </c>
      <c r="P66" s="46">
        <v>4</v>
      </c>
      <c r="Q66" s="46"/>
      <c r="R66" s="46"/>
      <c r="S66" s="46"/>
      <c r="T66" s="47">
        <f t="shared" si="2"/>
        <v>0</v>
      </c>
    </row>
    <row r="67" spans="1:20" ht="15.75" x14ac:dyDescent="0.25">
      <c r="A67" s="3">
        <f t="shared" si="3"/>
        <v>58</v>
      </c>
      <c r="B67" s="11" t="s">
        <v>70</v>
      </c>
      <c r="C67" s="15" t="s">
        <v>124</v>
      </c>
      <c r="D67" s="2"/>
      <c r="E67" s="17" t="s">
        <v>107</v>
      </c>
      <c r="F67" s="6" t="s">
        <v>186</v>
      </c>
      <c r="G67" s="26">
        <v>12</v>
      </c>
      <c r="H67" s="24">
        <v>5</v>
      </c>
      <c r="I67" s="24">
        <v>5</v>
      </c>
      <c r="J67" s="24">
        <v>2</v>
      </c>
      <c r="K67" s="24"/>
      <c r="L67" s="46"/>
      <c r="M67" s="46"/>
      <c r="N67" s="47">
        <f t="shared" si="1"/>
        <v>0</v>
      </c>
      <c r="O67" s="48">
        <v>3</v>
      </c>
      <c r="P67" s="46">
        <v>3</v>
      </c>
      <c r="Q67" s="46"/>
      <c r="R67" s="46"/>
      <c r="S67" s="46"/>
      <c r="T67" s="47">
        <f t="shared" si="2"/>
        <v>0</v>
      </c>
    </row>
    <row r="68" spans="1:20" ht="15.75" x14ac:dyDescent="0.25">
      <c r="A68" s="3">
        <f t="shared" si="3"/>
        <v>59</v>
      </c>
      <c r="B68" s="11" t="s">
        <v>71</v>
      </c>
      <c r="C68" s="15" t="s">
        <v>124</v>
      </c>
      <c r="D68" s="2"/>
      <c r="E68" s="17" t="s">
        <v>117</v>
      </c>
      <c r="F68" s="6" t="s">
        <v>187</v>
      </c>
      <c r="G68" s="26">
        <v>8</v>
      </c>
      <c r="H68" s="24">
        <v>3</v>
      </c>
      <c r="I68" s="24">
        <v>4</v>
      </c>
      <c r="J68" s="24">
        <v>4</v>
      </c>
      <c r="K68" s="24">
        <v>1</v>
      </c>
      <c r="L68" s="46">
        <v>992.16</v>
      </c>
      <c r="M68" s="46">
        <v>992.16</v>
      </c>
      <c r="N68" s="47">
        <f t="shared" si="1"/>
        <v>0</v>
      </c>
      <c r="O68" s="48">
        <v>7</v>
      </c>
      <c r="P68" s="46">
        <v>7</v>
      </c>
      <c r="Q68" s="46">
        <v>6</v>
      </c>
      <c r="R68" s="46">
        <v>2992.76</v>
      </c>
      <c r="S68" s="46">
        <v>2992.76</v>
      </c>
      <c r="T68" s="47">
        <f t="shared" si="2"/>
        <v>0</v>
      </c>
    </row>
    <row r="69" spans="1:20" ht="15.75" x14ac:dyDescent="0.25">
      <c r="A69" s="3">
        <f t="shared" si="3"/>
        <v>60</v>
      </c>
      <c r="B69" s="11" t="s">
        <v>72</v>
      </c>
      <c r="C69" s="15" t="s">
        <v>125</v>
      </c>
      <c r="D69" s="38" t="s">
        <v>126</v>
      </c>
      <c r="E69" s="17" t="s">
        <v>106</v>
      </c>
      <c r="F69" s="6" t="s">
        <v>188</v>
      </c>
      <c r="G69" s="26">
        <v>1</v>
      </c>
      <c r="H69" s="24"/>
      <c r="I69" s="24"/>
      <c r="J69" s="24"/>
      <c r="K69" s="24"/>
      <c r="L69" s="46"/>
      <c r="M69" s="46"/>
      <c r="N69" s="47">
        <f t="shared" si="1"/>
        <v>0</v>
      </c>
      <c r="O69" s="48"/>
      <c r="P69" s="46"/>
      <c r="Q69" s="46"/>
      <c r="R69" s="46"/>
      <c r="S69" s="46"/>
      <c r="T69" s="47">
        <f t="shared" si="2"/>
        <v>0</v>
      </c>
    </row>
    <row r="70" spans="1:20" ht="15.75" x14ac:dyDescent="0.25">
      <c r="A70" s="3">
        <f t="shared" si="3"/>
        <v>61</v>
      </c>
      <c r="B70" s="10" t="s">
        <v>73</v>
      </c>
      <c r="C70" s="15" t="s">
        <v>124</v>
      </c>
      <c r="D70" s="2"/>
      <c r="E70" s="17" t="s">
        <v>106</v>
      </c>
      <c r="F70" s="6" t="s">
        <v>189</v>
      </c>
      <c r="G70" s="26">
        <v>1</v>
      </c>
      <c r="H70" s="24"/>
      <c r="I70" s="24"/>
      <c r="J70" s="24"/>
      <c r="K70" s="24"/>
      <c r="L70" s="46"/>
      <c r="M70" s="46"/>
      <c r="N70" s="47">
        <f t="shared" si="1"/>
        <v>0</v>
      </c>
      <c r="O70" s="48"/>
      <c r="P70" s="46"/>
      <c r="Q70" s="46"/>
      <c r="R70" s="46"/>
      <c r="S70" s="46"/>
      <c r="T70" s="47">
        <f t="shared" si="2"/>
        <v>0</v>
      </c>
    </row>
    <row r="71" spans="1:20" ht="15.75" x14ac:dyDescent="0.25">
      <c r="A71" s="3">
        <f t="shared" si="3"/>
        <v>62</v>
      </c>
      <c r="B71" s="11" t="s">
        <v>74</v>
      </c>
      <c r="C71" s="15" t="s">
        <v>124</v>
      </c>
      <c r="D71" s="2"/>
      <c r="E71" s="17" t="s">
        <v>111</v>
      </c>
      <c r="F71" s="6" t="s">
        <v>190</v>
      </c>
      <c r="G71" s="26">
        <v>4</v>
      </c>
      <c r="H71" s="24">
        <v>2</v>
      </c>
      <c r="I71" s="24">
        <v>2</v>
      </c>
      <c r="J71" s="24"/>
      <c r="K71" s="24"/>
      <c r="L71" s="46"/>
      <c r="M71" s="46"/>
      <c r="N71" s="47">
        <f t="shared" si="1"/>
        <v>0</v>
      </c>
      <c r="O71" s="48">
        <v>11</v>
      </c>
      <c r="P71" s="46">
        <v>10</v>
      </c>
      <c r="Q71" s="46"/>
      <c r="R71" s="46"/>
      <c r="S71" s="46"/>
      <c r="T71" s="47">
        <f t="shared" si="2"/>
        <v>0</v>
      </c>
    </row>
    <row r="72" spans="1:20" ht="15.75" x14ac:dyDescent="0.25">
      <c r="A72" s="3">
        <f t="shared" si="3"/>
        <v>63</v>
      </c>
      <c r="B72" s="11" t="s">
        <v>75</v>
      </c>
      <c r="C72" s="15" t="s">
        <v>124</v>
      </c>
      <c r="D72" s="2"/>
      <c r="E72" s="17" t="s">
        <v>118</v>
      </c>
      <c r="F72" s="6" t="s">
        <v>191</v>
      </c>
      <c r="G72" s="26">
        <v>3</v>
      </c>
      <c r="H72" s="24">
        <v>1</v>
      </c>
      <c r="I72" s="24">
        <v>1</v>
      </c>
      <c r="J72" s="24"/>
      <c r="K72" s="24"/>
      <c r="L72" s="46"/>
      <c r="M72" s="46"/>
      <c r="N72" s="47">
        <f t="shared" si="1"/>
        <v>0</v>
      </c>
      <c r="O72" s="48">
        <v>3</v>
      </c>
      <c r="P72" s="46">
        <v>3</v>
      </c>
      <c r="Q72" s="46"/>
      <c r="R72" s="46"/>
      <c r="S72" s="46"/>
      <c r="T72" s="47">
        <f t="shared" si="2"/>
        <v>0</v>
      </c>
    </row>
    <row r="73" spans="1:20" ht="15.75" x14ac:dyDescent="0.25">
      <c r="A73" s="3">
        <f t="shared" si="3"/>
        <v>64</v>
      </c>
      <c r="B73" s="10" t="s">
        <v>76</v>
      </c>
      <c r="C73" s="15" t="s">
        <v>124</v>
      </c>
      <c r="D73" s="2"/>
      <c r="E73" s="10" t="s">
        <v>105</v>
      </c>
      <c r="F73" s="6" t="s">
        <v>192</v>
      </c>
      <c r="G73" s="26">
        <v>4</v>
      </c>
      <c r="H73" s="24"/>
      <c r="I73" s="24"/>
      <c r="J73" s="24"/>
      <c r="K73" s="24"/>
      <c r="L73" s="46"/>
      <c r="M73" s="46"/>
      <c r="N73" s="47">
        <f t="shared" si="1"/>
        <v>0</v>
      </c>
      <c r="O73" s="48">
        <v>3</v>
      </c>
      <c r="P73" s="46">
        <v>2</v>
      </c>
      <c r="Q73" s="46"/>
      <c r="R73" s="46"/>
      <c r="S73" s="46"/>
      <c r="T73" s="47">
        <f t="shared" si="2"/>
        <v>0</v>
      </c>
    </row>
    <row r="74" spans="1:20" ht="15.75" x14ac:dyDescent="0.25">
      <c r="A74" s="3">
        <f t="shared" si="3"/>
        <v>65</v>
      </c>
      <c r="B74" s="11" t="s">
        <v>77</v>
      </c>
      <c r="C74" s="15" t="s">
        <v>124</v>
      </c>
      <c r="D74" s="2"/>
      <c r="E74" s="10" t="s">
        <v>111</v>
      </c>
      <c r="F74" s="6" t="s">
        <v>225</v>
      </c>
      <c r="G74" s="26"/>
      <c r="H74" s="24"/>
      <c r="I74" s="24"/>
      <c r="J74" s="24"/>
      <c r="K74" s="24"/>
      <c r="L74" s="46"/>
      <c r="M74" s="46"/>
      <c r="N74" s="47">
        <f t="shared" si="1"/>
        <v>0</v>
      </c>
      <c r="O74" s="48">
        <v>1</v>
      </c>
      <c r="P74" s="46">
        <v>1</v>
      </c>
      <c r="Q74" s="46">
        <v>1</v>
      </c>
      <c r="R74" s="46">
        <v>3278.32</v>
      </c>
      <c r="S74" s="46"/>
      <c r="T74" s="47">
        <f t="shared" si="2"/>
        <v>3278.32</v>
      </c>
    </row>
    <row r="75" spans="1:20" ht="15.75" x14ac:dyDescent="0.25">
      <c r="A75" s="3">
        <f t="shared" si="3"/>
        <v>66</v>
      </c>
      <c r="B75" s="10" t="s">
        <v>78</v>
      </c>
      <c r="C75" s="15" t="s">
        <v>124</v>
      </c>
      <c r="D75" s="2"/>
      <c r="E75" s="23" t="s">
        <v>119</v>
      </c>
      <c r="F75" s="6" t="s">
        <v>193</v>
      </c>
      <c r="G75" s="26">
        <v>2</v>
      </c>
      <c r="H75" s="24"/>
      <c r="I75" s="24"/>
      <c r="J75" s="24"/>
      <c r="K75" s="24"/>
      <c r="L75" s="46"/>
      <c r="M75" s="46"/>
      <c r="N75" s="47">
        <f t="shared" si="1"/>
        <v>0</v>
      </c>
      <c r="O75" s="48">
        <v>2</v>
      </c>
      <c r="P75" s="46">
        <v>2</v>
      </c>
      <c r="Q75" s="46"/>
      <c r="R75" s="46"/>
      <c r="S75" s="46"/>
      <c r="T75" s="47">
        <f t="shared" si="2"/>
        <v>0</v>
      </c>
    </row>
    <row r="76" spans="1:20" ht="15.75" x14ac:dyDescent="0.25">
      <c r="A76" s="3">
        <f t="shared" ref="A76:A102" si="4">A75+1</f>
        <v>67</v>
      </c>
      <c r="B76" s="11" t="s">
        <v>79</v>
      </c>
      <c r="C76" s="15" t="s">
        <v>124</v>
      </c>
      <c r="D76" s="2"/>
      <c r="E76" s="17" t="s">
        <v>106</v>
      </c>
      <c r="F76" s="6" t="s">
        <v>194</v>
      </c>
      <c r="G76" s="26">
        <v>5</v>
      </c>
      <c r="H76" s="24">
        <v>2</v>
      </c>
      <c r="I76" s="24">
        <v>2</v>
      </c>
      <c r="J76" s="24">
        <v>1</v>
      </c>
      <c r="K76" s="24"/>
      <c r="L76" s="46"/>
      <c r="M76" s="46"/>
      <c r="N76" s="47">
        <f t="shared" si="1"/>
        <v>0</v>
      </c>
      <c r="O76" s="48">
        <v>3</v>
      </c>
      <c r="P76" s="46">
        <v>3</v>
      </c>
      <c r="Q76" s="46"/>
      <c r="R76" s="46"/>
      <c r="S76" s="46"/>
      <c r="T76" s="47">
        <f t="shared" si="2"/>
        <v>0</v>
      </c>
    </row>
    <row r="77" spans="1:20" ht="15.75" x14ac:dyDescent="0.25">
      <c r="A77" s="3">
        <f t="shared" si="4"/>
        <v>68</v>
      </c>
      <c r="B77" s="11" t="s">
        <v>80</v>
      </c>
      <c r="C77" s="15" t="s">
        <v>124</v>
      </c>
      <c r="D77" s="2"/>
      <c r="E77" s="17" t="s">
        <v>106</v>
      </c>
      <c r="F77" s="6" t="s">
        <v>195</v>
      </c>
      <c r="G77" s="26">
        <v>2</v>
      </c>
      <c r="H77" s="24"/>
      <c r="I77" s="24"/>
      <c r="J77" s="24"/>
      <c r="K77" s="24"/>
      <c r="L77" s="46"/>
      <c r="M77" s="46"/>
      <c r="N77" s="47">
        <f t="shared" si="1"/>
        <v>0</v>
      </c>
      <c r="O77" s="48"/>
      <c r="P77" s="46"/>
      <c r="Q77" s="46"/>
      <c r="R77" s="46"/>
      <c r="S77" s="46"/>
      <c r="T77" s="47">
        <f t="shared" si="2"/>
        <v>0</v>
      </c>
    </row>
    <row r="78" spans="1:20" ht="16.5" customHeight="1" x14ac:dyDescent="0.25">
      <c r="A78" s="3">
        <f t="shared" si="4"/>
        <v>69</v>
      </c>
      <c r="B78" s="14" t="s">
        <v>81</v>
      </c>
      <c r="C78" s="15" t="s">
        <v>124</v>
      </c>
      <c r="D78" s="2"/>
      <c r="E78" s="10" t="s">
        <v>106</v>
      </c>
      <c r="F78" s="6" t="s">
        <v>226</v>
      </c>
      <c r="G78" s="26"/>
      <c r="H78" s="24"/>
      <c r="I78" s="24"/>
      <c r="J78" s="24"/>
      <c r="K78" s="24"/>
      <c r="L78" s="46"/>
      <c r="M78" s="46"/>
      <c r="N78" s="47">
        <f t="shared" si="1"/>
        <v>0</v>
      </c>
      <c r="O78" s="48">
        <v>4</v>
      </c>
      <c r="P78" s="46">
        <v>4</v>
      </c>
      <c r="Q78" s="46">
        <v>3</v>
      </c>
      <c r="R78" s="46">
        <v>852.2</v>
      </c>
      <c r="S78" s="46"/>
      <c r="T78" s="47">
        <f t="shared" si="2"/>
        <v>852.2</v>
      </c>
    </row>
    <row r="79" spans="1:20" ht="15.75" x14ac:dyDescent="0.25">
      <c r="A79" s="3">
        <f t="shared" si="4"/>
        <v>70</v>
      </c>
      <c r="B79" s="14" t="s">
        <v>82</v>
      </c>
      <c r="C79" s="15" t="s">
        <v>124</v>
      </c>
      <c r="D79" s="2"/>
      <c r="E79" s="10" t="s">
        <v>106</v>
      </c>
      <c r="F79" s="6" t="s">
        <v>196</v>
      </c>
      <c r="G79" s="26">
        <v>3</v>
      </c>
      <c r="H79" s="24"/>
      <c r="I79" s="24"/>
      <c r="J79" s="24"/>
      <c r="K79" s="24"/>
      <c r="L79" s="46"/>
      <c r="M79" s="46"/>
      <c r="N79" s="47">
        <f t="shared" si="1"/>
        <v>0</v>
      </c>
      <c r="O79" s="48"/>
      <c r="P79" s="46"/>
      <c r="Q79" s="46"/>
      <c r="R79" s="46"/>
      <c r="S79" s="46"/>
      <c r="T79" s="47">
        <f t="shared" si="2"/>
        <v>0</v>
      </c>
    </row>
    <row r="80" spans="1:20" ht="15.75" x14ac:dyDescent="0.25">
      <c r="A80" s="3">
        <f t="shared" si="4"/>
        <v>71</v>
      </c>
      <c r="B80" s="14" t="s">
        <v>83</v>
      </c>
      <c r="C80" s="15" t="s">
        <v>124</v>
      </c>
      <c r="D80" s="2"/>
      <c r="E80" s="10" t="s">
        <v>106</v>
      </c>
      <c r="F80" s="6" t="s">
        <v>197</v>
      </c>
      <c r="G80" s="26">
        <v>5</v>
      </c>
      <c r="H80" s="24">
        <v>1</v>
      </c>
      <c r="I80" s="24">
        <v>1</v>
      </c>
      <c r="J80" s="24">
        <v>1</v>
      </c>
      <c r="K80" s="24"/>
      <c r="L80" s="46"/>
      <c r="M80" s="46"/>
      <c r="N80" s="47">
        <f t="shared" ref="N80:N102" si="5" xml:space="preserve"> (L80-M80)</f>
        <v>0</v>
      </c>
      <c r="O80" s="48">
        <v>5</v>
      </c>
      <c r="P80" s="46">
        <v>5</v>
      </c>
      <c r="Q80" s="46"/>
      <c r="R80" s="46"/>
      <c r="S80" s="46"/>
      <c r="T80" s="47">
        <f t="shared" ref="T80:T102" si="6" xml:space="preserve"> (R80-S80)</f>
        <v>0</v>
      </c>
    </row>
    <row r="81" spans="1:20" ht="15.75" x14ac:dyDescent="0.25">
      <c r="A81" s="3">
        <f t="shared" si="4"/>
        <v>72</v>
      </c>
      <c r="B81" s="11" t="s">
        <v>84</v>
      </c>
      <c r="C81" s="15" t="s">
        <v>124</v>
      </c>
      <c r="D81" s="2"/>
      <c r="E81" s="10" t="s">
        <v>120</v>
      </c>
      <c r="F81" s="6" t="s">
        <v>198</v>
      </c>
      <c r="G81" s="26"/>
      <c r="H81" s="24"/>
      <c r="I81" s="24"/>
      <c r="J81" s="24"/>
      <c r="K81" s="24"/>
      <c r="L81" s="46"/>
      <c r="M81" s="46"/>
      <c r="N81" s="47">
        <f t="shared" si="5"/>
        <v>0</v>
      </c>
      <c r="O81" s="48"/>
      <c r="P81" s="46"/>
      <c r="Q81" s="46"/>
      <c r="R81" s="46"/>
      <c r="S81" s="46"/>
      <c r="T81" s="47">
        <f t="shared" si="6"/>
        <v>0</v>
      </c>
    </row>
    <row r="82" spans="1:20" ht="15.75" x14ac:dyDescent="0.25">
      <c r="A82" s="3">
        <f t="shared" si="4"/>
        <v>73</v>
      </c>
      <c r="B82" s="13" t="s">
        <v>85</v>
      </c>
      <c r="C82" s="15" t="s">
        <v>124</v>
      </c>
      <c r="D82" s="2"/>
      <c r="E82" s="19" t="s">
        <v>106</v>
      </c>
      <c r="F82" s="6" t="s">
        <v>199</v>
      </c>
      <c r="G82" s="26">
        <v>5</v>
      </c>
      <c r="H82" s="24">
        <v>1</v>
      </c>
      <c r="I82" s="24">
        <v>1</v>
      </c>
      <c r="J82" s="24">
        <v>1</v>
      </c>
      <c r="K82" s="24"/>
      <c r="L82" s="46"/>
      <c r="M82" s="46"/>
      <c r="N82" s="47">
        <f t="shared" si="5"/>
        <v>0</v>
      </c>
      <c r="O82" s="48">
        <v>3</v>
      </c>
      <c r="P82" s="46">
        <v>3</v>
      </c>
      <c r="Q82" s="46"/>
      <c r="R82" s="46"/>
      <c r="S82" s="46"/>
      <c r="T82" s="47">
        <f t="shared" si="6"/>
        <v>0</v>
      </c>
    </row>
    <row r="83" spans="1:20" ht="15.75" x14ac:dyDescent="0.25">
      <c r="A83" s="3">
        <f t="shared" si="4"/>
        <v>74</v>
      </c>
      <c r="B83" s="10" t="s">
        <v>86</v>
      </c>
      <c r="C83" s="15" t="s">
        <v>124</v>
      </c>
      <c r="D83" s="2"/>
      <c r="E83" s="22" t="s">
        <v>118</v>
      </c>
      <c r="F83" s="6" t="s">
        <v>200</v>
      </c>
      <c r="G83" s="26">
        <v>4</v>
      </c>
      <c r="H83" s="24"/>
      <c r="I83" s="24"/>
      <c r="J83" s="24"/>
      <c r="K83" s="24"/>
      <c r="L83" s="46"/>
      <c r="M83" s="46"/>
      <c r="N83" s="47">
        <f t="shared" si="5"/>
        <v>0</v>
      </c>
      <c r="O83" s="48"/>
      <c r="P83" s="46"/>
      <c r="Q83" s="46"/>
      <c r="R83" s="46"/>
      <c r="S83" s="46"/>
      <c r="T83" s="47">
        <f t="shared" si="6"/>
        <v>0</v>
      </c>
    </row>
    <row r="84" spans="1:20" ht="15.75" x14ac:dyDescent="0.25">
      <c r="A84" s="3">
        <f t="shared" si="4"/>
        <v>75</v>
      </c>
      <c r="B84" s="10" t="s">
        <v>87</v>
      </c>
      <c r="C84" s="15" t="s">
        <v>124</v>
      </c>
      <c r="D84" s="2"/>
      <c r="E84" s="22" t="s">
        <v>115</v>
      </c>
      <c r="F84" s="6" t="s">
        <v>201</v>
      </c>
      <c r="G84" s="26">
        <v>3</v>
      </c>
      <c r="H84" s="24">
        <v>1</v>
      </c>
      <c r="I84" s="24">
        <v>1</v>
      </c>
      <c r="J84" s="24"/>
      <c r="K84" s="24"/>
      <c r="L84" s="46"/>
      <c r="M84" s="46"/>
      <c r="N84" s="47">
        <f t="shared" si="5"/>
        <v>0</v>
      </c>
      <c r="O84" s="48"/>
      <c r="P84" s="46"/>
      <c r="Q84" s="46"/>
      <c r="R84" s="46"/>
      <c r="S84" s="46"/>
      <c r="T84" s="47">
        <f t="shared" si="6"/>
        <v>0</v>
      </c>
    </row>
    <row r="85" spans="1:20" ht="15.75" x14ac:dyDescent="0.25">
      <c r="A85" s="3">
        <f t="shared" si="4"/>
        <v>76</v>
      </c>
      <c r="B85" s="11" t="s">
        <v>88</v>
      </c>
      <c r="C85" s="15" t="s">
        <v>124</v>
      </c>
      <c r="D85" s="2"/>
      <c r="E85" s="17" t="s">
        <v>121</v>
      </c>
      <c r="F85" s="6" t="s">
        <v>202</v>
      </c>
      <c r="G85" s="26">
        <v>10</v>
      </c>
      <c r="H85" s="24">
        <v>4</v>
      </c>
      <c r="I85" s="24">
        <v>6</v>
      </c>
      <c r="J85" s="24">
        <v>6</v>
      </c>
      <c r="K85" s="24"/>
      <c r="L85" s="46"/>
      <c r="M85" s="46"/>
      <c r="N85" s="47">
        <f t="shared" si="5"/>
        <v>0</v>
      </c>
      <c r="O85" s="48">
        <v>5</v>
      </c>
      <c r="P85" s="46">
        <v>4</v>
      </c>
      <c r="Q85" s="46"/>
      <c r="R85" s="46"/>
      <c r="S85" s="46"/>
      <c r="T85" s="47">
        <f t="shared" si="6"/>
        <v>0</v>
      </c>
    </row>
    <row r="86" spans="1:20" ht="15.75" x14ac:dyDescent="0.25">
      <c r="A86" s="3">
        <f t="shared" si="4"/>
        <v>77</v>
      </c>
      <c r="B86" s="14" t="s">
        <v>89</v>
      </c>
      <c r="C86" s="15" t="s">
        <v>124</v>
      </c>
      <c r="D86" s="2"/>
      <c r="E86" s="19" t="s">
        <v>106</v>
      </c>
      <c r="F86" s="6" t="s">
        <v>203</v>
      </c>
      <c r="G86" s="26">
        <v>1</v>
      </c>
      <c r="H86" s="24"/>
      <c r="I86" s="24"/>
      <c r="J86" s="24"/>
      <c r="K86" s="24"/>
      <c r="L86" s="46"/>
      <c r="M86" s="46"/>
      <c r="N86" s="47">
        <f t="shared" si="5"/>
        <v>0</v>
      </c>
      <c r="O86" s="48"/>
      <c r="P86" s="46"/>
      <c r="Q86" s="46"/>
      <c r="R86" s="46"/>
      <c r="S86" s="46"/>
      <c r="T86" s="47">
        <f t="shared" si="6"/>
        <v>0</v>
      </c>
    </row>
    <row r="87" spans="1:20" ht="15.75" x14ac:dyDescent="0.25">
      <c r="A87" s="3">
        <f t="shared" si="4"/>
        <v>78</v>
      </c>
      <c r="B87" s="14" t="s">
        <v>90</v>
      </c>
      <c r="C87" s="15" t="s">
        <v>124</v>
      </c>
      <c r="D87" s="2"/>
      <c r="E87" s="19" t="s">
        <v>106</v>
      </c>
      <c r="F87" s="6" t="s">
        <v>204</v>
      </c>
      <c r="G87" s="26">
        <v>2</v>
      </c>
      <c r="H87" s="24">
        <v>1</v>
      </c>
      <c r="I87" s="24">
        <v>1</v>
      </c>
      <c r="J87" s="24">
        <v>1</v>
      </c>
      <c r="K87" s="24"/>
      <c r="L87" s="46"/>
      <c r="M87" s="46"/>
      <c r="N87" s="47">
        <f t="shared" si="5"/>
        <v>0</v>
      </c>
      <c r="O87" s="48">
        <v>1</v>
      </c>
      <c r="P87" s="46">
        <v>1</v>
      </c>
      <c r="Q87" s="46"/>
      <c r="R87" s="46"/>
      <c r="S87" s="46"/>
      <c r="T87" s="47">
        <f t="shared" si="6"/>
        <v>0</v>
      </c>
    </row>
    <row r="88" spans="1:20" ht="15.75" x14ac:dyDescent="0.25">
      <c r="A88" s="3">
        <f t="shared" si="4"/>
        <v>79</v>
      </c>
      <c r="B88" s="10" t="s">
        <v>91</v>
      </c>
      <c r="C88" s="15" t="s">
        <v>124</v>
      </c>
      <c r="D88" s="2"/>
      <c r="E88" s="17" t="s">
        <v>111</v>
      </c>
      <c r="F88" s="6" t="s">
        <v>231</v>
      </c>
      <c r="G88" s="26">
        <v>1</v>
      </c>
      <c r="H88" s="24"/>
      <c r="I88" s="24"/>
      <c r="J88" s="24"/>
      <c r="K88" s="24"/>
      <c r="L88" s="46"/>
      <c r="M88" s="46"/>
      <c r="N88" s="47">
        <f t="shared" si="5"/>
        <v>0</v>
      </c>
      <c r="O88" s="48">
        <v>6</v>
      </c>
      <c r="P88" s="46">
        <v>4</v>
      </c>
      <c r="Q88" s="46">
        <v>4</v>
      </c>
      <c r="R88" s="46">
        <v>4474.76</v>
      </c>
      <c r="S88" s="46"/>
      <c r="T88" s="47">
        <f t="shared" si="6"/>
        <v>4474.76</v>
      </c>
    </row>
    <row r="89" spans="1:20" ht="15.75" x14ac:dyDescent="0.25">
      <c r="A89" s="3">
        <f t="shared" si="4"/>
        <v>80</v>
      </c>
      <c r="B89" s="10" t="s">
        <v>92</v>
      </c>
      <c r="C89" s="15" t="s">
        <v>124</v>
      </c>
      <c r="D89" s="2"/>
      <c r="E89" s="19" t="s">
        <v>106</v>
      </c>
      <c r="F89" s="6" t="s">
        <v>205</v>
      </c>
      <c r="G89" s="26">
        <v>1</v>
      </c>
      <c r="H89" s="24">
        <v>1</v>
      </c>
      <c r="I89" s="24">
        <v>1</v>
      </c>
      <c r="J89" s="24">
        <v>1</v>
      </c>
      <c r="K89" s="24"/>
      <c r="L89" s="46"/>
      <c r="M89" s="46"/>
      <c r="N89" s="47">
        <f t="shared" si="5"/>
        <v>0</v>
      </c>
      <c r="O89" s="48">
        <v>1</v>
      </c>
      <c r="P89" s="46">
        <v>1</v>
      </c>
      <c r="Q89" s="46"/>
      <c r="R89" s="46"/>
      <c r="S89" s="46"/>
      <c r="T89" s="47">
        <f t="shared" si="6"/>
        <v>0</v>
      </c>
    </row>
    <row r="90" spans="1:20" ht="15.75" x14ac:dyDescent="0.25">
      <c r="A90" s="3">
        <f t="shared" si="4"/>
        <v>81</v>
      </c>
      <c r="B90" s="11" t="s">
        <v>93</v>
      </c>
      <c r="C90" s="15" t="s">
        <v>124</v>
      </c>
      <c r="D90" s="2"/>
      <c r="E90" s="17" t="s">
        <v>122</v>
      </c>
      <c r="F90" s="6" t="s">
        <v>206</v>
      </c>
      <c r="G90" s="26">
        <v>9</v>
      </c>
      <c r="H90" s="24"/>
      <c r="I90" s="24"/>
      <c r="J90" s="24"/>
      <c r="K90" s="24"/>
      <c r="L90" s="46"/>
      <c r="M90" s="46"/>
      <c r="N90" s="47">
        <f t="shared" si="5"/>
        <v>0</v>
      </c>
      <c r="O90" s="48"/>
      <c r="P90" s="46"/>
      <c r="Q90" s="46"/>
      <c r="R90" s="46"/>
      <c r="S90" s="46"/>
      <c r="T90" s="47">
        <f t="shared" si="6"/>
        <v>0</v>
      </c>
    </row>
    <row r="91" spans="1:20" ht="15.75" x14ac:dyDescent="0.25">
      <c r="A91" s="3">
        <f t="shared" si="4"/>
        <v>82</v>
      </c>
      <c r="B91" s="11" t="s">
        <v>94</v>
      </c>
      <c r="C91" s="15" t="s">
        <v>124</v>
      </c>
      <c r="D91" s="2"/>
      <c r="E91" s="19" t="s">
        <v>106</v>
      </c>
      <c r="F91" s="6" t="s">
        <v>218</v>
      </c>
      <c r="G91" s="26">
        <v>2</v>
      </c>
      <c r="H91" s="24">
        <v>1</v>
      </c>
      <c r="I91" s="24">
        <v>1</v>
      </c>
      <c r="J91" s="24">
        <v>1</v>
      </c>
      <c r="K91" s="24"/>
      <c r="L91" s="46"/>
      <c r="M91" s="46"/>
      <c r="N91" s="47">
        <f t="shared" si="5"/>
        <v>0</v>
      </c>
      <c r="O91" s="48">
        <v>2</v>
      </c>
      <c r="P91" s="46">
        <v>2</v>
      </c>
      <c r="Q91" s="46"/>
      <c r="R91" s="46"/>
      <c r="S91" s="46"/>
      <c r="T91" s="47">
        <f t="shared" si="6"/>
        <v>0</v>
      </c>
    </row>
    <row r="92" spans="1:20" ht="15.75" x14ac:dyDescent="0.25">
      <c r="A92" s="3">
        <f t="shared" si="4"/>
        <v>83</v>
      </c>
      <c r="B92" s="11" t="s">
        <v>95</v>
      </c>
      <c r="C92" s="15" t="s">
        <v>124</v>
      </c>
      <c r="D92" s="2"/>
      <c r="E92" s="19" t="s">
        <v>123</v>
      </c>
      <c r="F92" s="6" t="s">
        <v>217</v>
      </c>
      <c r="G92" s="26">
        <v>5</v>
      </c>
      <c r="H92" s="24"/>
      <c r="I92" s="24"/>
      <c r="J92" s="24"/>
      <c r="K92" s="24"/>
      <c r="L92" s="46"/>
      <c r="M92" s="46"/>
      <c r="N92" s="47">
        <f t="shared" si="5"/>
        <v>0</v>
      </c>
      <c r="O92" s="48">
        <v>1</v>
      </c>
      <c r="P92" s="46">
        <v>1</v>
      </c>
      <c r="Q92" s="46"/>
      <c r="R92" s="46"/>
      <c r="S92" s="46"/>
      <c r="T92" s="47">
        <f t="shared" si="6"/>
        <v>0</v>
      </c>
    </row>
    <row r="93" spans="1:20" ht="15.75" x14ac:dyDescent="0.25">
      <c r="A93" s="3">
        <f t="shared" si="4"/>
        <v>84</v>
      </c>
      <c r="B93" s="11" t="s">
        <v>96</v>
      </c>
      <c r="C93" s="15" t="s">
        <v>124</v>
      </c>
      <c r="D93" s="2"/>
      <c r="E93" s="22" t="s">
        <v>112</v>
      </c>
      <c r="F93" s="6" t="s">
        <v>216</v>
      </c>
      <c r="G93" s="26">
        <v>10</v>
      </c>
      <c r="H93" s="24"/>
      <c r="I93" s="24"/>
      <c r="J93" s="24"/>
      <c r="K93" s="24"/>
      <c r="L93" s="46"/>
      <c r="M93" s="46"/>
      <c r="N93" s="47">
        <f t="shared" si="5"/>
        <v>0</v>
      </c>
      <c r="O93" s="48">
        <v>3</v>
      </c>
      <c r="P93" s="46">
        <v>3</v>
      </c>
      <c r="Q93" s="46"/>
      <c r="R93" s="46"/>
      <c r="S93" s="46"/>
      <c r="T93" s="47">
        <f t="shared" si="6"/>
        <v>0</v>
      </c>
    </row>
    <row r="94" spans="1:20" ht="15.75" x14ac:dyDescent="0.25">
      <c r="A94" s="3">
        <f t="shared" si="4"/>
        <v>85</v>
      </c>
      <c r="B94" s="11" t="s">
        <v>97</v>
      </c>
      <c r="C94" s="15" t="s">
        <v>124</v>
      </c>
      <c r="D94" s="2"/>
      <c r="E94" s="17" t="s">
        <v>111</v>
      </c>
      <c r="F94" s="6" t="s">
        <v>215</v>
      </c>
      <c r="G94" s="26">
        <v>5</v>
      </c>
      <c r="H94" s="24"/>
      <c r="I94" s="24"/>
      <c r="J94" s="24"/>
      <c r="K94" s="24"/>
      <c r="L94" s="46"/>
      <c r="M94" s="46"/>
      <c r="N94" s="47">
        <f t="shared" si="5"/>
        <v>0</v>
      </c>
      <c r="O94" s="48">
        <v>15</v>
      </c>
      <c r="P94" s="46">
        <v>11</v>
      </c>
      <c r="Q94" s="46"/>
      <c r="R94" s="46"/>
      <c r="S94" s="46"/>
      <c r="T94" s="47">
        <f t="shared" si="6"/>
        <v>0</v>
      </c>
    </row>
    <row r="95" spans="1:20" ht="15.75" x14ac:dyDescent="0.25">
      <c r="A95" s="3">
        <f t="shared" si="4"/>
        <v>86</v>
      </c>
      <c r="B95" s="10" t="s">
        <v>98</v>
      </c>
      <c r="C95" s="15" t="s">
        <v>124</v>
      </c>
      <c r="D95" s="2"/>
      <c r="E95" s="19" t="s">
        <v>106</v>
      </c>
      <c r="F95" s="6" t="s">
        <v>214</v>
      </c>
      <c r="G95" s="26">
        <v>7</v>
      </c>
      <c r="H95" s="24"/>
      <c r="I95" s="24"/>
      <c r="J95" s="24"/>
      <c r="K95" s="24"/>
      <c r="L95" s="46"/>
      <c r="M95" s="46"/>
      <c r="N95" s="47">
        <f t="shared" si="5"/>
        <v>0</v>
      </c>
      <c r="O95" s="48">
        <v>1</v>
      </c>
      <c r="P95" s="46">
        <v>1</v>
      </c>
      <c r="Q95" s="46"/>
      <c r="R95" s="46"/>
      <c r="S95" s="46"/>
      <c r="T95" s="47">
        <f t="shared" si="6"/>
        <v>0</v>
      </c>
    </row>
    <row r="96" spans="1:20" ht="15.75" x14ac:dyDescent="0.25">
      <c r="A96" s="3">
        <f t="shared" si="4"/>
        <v>87</v>
      </c>
      <c r="B96" s="10" t="s">
        <v>129</v>
      </c>
      <c r="C96" s="15" t="s">
        <v>124</v>
      </c>
      <c r="D96" s="2"/>
      <c r="E96" s="19" t="s">
        <v>106</v>
      </c>
      <c r="F96" s="6" t="s">
        <v>213</v>
      </c>
      <c r="G96" s="26">
        <v>2</v>
      </c>
      <c r="H96" s="24"/>
      <c r="I96" s="24"/>
      <c r="J96" s="24"/>
      <c r="K96" s="24"/>
      <c r="L96" s="46"/>
      <c r="M96" s="46"/>
      <c r="N96" s="47">
        <f t="shared" si="5"/>
        <v>0</v>
      </c>
      <c r="O96" s="48"/>
      <c r="P96" s="46"/>
      <c r="Q96" s="46"/>
      <c r="R96" s="46"/>
      <c r="S96" s="46"/>
      <c r="T96" s="47">
        <f t="shared" si="6"/>
        <v>0</v>
      </c>
    </row>
    <row r="97" spans="1:20" ht="15.75" x14ac:dyDescent="0.25">
      <c r="A97" s="3">
        <f t="shared" si="4"/>
        <v>88</v>
      </c>
      <c r="B97" s="10" t="s">
        <v>99</v>
      </c>
      <c r="C97" s="15" t="s">
        <v>124</v>
      </c>
      <c r="D97" s="2"/>
      <c r="E97" s="19" t="s">
        <v>106</v>
      </c>
      <c r="F97" s="6" t="s">
        <v>212</v>
      </c>
      <c r="G97" s="26">
        <v>4</v>
      </c>
      <c r="H97" s="24">
        <v>2</v>
      </c>
      <c r="I97" s="24">
        <v>2</v>
      </c>
      <c r="J97" s="24">
        <v>2</v>
      </c>
      <c r="K97" s="24"/>
      <c r="L97" s="46"/>
      <c r="M97" s="46"/>
      <c r="N97" s="47">
        <f t="shared" si="5"/>
        <v>0</v>
      </c>
      <c r="O97" s="48">
        <v>3</v>
      </c>
      <c r="P97" s="46">
        <v>3</v>
      </c>
      <c r="Q97" s="46"/>
      <c r="R97" s="46"/>
      <c r="S97" s="46"/>
      <c r="T97" s="47">
        <f t="shared" si="6"/>
        <v>0</v>
      </c>
    </row>
    <row r="98" spans="1:20" ht="15.75" x14ac:dyDescent="0.25">
      <c r="A98" s="3">
        <f t="shared" si="4"/>
        <v>89</v>
      </c>
      <c r="B98" s="13" t="s">
        <v>100</v>
      </c>
      <c r="C98" s="15" t="s">
        <v>124</v>
      </c>
      <c r="D98" s="2"/>
      <c r="E98" s="19" t="s">
        <v>106</v>
      </c>
      <c r="F98" s="6" t="s">
        <v>211</v>
      </c>
      <c r="G98" s="26">
        <v>3</v>
      </c>
      <c r="H98" s="24"/>
      <c r="I98" s="24"/>
      <c r="J98" s="24"/>
      <c r="K98" s="24"/>
      <c r="L98" s="46"/>
      <c r="M98" s="46"/>
      <c r="N98" s="47">
        <f t="shared" si="5"/>
        <v>0</v>
      </c>
      <c r="O98" s="48">
        <v>5</v>
      </c>
      <c r="P98" s="46">
        <v>4</v>
      </c>
      <c r="Q98" s="46"/>
      <c r="R98" s="46"/>
      <c r="S98" s="46"/>
      <c r="T98" s="47">
        <f t="shared" si="6"/>
        <v>0</v>
      </c>
    </row>
    <row r="99" spans="1:20" ht="14.25" customHeight="1" x14ac:dyDescent="0.25">
      <c r="A99" s="3">
        <f t="shared" si="4"/>
        <v>90</v>
      </c>
      <c r="B99" s="13" t="s">
        <v>101</v>
      </c>
      <c r="C99" s="15" t="s">
        <v>124</v>
      </c>
      <c r="D99" s="2"/>
      <c r="E99" s="17" t="s">
        <v>106</v>
      </c>
      <c r="F99" s="6" t="s">
        <v>210</v>
      </c>
      <c r="G99" s="26">
        <v>2</v>
      </c>
      <c r="H99" s="24"/>
      <c r="I99" s="24"/>
      <c r="J99" s="24"/>
      <c r="K99" s="24"/>
      <c r="L99" s="46"/>
      <c r="M99" s="46"/>
      <c r="N99" s="47">
        <f t="shared" si="5"/>
        <v>0</v>
      </c>
      <c r="O99" s="48">
        <v>4</v>
      </c>
      <c r="P99" s="46">
        <v>4</v>
      </c>
      <c r="Q99" s="46"/>
      <c r="R99" s="46"/>
      <c r="S99" s="46"/>
      <c r="T99" s="47">
        <f t="shared" si="6"/>
        <v>0</v>
      </c>
    </row>
    <row r="100" spans="1:20" ht="15.75" x14ac:dyDescent="0.25">
      <c r="A100" s="3">
        <f t="shared" si="4"/>
        <v>91</v>
      </c>
      <c r="B100" s="13" t="s">
        <v>102</v>
      </c>
      <c r="C100" s="15" t="s">
        <v>124</v>
      </c>
      <c r="D100" s="2"/>
      <c r="E100" s="17" t="s">
        <v>106</v>
      </c>
      <c r="F100" s="6" t="s">
        <v>209</v>
      </c>
      <c r="G100" s="26">
        <v>6</v>
      </c>
      <c r="H100" s="24">
        <v>2</v>
      </c>
      <c r="I100" s="24">
        <v>2</v>
      </c>
      <c r="J100" s="24">
        <v>1</v>
      </c>
      <c r="K100" s="24"/>
      <c r="L100" s="46"/>
      <c r="M100" s="46"/>
      <c r="N100" s="47">
        <f t="shared" si="5"/>
        <v>0</v>
      </c>
      <c r="O100" s="48">
        <v>5</v>
      </c>
      <c r="P100" s="46">
        <v>5</v>
      </c>
      <c r="Q100" s="46"/>
      <c r="R100" s="46"/>
      <c r="S100" s="46"/>
      <c r="T100" s="47">
        <f t="shared" si="6"/>
        <v>0</v>
      </c>
    </row>
    <row r="101" spans="1:20" ht="15.75" x14ac:dyDescent="0.25">
      <c r="A101" s="3">
        <f t="shared" si="4"/>
        <v>92</v>
      </c>
      <c r="B101" s="11" t="s">
        <v>103</v>
      </c>
      <c r="C101" s="15" t="s">
        <v>124</v>
      </c>
      <c r="D101" s="2"/>
      <c r="E101" s="22" t="s">
        <v>112</v>
      </c>
      <c r="F101" s="6" t="s">
        <v>208</v>
      </c>
      <c r="G101" s="26">
        <v>14</v>
      </c>
      <c r="H101" s="24">
        <v>1</v>
      </c>
      <c r="I101" s="24">
        <v>1</v>
      </c>
      <c r="J101" s="24"/>
      <c r="K101" s="24"/>
      <c r="L101" s="46"/>
      <c r="M101" s="46"/>
      <c r="N101" s="47">
        <f t="shared" si="5"/>
        <v>0</v>
      </c>
      <c r="O101" s="48">
        <v>13</v>
      </c>
      <c r="P101" s="46">
        <v>5</v>
      </c>
      <c r="Q101" s="46"/>
      <c r="R101" s="46"/>
      <c r="S101" s="46"/>
      <c r="T101" s="47">
        <f t="shared" si="6"/>
        <v>0</v>
      </c>
    </row>
    <row r="102" spans="1:20" ht="16.5" thickBot="1" x14ac:dyDescent="0.3">
      <c r="A102" s="3">
        <f t="shared" si="4"/>
        <v>93</v>
      </c>
      <c r="B102" s="30" t="s">
        <v>104</v>
      </c>
      <c r="C102" s="31" t="s">
        <v>124</v>
      </c>
      <c r="D102" s="32"/>
      <c r="E102" s="33" t="s">
        <v>106</v>
      </c>
      <c r="F102" s="6" t="s">
        <v>207</v>
      </c>
      <c r="G102" s="35">
        <v>3</v>
      </c>
      <c r="H102" s="36"/>
      <c r="I102" s="36"/>
      <c r="J102" s="36"/>
      <c r="K102" s="36"/>
      <c r="L102" s="50"/>
      <c r="M102" s="50"/>
      <c r="N102" s="47">
        <f t="shared" si="5"/>
        <v>0</v>
      </c>
      <c r="O102" s="52"/>
      <c r="P102" s="50"/>
      <c r="Q102" s="50"/>
      <c r="R102" s="50"/>
      <c r="S102" s="50"/>
      <c r="T102" s="51">
        <f t="shared" si="6"/>
        <v>0</v>
      </c>
    </row>
    <row r="103" spans="1:20" x14ac:dyDescent="0.25">
      <c r="A103" s="294"/>
      <c r="B103" s="294"/>
      <c r="C103" s="294"/>
      <c r="D103" s="294"/>
      <c r="E103" s="294"/>
      <c r="F103" s="294"/>
      <c r="G103" s="27">
        <f t="shared" ref="G103:N103" si="7">SUM(G10:G102)</f>
        <v>357</v>
      </c>
      <c r="H103" s="27">
        <f t="shared" si="7"/>
        <v>69</v>
      </c>
      <c r="I103" s="27">
        <f t="shared" si="7"/>
        <v>75</v>
      </c>
      <c r="J103" s="27">
        <f t="shared" si="7"/>
        <v>56</v>
      </c>
      <c r="K103" s="27">
        <f t="shared" si="7"/>
        <v>9</v>
      </c>
      <c r="L103" s="53">
        <f t="shared" si="7"/>
        <v>7792.7899999999991</v>
      </c>
      <c r="M103" s="53">
        <f t="shared" si="7"/>
        <v>3247.5499999999997</v>
      </c>
      <c r="N103" s="53">
        <f t="shared" si="7"/>
        <v>4545.24</v>
      </c>
      <c r="O103" s="53">
        <f>SUM(O10:O102)</f>
        <v>318</v>
      </c>
      <c r="P103" s="53">
        <f>SUM(P10:P102)</f>
        <v>272</v>
      </c>
      <c r="Q103" s="53">
        <f>SUM(Q11:Q102)</f>
        <v>75</v>
      </c>
      <c r="R103" s="53">
        <f>SUM(R11:R102)</f>
        <v>93883.999999999985</v>
      </c>
      <c r="S103" s="53">
        <f>SUM(S11:S102)</f>
        <v>31897.260000000002</v>
      </c>
      <c r="T103" s="54">
        <f>SUM(T10:T102)</f>
        <v>65339.55</v>
      </c>
    </row>
  </sheetData>
  <mergeCells count="8">
    <mergeCell ref="A103:F103"/>
    <mergeCell ref="A1:Q1"/>
    <mergeCell ref="R1:T1"/>
    <mergeCell ref="A2:T6"/>
    <mergeCell ref="A7:A8"/>
    <mergeCell ref="B7:F7"/>
    <mergeCell ref="G7:N7"/>
    <mergeCell ref="O7:T7"/>
  </mergeCells>
  <phoneticPr fontId="0" type="noConversion"/>
  <conditionalFormatting sqref="R46:S46">
    <cfRule type="cellIs" dxfId="444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3"/>
  <sheetViews>
    <sheetView topLeftCell="A92" zoomScale="70" zoomScaleNormal="70" workbookViewId="0">
      <selection activeCell="C74" sqref="A74:IV74"/>
    </sheetView>
  </sheetViews>
  <sheetFormatPr defaultRowHeight="15" x14ac:dyDescent="0.25"/>
  <cols>
    <col min="1" max="1" width="9.140625" customWidth="1"/>
    <col min="2" max="2" width="40.7109375" customWidth="1"/>
    <col min="3" max="3" width="10.140625" customWidth="1"/>
    <col min="4" max="4" width="12.28515625" customWidth="1"/>
    <col min="5" max="5" width="20.5703125" customWidth="1"/>
    <col min="6" max="6" width="8.7109375" style="55" customWidth="1"/>
    <col min="7" max="7" width="12.140625" customWidth="1"/>
    <col min="8" max="8" width="12.85546875" customWidth="1"/>
    <col min="9" max="9" width="11" customWidth="1"/>
    <col min="10" max="10" width="12.140625" customWidth="1"/>
    <col min="11" max="11" width="14.85546875" style="55" customWidth="1"/>
    <col min="12" max="12" width="10.7109375" style="55" customWidth="1"/>
    <col min="13" max="13" width="11.42578125" customWidth="1"/>
    <col min="14" max="14" width="11.140625" customWidth="1"/>
    <col min="15" max="15" width="13.28515625" customWidth="1"/>
    <col min="16" max="16" width="13" customWidth="1"/>
    <col min="17" max="17" width="12.85546875" style="55" customWidth="1"/>
    <col min="18" max="18" width="12" style="55" customWidth="1"/>
    <col min="19" max="19" width="12.5703125" customWidth="1"/>
  </cols>
  <sheetData>
    <row r="1" spans="1:20" ht="15.75" thickBot="1" x14ac:dyDescent="0.3">
      <c r="A1" s="310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2"/>
      <c r="R1" s="313" t="s">
        <v>17</v>
      </c>
      <c r="S1" s="313"/>
      <c r="T1" s="313"/>
    </row>
    <row r="2" spans="1:20" x14ac:dyDescent="0.25">
      <c r="A2" s="295" t="s">
        <v>236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7"/>
    </row>
    <row r="3" spans="1:20" x14ac:dyDescent="0.25">
      <c r="A3" s="298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300"/>
    </row>
    <row r="4" spans="1:20" ht="34.5" customHeight="1" x14ac:dyDescent="0.25">
      <c r="A4" s="298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300"/>
    </row>
    <row r="5" spans="1:20" x14ac:dyDescent="0.25">
      <c r="A5" s="298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300"/>
    </row>
    <row r="6" spans="1:20" ht="15.75" thickBot="1" x14ac:dyDescent="0.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3"/>
    </row>
    <row r="7" spans="1:20" ht="76.5" customHeight="1" thickBot="1" x14ac:dyDescent="0.3">
      <c r="A7" s="305" t="s">
        <v>0</v>
      </c>
      <c r="B7" s="307" t="s">
        <v>1</v>
      </c>
      <c r="C7" s="308"/>
      <c r="D7" s="308"/>
      <c r="E7" s="308"/>
      <c r="F7" s="309"/>
      <c r="G7" s="307" t="s">
        <v>2</v>
      </c>
      <c r="H7" s="308"/>
      <c r="I7" s="308"/>
      <c r="J7" s="308"/>
      <c r="K7" s="308"/>
      <c r="L7" s="308"/>
      <c r="M7" s="308"/>
      <c r="N7" s="309"/>
      <c r="O7" s="314" t="s">
        <v>235</v>
      </c>
      <c r="P7" s="315"/>
      <c r="Q7" s="315"/>
      <c r="R7" s="315"/>
      <c r="S7" s="315"/>
      <c r="T7" s="316"/>
    </row>
    <row r="8" spans="1:20" ht="173.25" customHeight="1" x14ac:dyDescent="0.25">
      <c r="A8" s="306"/>
      <c r="B8" s="8" t="s">
        <v>4</v>
      </c>
      <c r="C8" s="8" t="s">
        <v>5</v>
      </c>
      <c r="D8" s="8" t="s">
        <v>6</v>
      </c>
      <c r="E8" s="8" t="s">
        <v>7</v>
      </c>
      <c r="F8" s="41" t="s">
        <v>8</v>
      </c>
      <c r="G8" s="7" t="s">
        <v>9</v>
      </c>
      <c r="H8" s="8" t="s">
        <v>10</v>
      </c>
      <c r="I8" s="8" t="s">
        <v>11</v>
      </c>
      <c r="J8" s="8" t="s">
        <v>12</v>
      </c>
      <c r="K8" s="40" t="s">
        <v>13</v>
      </c>
      <c r="L8" s="40" t="s">
        <v>14</v>
      </c>
      <c r="M8" s="40" t="s">
        <v>15</v>
      </c>
      <c r="N8" s="41" t="s">
        <v>16</v>
      </c>
      <c r="O8" s="42" t="s">
        <v>11</v>
      </c>
      <c r="P8" s="40" t="s">
        <v>12</v>
      </c>
      <c r="Q8" s="40" t="s">
        <v>13</v>
      </c>
      <c r="R8" s="40" t="s">
        <v>14</v>
      </c>
      <c r="S8" s="40" t="s">
        <v>15</v>
      </c>
      <c r="T8" s="41" t="s">
        <v>16</v>
      </c>
    </row>
    <row r="9" spans="1:20" x14ac:dyDescent="0.25">
      <c r="A9" s="4">
        <v>1</v>
      </c>
      <c r="B9" s="1">
        <v>2</v>
      </c>
      <c r="C9" s="1">
        <v>3</v>
      </c>
      <c r="D9" s="1">
        <v>4</v>
      </c>
      <c r="E9" s="1">
        <v>5</v>
      </c>
      <c r="F9" s="44">
        <v>6</v>
      </c>
      <c r="G9" s="4">
        <f>F9+1</f>
        <v>7</v>
      </c>
      <c r="H9" s="1">
        <f t="shared" ref="H9:T9" si="0">G9+1</f>
        <v>8</v>
      </c>
      <c r="I9" s="1">
        <f t="shared" si="0"/>
        <v>9</v>
      </c>
      <c r="J9" s="1">
        <f t="shared" si="0"/>
        <v>10</v>
      </c>
      <c r="K9" s="43">
        <f t="shared" si="0"/>
        <v>11</v>
      </c>
      <c r="L9" s="43">
        <f t="shared" si="0"/>
        <v>12</v>
      </c>
      <c r="M9" s="43">
        <f t="shared" si="0"/>
        <v>13</v>
      </c>
      <c r="N9" s="44">
        <f t="shared" si="0"/>
        <v>14</v>
      </c>
      <c r="O9" s="45">
        <f t="shared" si="0"/>
        <v>15</v>
      </c>
      <c r="P9" s="43">
        <f t="shared" si="0"/>
        <v>16</v>
      </c>
      <c r="Q9" s="43">
        <f t="shared" si="0"/>
        <v>17</v>
      </c>
      <c r="R9" s="43">
        <f t="shared" si="0"/>
        <v>18</v>
      </c>
      <c r="S9" s="43">
        <f t="shared" si="0"/>
        <v>19</v>
      </c>
      <c r="T9" s="44">
        <f t="shared" si="0"/>
        <v>20</v>
      </c>
    </row>
    <row r="10" spans="1:20" ht="25.5" x14ac:dyDescent="0.25">
      <c r="A10" s="3">
        <v>1</v>
      </c>
      <c r="B10" s="10" t="s">
        <v>18</v>
      </c>
      <c r="C10" s="15" t="s">
        <v>124</v>
      </c>
      <c r="D10" s="2"/>
      <c r="E10" s="16" t="s">
        <v>105</v>
      </c>
      <c r="F10" s="56" t="s">
        <v>138</v>
      </c>
      <c r="G10" s="26">
        <v>9</v>
      </c>
      <c r="H10" s="24">
        <v>3</v>
      </c>
      <c r="I10" s="24">
        <v>3</v>
      </c>
      <c r="J10" s="24">
        <v>3</v>
      </c>
      <c r="K10" s="46">
        <v>3</v>
      </c>
      <c r="L10" s="46">
        <v>1033.5</v>
      </c>
      <c r="M10" s="46">
        <v>1033.5</v>
      </c>
      <c r="N10" s="47">
        <f xml:space="preserve"> (L10-M10)</f>
        <v>0</v>
      </c>
      <c r="O10" s="48">
        <v>4</v>
      </c>
      <c r="P10" s="46">
        <v>2</v>
      </c>
      <c r="Q10" s="46">
        <v>2</v>
      </c>
      <c r="R10" s="46">
        <v>3352.81</v>
      </c>
      <c r="S10" s="46">
        <v>3352.81</v>
      </c>
      <c r="T10" s="47">
        <f xml:space="preserve"> (R10-S10)</f>
        <v>0</v>
      </c>
    </row>
    <row r="11" spans="1:20" ht="25.5" x14ac:dyDescent="0.25">
      <c r="A11" s="3">
        <f>A10+1</f>
        <v>2</v>
      </c>
      <c r="B11" s="10" t="s">
        <v>19</v>
      </c>
      <c r="C11" s="15" t="s">
        <v>124</v>
      </c>
      <c r="D11" s="2"/>
      <c r="E11" s="17" t="s">
        <v>106</v>
      </c>
      <c r="F11" s="56" t="s">
        <v>139</v>
      </c>
      <c r="G11" s="26">
        <v>1</v>
      </c>
      <c r="H11" s="24"/>
      <c r="I11" s="24"/>
      <c r="J11" s="24"/>
      <c r="K11" s="46"/>
      <c r="L11" s="46"/>
      <c r="M11" s="46"/>
      <c r="N11" s="47">
        <f t="shared" ref="N11:N79" si="1" xml:space="preserve"> (L11-M11)</f>
        <v>0</v>
      </c>
      <c r="O11" s="48">
        <v>1</v>
      </c>
      <c r="P11" s="46">
        <v>1</v>
      </c>
      <c r="Q11" s="46">
        <v>1</v>
      </c>
      <c r="R11" s="46">
        <v>234.23</v>
      </c>
      <c r="S11" s="46">
        <v>234.23</v>
      </c>
      <c r="T11" s="47">
        <f t="shared" ref="T11:T79" si="2" xml:space="preserve"> (R11-S11)</f>
        <v>0</v>
      </c>
    </row>
    <row r="12" spans="1:20" ht="25.5" x14ac:dyDescent="0.25">
      <c r="A12" s="3">
        <f t="shared" ref="A12:A75" si="3">A11+1</f>
        <v>3</v>
      </c>
      <c r="B12" s="11" t="s">
        <v>20</v>
      </c>
      <c r="C12" s="15" t="s">
        <v>124</v>
      </c>
      <c r="D12" s="2"/>
      <c r="E12" s="17" t="s">
        <v>107</v>
      </c>
      <c r="F12" s="56" t="s">
        <v>223</v>
      </c>
      <c r="G12" s="26"/>
      <c r="H12" s="24"/>
      <c r="I12" s="24"/>
      <c r="J12" s="24"/>
      <c r="K12" s="46"/>
      <c r="L12" s="46"/>
      <c r="M12" s="46"/>
      <c r="N12" s="47">
        <f t="shared" si="1"/>
        <v>0</v>
      </c>
      <c r="O12" s="48">
        <v>2</v>
      </c>
      <c r="P12" s="46"/>
      <c r="Q12" s="46"/>
      <c r="R12" s="46"/>
      <c r="S12" s="46"/>
      <c r="T12" s="47">
        <f t="shared" si="2"/>
        <v>0</v>
      </c>
    </row>
    <row r="13" spans="1:20" ht="25.5" x14ac:dyDescent="0.25">
      <c r="A13" s="3">
        <f t="shared" si="3"/>
        <v>4</v>
      </c>
      <c r="B13" s="11" t="s">
        <v>21</v>
      </c>
      <c r="C13" s="15" t="s">
        <v>124</v>
      </c>
      <c r="D13" s="2"/>
      <c r="E13" s="17" t="s">
        <v>108</v>
      </c>
      <c r="F13" s="56" t="s">
        <v>140</v>
      </c>
      <c r="G13" s="26">
        <v>4</v>
      </c>
      <c r="H13" s="24">
        <v>1</v>
      </c>
      <c r="I13" s="24">
        <v>1</v>
      </c>
      <c r="J13" s="24">
        <v>1</v>
      </c>
      <c r="K13" s="46"/>
      <c r="L13" s="46"/>
      <c r="M13" s="46"/>
      <c r="N13" s="47">
        <f t="shared" si="1"/>
        <v>0</v>
      </c>
      <c r="O13" s="48">
        <v>4</v>
      </c>
      <c r="P13" s="46">
        <v>3</v>
      </c>
      <c r="Q13" s="46"/>
      <c r="R13" s="46"/>
      <c r="S13" s="46"/>
      <c r="T13" s="47">
        <f t="shared" si="2"/>
        <v>0</v>
      </c>
    </row>
    <row r="14" spans="1:20" ht="25.5" x14ac:dyDescent="0.25">
      <c r="A14" s="3">
        <f t="shared" si="3"/>
        <v>5</v>
      </c>
      <c r="B14" s="10" t="s">
        <v>22</v>
      </c>
      <c r="C14" s="15" t="s">
        <v>124</v>
      </c>
      <c r="D14" s="2"/>
      <c r="E14" s="17" t="s">
        <v>106</v>
      </c>
      <c r="F14" s="56" t="s">
        <v>141</v>
      </c>
      <c r="G14" s="26">
        <v>7</v>
      </c>
      <c r="H14" s="24">
        <v>2</v>
      </c>
      <c r="I14" s="24">
        <v>2</v>
      </c>
      <c r="J14" s="24">
        <v>1</v>
      </c>
      <c r="K14" s="46"/>
      <c r="L14" s="46"/>
      <c r="M14" s="46"/>
      <c r="N14" s="47">
        <f t="shared" si="1"/>
        <v>0</v>
      </c>
      <c r="O14" s="48">
        <v>3</v>
      </c>
      <c r="P14" s="46">
        <v>3</v>
      </c>
      <c r="Q14" s="46"/>
      <c r="R14" s="46"/>
      <c r="S14" s="46"/>
      <c r="T14" s="47">
        <f t="shared" si="2"/>
        <v>0</v>
      </c>
    </row>
    <row r="15" spans="1:20" ht="25.5" x14ac:dyDescent="0.25">
      <c r="A15" s="3">
        <f t="shared" si="3"/>
        <v>6</v>
      </c>
      <c r="B15" s="10" t="s">
        <v>23</v>
      </c>
      <c r="C15" s="15" t="s">
        <v>124</v>
      </c>
      <c r="D15" s="2"/>
      <c r="E15" s="17" t="s">
        <v>106</v>
      </c>
      <c r="F15" s="56" t="s">
        <v>142</v>
      </c>
      <c r="G15" s="26">
        <v>7</v>
      </c>
      <c r="H15" s="24">
        <v>3</v>
      </c>
      <c r="I15" s="24">
        <v>3</v>
      </c>
      <c r="J15" s="24">
        <v>3</v>
      </c>
      <c r="K15" s="46"/>
      <c r="L15" s="46"/>
      <c r="M15" s="46"/>
      <c r="N15" s="47">
        <f t="shared" si="1"/>
        <v>0</v>
      </c>
      <c r="O15" s="48">
        <v>9</v>
      </c>
      <c r="P15" s="46">
        <v>8</v>
      </c>
      <c r="Q15" s="46">
        <v>5</v>
      </c>
      <c r="R15" s="46">
        <v>4569.41</v>
      </c>
      <c r="S15" s="46">
        <v>4569.41</v>
      </c>
      <c r="T15" s="47">
        <f t="shared" si="2"/>
        <v>0</v>
      </c>
    </row>
    <row r="16" spans="1:20" ht="25.5" x14ac:dyDescent="0.25">
      <c r="A16" s="3">
        <f t="shared" si="3"/>
        <v>7</v>
      </c>
      <c r="B16" s="10" t="s">
        <v>133</v>
      </c>
      <c r="C16" s="15" t="s">
        <v>124</v>
      </c>
      <c r="D16" s="2"/>
      <c r="E16" s="17" t="s">
        <v>106</v>
      </c>
      <c r="F16" s="56" t="s">
        <v>143</v>
      </c>
      <c r="G16" s="26"/>
      <c r="H16" s="24"/>
      <c r="I16" s="24"/>
      <c r="J16" s="24"/>
      <c r="K16" s="46"/>
      <c r="L16" s="46"/>
      <c r="M16" s="46"/>
      <c r="N16" s="47">
        <f t="shared" si="1"/>
        <v>0</v>
      </c>
      <c r="O16" s="48"/>
      <c r="P16" s="46"/>
      <c r="Q16" s="46"/>
      <c r="R16" s="46"/>
      <c r="S16" s="46"/>
      <c r="T16" s="47">
        <f t="shared" si="2"/>
        <v>0</v>
      </c>
    </row>
    <row r="17" spans="1:20" ht="25.5" x14ac:dyDescent="0.25">
      <c r="A17" s="3">
        <f t="shared" si="3"/>
        <v>8</v>
      </c>
      <c r="B17" s="10" t="s">
        <v>24</v>
      </c>
      <c r="C17" s="15" t="s">
        <v>124</v>
      </c>
      <c r="D17" s="2"/>
      <c r="E17" s="17" t="s">
        <v>109</v>
      </c>
      <c r="F17" s="56" t="s">
        <v>144</v>
      </c>
      <c r="G17" s="26">
        <v>4</v>
      </c>
      <c r="H17" s="24"/>
      <c r="I17" s="24"/>
      <c r="J17" s="24"/>
      <c r="K17" s="46"/>
      <c r="L17" s="46"/>
      <c r="M17" s="46"/>
      <c r="N17" s="47">
        <f t="shared" si="1"/>
        <v>0</v>
      </c>
      <c r="O17" s="48"/>
      <c r="P17" s="46"/>
      <c r="Q17" s="46"/>
      <c r="R17" s="46"/>
      <c r="S17" s="46"/>
      <c r="T17" s="47">
        <f t="shared" si="2"/>
        <v>0</v>
      </c>
    </row>
    <row r="18" spans="1:20" ht="25.5" x14ac:dyDescent="0.25">
      <c r="A18" s="3">
        <f t="shared" si="3"/>
        <v>9</v>
      </c>
      <c r="B18" s="10" t="s">
        <v>25</v>
      </c>
      <c r="C18" s="15" t="s">
        <v>124</v>
      </c>
      <c r="D18" s="2"/>
      <c r="E18" s="18" t="s">
        <v>110</v>
      </c>
      <c r="F18" s="56" t="s">
        <v>145</v>
      </c>
      <c r="G18" s="26">
        <v>1</v>
      </c>
      <c r="H18" s="24"/>
      <c r="I18" s="24"/>
      <c r="J18" s="24"/>
      <c r="K18" s="46"/>
      <c r="L18" s="46"/>
      <c r="M18" s="46"/>
      <c r="N18" s="47">
        <f t="shared" si="1"/>
        <v>0</v>
      </c>
      <c r="O18" s="48">
        <v>3</v>
      </c>
      <c r="P18" s="46">
        <v>1</v>
      </c>
      <c r="Q18" s="46"/>
      <c r="R18" s="46"/>
      <c r="S18" s="46"/>
      <c r="T18" s="47">
        <f t="shared" si="2"/>
        <v>0</v>
      </c>
    </row>
    <row r="19" spans="1:20" ht="25.5" x14ac:dyDescent="0.25">
      <c r="A19" s="3">
        <f t="shared" si="3"/>
        <v>10</v>
      </c>
      <c r="B19" s="12" t="s">
        <v>26</v>
      </c>
      <c r="C19" s="15" t="s">
        <v>124</v>
      </c>
      <c r="D19" s="2"/>
      <c r="E19" s="19" t="s">
        <v>107</v>
      </c>
      <c r="F19" s="56" t="s">
        <v>146</v>
      </c>
      <c r="G19" s="26">
        <v>10</v>
      </c>
      <c r="H19" s="24">
        <v>3</v>
      </c>
      <c r="I19" s="24">
        <v>4</v>
      </c>
      <c r="J19" s="24">
        <v>4</v>
      </c>
      <c r="K19" s="46">
        <v>1</v>
      </c>
      <c r="L19" s="46">
        <v>749.29</v>
      </c>
      <c r="M19" s="46">
        <v>749.29</v>
      </c>
      <c r="N19" s="47">
        <f t="shared" si="1"/>
        <v>0</v>
      </c>
      <c r="O19" s="48">
        <v>10</v>
      </c>
      <c r="P19" s="46">
        <v>10</v>
      </c>
      <c r="Q19" s="46">
        <v>4</v>
      </c>
      <c r="R19" s="46">
        <v>9246.57</v>
      </c>
      <c r="S19" s="46">
        <v>9246.57</v>
      </c>
      <c r="T19" s="47">
        <f t="shared" si="2"/>
        <v>0</v>
      </c>
    </row>
    <row r="20" spans="1:20" ht="25.5" x14ac:dyDescent="0.25">
      <c r="A20" s="3">
        <f t="shared" si="3"/>
        <v>11</v>
      </c>
      <c r="B20" s="11" t="s">
        <v>27</v>
      </c>
      <c r="C20" s="15" t="s">
        <v>124</v>
      </c>
      <c r="D20" s="2"/>
      <c r="E20" s="17" t="s">
        <v>111</v>
      </c>
      <c r="F20" s="56" t="s">
        <v>147</v>
      </c>
      <c r="G20" s="26">
        <v>6</v>
      </c>
      <c r="H20" s="24"/>
      <c r="I20" s="24"/>
      <c r="J20" s="24"/>
      <c r="K20" s="46"/>
      <c r="L20" s="46"/>
      <c r="M20" s="46"/>
      <c r="N20" s="47">
        <f t="shared" si="1"/>
        <v>0</v>
      </c>
      <c r="O20" s="48">
        <v>15</v>
      </c>
      <c r="P20" s="46">
        <v>13</v>
      </c>
      <c r="Q20" s="46">
        <v>8</v>
      </c>
      <c r="R20" s="46">
        <v>7325.68</v>
      </c>
      <c r="S20" s="46">
        <v>7325.68</v>
      </c>
      <c r="T20" s="47">
        <f t="shared" si="2"/>
        <v>0</v>
      </c>
    </row>
    <row r="21" spans="1:20" ht="25.5" x14ac:dyDescent="0.25">
      <c r="A21" s="3">
        <f t="shared" si="3"/>
        <v>12</v>
      </c>
      <c r="B21" s="10" t="s">
        <v>28</v>
      </c>
      <c r="C21" s="15" t="s">
        <v>124</v>
      </c>
      <c r="D21" s="2"/>
      <c r="E21" s="17" t="s">
        <v>106</v>
      </c>
      <c r="F21" s="56" t="s">
        <v>148</v>
      </c>
      <c r="G21" s="26">
        <v>2</v>
      </c>
      <c r="H21" s="24">
        <v>1</v>
      </c>
      <c r="I21" s="24">
        <v>1</v>
      </c>
      <c r="J21" s="24">
        <v>1</v>
      </c>
      <c r="K21" s="46"/>
      <c r="L21" s="46"/>
      <c r="M21" s="46"/>
      <c r="N21" s="47">
        <f t="shared" si="1"/>
        <v>0</v>
      </c>
      <c r="O21" s="48">
        <v>2</v>
      </c>
      <c r="P21" s="46">
        <v>2</v>
      </c>
      <c r="Q21" s="46">
        <v>1</v>
      </c>
      <c r="R21" s="46">
        <v>1928.2</v>
      </c>
      <c r="S21" s="46">
        <v>1928.2</v>
      </c>
      <c r="T21" s="47">
        <f t="shared" si="2"/>
        <v>0</v>
      </c>
    </row>
    <row r="22" spans="1:20" ht="25.5" x14ac:dyDescent="0.25">
      <c r="A22" s="3">
        <f t="shared" si="3"/>
        <v>13</v>
      </c>
      <c r="B22" s="10" t="s">
        <v>29</v>
      </c>
      <c r="C22" s="15" t="s">
        <v>124</v>
      </c>
      <c r="D22" s="2"/>
      <c r="E22" s="20" t="s">
        <v>112</v>
      </c>
      <c r="F22" s="56" t="s">
        <v>149</v>
      </c>
      <c r="G22" s="26">
        <v>18</v>
      </c>
      <c r="H22" s="24">
        <v>1</v>
      </c>
      <c r="I22" s="24">
        <v>1</v>
      </c>
      <c r="J22" s="24">
        <v>1</v>
      </c>
      <c r="K22" s="46">
        <v>1</v>
      </c>
      <c r="L22" s="46">
        <v>910.39</v>
      </c>
      <c r="M22" s="46">
        <v>910.39</v>
      </c>
      <c r="N22" s="47">
        <f t="shared" si="1"/>
        <v>0</v>
      </c>
      <c r="O22" s="48">
        <v>13</v>
      </c>
      <c r="P22" s="46">
        <v>13</v>
      </c>
      <c r="Q22" s="46">
        <v>12</v>
      </c>
      <c r="R22" s="46">
        <v>14006.59</v>
      </c>
      <c r="S22" s="46">
        <v>14006.59</v>
      </c>
      <c r="T22" s="47">
        <f t="shared" si="2"/>
        <v>0</v>
      </c>
    </row>
    <row r="23" spans="1:20" ht="25.5" x14ac:dyDescent="0.25">
      <c r="A23" s="3">
        <f t="shared" si="3"/>
        <v>14</v>
      </c>
      <c r="B23" s="12" t="s">
        <v>30</v>
      </c>
      <c r="C23" s="15" t="s">
        <v>124</v>
      </c>
      <c r="D23" s="2"/>
      <c r="E23" s="19" t="s">
        <v>111</v>
      </c>
      <c r="F23" s="56" t="s">
        <v>150</v>
      </c>
      <c r="G23" s="26">
        <v>4</v>
      </c>
      <c r="H23" s="24">
        <v>2</v>
      </c>
      <c r="I23" s="24">
        <v>2</v>
      </c>
      <c r="J23" s="24">
        <v>2</v>
      </c>
      <c r="K23" s="46">
        <v>1</v>
      </c>
      <c r="L23" s="46">
        <v>1852.03</v>
      </c>
      <c r="M23" s="46">
        <v>1852.03</v>
      </c>
      <c r="N23" s="47">
        <f t="shared" si="1"/>
        <v>0</v>
      </c>
      <c r="O23" s="48">
        <v>10</v>
      </c>
      <c r="P23" s="46">
        <v>8</v>
      </c>
      <c r="Q23" s="46">
        <v>5</v>
      </c>
      <c r="R23" s="46">
        <v>13330.21</v>
      </c>
      <c r="S23" s="46">
        <v>13330.21</v>
      </c>
      <c r="T23" s="47">
        <f t="shared" si="2"/>
        <v>0</v>
      </c>
    </row>
    <row r="24" spans="1:20" ht="25.5" x14ac:dyDescent="0.25">
      <c r="A24" s="3">
        <f t="shared" si="3"/>
        <v>15</v>
      </c>
      <c r="B24" s="10" t="s">
        <v>31</v>
      </c>
      <c r="C24" s="15" t="s">
        <v>124</v>
      </c>
      <c r="D24" s="2"/>
      <c r="E24" s="21" t="s">
        <v>107</v>
      </c>
      <c r="F24" s="56" t="s">
        <v>151</v>
      </c>
      <c r="G24" s="26">
        <v>6</v>
      </c>
      <c r="H24" s="24"/>
      <c r="I24" s="24"/>
      <c r="J24" s="24"/>
      <c r="K24" s="46"/>
      <c r="L24" s="46"/>
      <c r="M24" s="46"/>
      <c r="N24" s="47">
        <f t="shared" si="1"/>
        <v>0</v>
      </c>
      <c r="O24" s="48">
        <v>5</v>
      </c>
      <c r="P24" s="46">
        <v>5</v>
      </c>
      <c r="Q24" s="46">
        <v>2</v>
      </c>
      <c r="R24" s="46">
        <v>274.60000000000002</v>
      </c>
      <c r="S24" s="46">
        <v>274.60000000000002</v>
      </c>
      <c r="T24" s="47">
        <f t="shared" si="2"/>
        <v>0</v>
      </c>
    </row>
    <row r="25" spans="1:20" ht="25.5" x14ac:dyDescent="0.25">
      <c r="A25" s="3">
        <f t="shared" si="3"/>
        <v>16</v>
      </c>
      <c r="B25" s="13" t="s">
        <v>32</v>
      </c>
      <c r="C25" s="15" t="s">
        <v>124</v>
      </c>
      <c r="D25" s="2"/>
      <c r="E25" s="17" t="s">
        <v>106</v>
      </c>
      <c r="F25" s="56" t="s">
        <v>152</v>
      </c>
      <c r="G25" s="26">
        <v>6</v>
      </c>
      <c r="H25" s="24">
        <v>2</v>
      </c>
      <c r="I25" s="24">
        <v>2</v>
      </c>
      <c r="J25" s="24">
        <v>2</v>
      </c>
      <c r="K25" s="46">
        <v>2</v>
      </c>
      <c r="L25" s="46">
        <v>2255.39</v>
      </c>
      <c r="M25" s="46">
        <v>2255.39</v>
      </c>
      <c r="N25" s="47">
        <f t="shared" si="1"/>
        <v>0</v>
      </c>
      <c r="O25" s="48">
        <v>15</v>
      </c>
      <c r="P25" s="46">
        <v>15</v>
      </c>
      <c r="Q25" s="46">
        <v>8</v>
      </c>
      <c r="R25" s="46">
        <v>14484.31</v>
      </c>
      <c r="S25" s="46">
        <v>14484.31</v>
      </c>
      <c r="T25" s="47">
        <f t="shared" si="2"/>
        <v>0</v>
      </c>
    </row>
    <row r="26" spans="1:20" ht="25.5" x14ac:dyDescent="0.25">
      <c r="A26" s="3">
        <f t="shared" si="3"/>
        <v>17</v>
      </c>
      <c r="B26" s="10" t="s">
        <v>33</v>
      </c>
      <c r="C26" s="15" t="s">
        <v>124</v>
      </c>
      <c r="D26" s="2"/>
      <c r="E26" s="17" t="s">
        <v>106</v>
      </c>
      <c r="F26" s="56" t="s">
        <v>153</v>
      </c>
      <c r="G26" s="26">
        <v>7</v>
      </c>
      <c r="H26" s="24"/>
      <c r="I26" s="24"/>
      <c r="J26" s="24"/>
      <c r="K26" s="46"/>
      <c r="L26" s="46"/>
      <c r="M26" s="46"/>
      <c r="N26" s="47">
        <f t="shared" si="1"/>
        <v>0</v>
      </c>
      <c r="O26" s="48"/>
      <c r="P26" s="46"/>
      <c r="Q26" s="46"/>
      <c r="R26" s="46"/>
      <c r="S26" s="46"/>
      <c r="T26" s="47">
        <f t="shared" si="2"/>
        <v>0</v>
      </c>
    </row>
    <row r="27" spans="1:20" ht="25.5" x14ac:dyDescent="0.25">
      <c r="A27" s="3">
        <f t="shared" si="3"/>
        <v>18</v>
      </c>
      <c r="B27" s="10" t="s">
        <v>34</v>
      </c>
      <c r="C27" s="15" t="s">
        <v>124</v>
      </c>
      <c r="D27" s="2"/>
      <c r="E27" s="17" t="s">
        <v>113</v>
      </c>
      <c r="F27" s="56" t="s">
        <v>154</v>
      </c>
      <c r="G27" s="26">
        <v>6</v>
      </c>
      <c r="H27" s="24">
        <v>1</v>
      </c>
      <c r="I27" s="24">
        <v>2</v>
      </c>
      <c r="J27" s="24">
        <v>2</v>
      </c>
      <c r="K27" s="46"/>
      <c r="L27" s="46"/>
      <c r="M27" s="46"/>
      <c r="N27" s="47">
        <f t="shared" si="1"/>
        <v>0</v>
      </c>
      <c r="O27" s="48">
        <v>10</v>
      </c>
      <c r="P27" s="46">
        <v>8</v>
      </c>
      <c r="Q27" s="46">
        <v>4</v>
      </c>
      <c r="R27" s="46">
        <v>3370.97</v>
      </c>
      <c r="S27" s="46">
        <v>3370.97</v>
      </c>
      <c r="T27" s="47">
        <f t="shared" si="2"/>
        <v>0</v>
      </c>
    </row>
    <row r="28" spans="1:20" ht="25.5" x14ac:dyDescent="0.25">
      <c r="A28" s="3">
        <f t="shared" si="3"/>
        <v>19</v>
      </c>
      <c r="B28" s="10" t="s">
        <v>35</v>
      </c>
      <c r="C28" s="15" t="s">
        <v>124</v>
      </c>
      <c r="D28" s="2"/>
      <c r="E28" s="17" t="s">
        <v>105</v>
      </c>
      <c r="F28" s="56" t="s">
        <v>228</v>
      </c>
      <c r="G28" s="26"/>
      <c r="H28" s="24"/>
      <c r="I28" s="24"/>
      <c r="J28" s="24"/>
      <c r="K28" s="46"/>
      <c r="L28" s="46"/>
      <c r="M28" s="46"/>
      <c r="N28" s="47">
        <f t="shared" si="1"/>
        <v>0</v>
      </c>
      <c r="O28" s="48"/>
      <c r="P28" s="46"/>
      <c r="Q28" s="46"/>
      <c r="R28" s="46"/>
      <c r="S28" s="46"/>
      <c r="T28" s="47">
        <f t="shared" si="2"/>
        <v>0</v>
      </c>
    </row>
    <row r="29" spans="1:20" ht="25.5" x14ac:dyDescent="0.25">
      <c r="A29" s="3">
        <f t="shared" si="3"/>
        <v>20</v>
      </c>
      <c r="B29" s="12" t="s">
        <v>36</v>
      </c>
      <c r="C29" s="15" t="s">
        <v>124</v>
      </c>
      <c r="D29" s="2"/>
      <c r="E29" s="19" t="s">
        <v>114</v>
      </c>
      <c r="F29" s="56" t="s">
        <v>155</v>
      </c>
      <c r="G29" s="26">
        <v>6</v>
      </c>
      <c r="H29" s="24">
        <v>4</v>
      </c>
      <c r="I29" s="24">
        <v>4</v>
      </c>
      <c r="J29" s="24">
        <v>4</v>
      </c>
      <c r="K29" s="46">
        <v>1</v>
      </c>
      <c r="L29" s="46">
        <v>358.28</v>
      </c>
      <c r="M29" s="46">
        <v>358.28</v>
      </c>
      <c r="N29" s="47">
        <f t="shared" si="1"/>
        <v>0</v>
      </c>
      <c r="O29" s="48">
        <v>11</v>
      </c>
      <c r="P29" s="46">
        <v>9</v>
      </c>
      <c r="Q29" s="46">
        <v>9</v>
      </c>
      <c r="R29" s="46">
        <v>15185.09</v>
      </c>
      <c r="S29" s="46">
        <v>15185.09</v>
      </c>
      <c r="T29" s="47">
        <f t="shared" si="2"/>
        <v>0</v>
      </c>
    </row>
    <row r="30" spans="1:20" ht="25.5" x14ac:dyDescent="0.25">
      <c r="A30" s="3">
        <f t="shared" si="3"/>
        <v>21</v>
      </c>
      <c r="B30" s="11" t="s">
        <v>37</v>
      </c>
      <c r="C30" s="15" t="s">
        <v>124</v>
      </c>
      <c r="D30" s="2"/>
      <c r="E30" s="17" t="s">
        <v>108</v>
      </c>
      <c r="F30" s="56" t="s">
        <v>156</v>
      </c>
      <c r="G30" s="26">
        <v>8</v>
      </c>
      <c r="H30" s="24"/>
      <c r="I30" s="24"/>
      <c r="J30" s="24"/>
      <c r="K30" s="46"/>
      <c r="L30" s="46"/>
      <c r="M30" s="46"/>
      <c r="N30" s="47">
        <f t="shared" si="1"/>
        <v>0</v>
      </c>
      <c r="O30" s="48">
        <v>8</v>
      </c>
      <c r="P30" s="46">
        <v>6</v>
      </c>
      <c r="Q30" s="46">
        <v>5</v>
      </c>
      <c r="R30" s="46">
        <v>5755.74</v>
      </c>
      <c r="S30" s="46">
        <v>5755.74</v>
      </c>
      <c r="T30" s="47">
        <f t="shared" si="2"/>
        <v>0</v>
      </c>
    </row>
    <row r="31" spans="1:20" ht="25.5" x14ac:dyDescent="0.25">
      <c r="A31" s="3">
        <f t="shared" si="3"/>
        <v>22</v>
      </c>
      <c r="B31" s="11" t="s">
        <v>38</v>
      </c>
      <c r="C31" s="15" t="s">
        <v>124</v>
      </c>
      <c r="D31" s="2"/>
      <c r="E31" s="17" t="s">
        <v>106</v>
      </c>
      <c r="F31" s="56" t="s">
        <v>157</v>
      </c>
      <c r="G31" s="26">
        <v>4</v>
      </c>
      <c r="H31" s="24"/>
      <c r="I31" s="24"/>
      <c r="J31" s="24"/>
      <c r="K31" s="46"/>
      <c r="L31" s="46"/>
      <c r="M31" s="46"/>
      <c r="N31" s="47">
        <f t="shared" si="1"/>
        <v>0</v>
      </c>
      <c r="O31" s="48">
        <v>1</v>
      </c>
      <c r="P31" s="46">
        <v>1</v>
      </c>
      <c r="Q31" s="46">
        <v>1</v>
      </c>
      <c r="R31" s="46">
        <v>442.37</v>
      </c>
      <c r="S31" s="46">
        <v>442.37</v>
      </c>
      <c r="T31" s="47">
        <f t="shared" si="2"/>
        <v>0</v>
      </c>
    </row>
    <row r="32" spans="1:20" ht="25.5" x14ac:dyDescent="0.25">
      <c r="A32" s="3">
        <f t="shared" si="3"/>
        <v>23</v>
      </c>
      <c r="B32" s="10" t="s">
        <v>39</v>
      </c>
      <c r="C32" s="15" t="s">
        <v>124</v>
      </c>
      <c r="D32" s="2"/>
      <c r="E32" s="10" t="s">
        <v>105</v>
      </c>
      <c r="F32" s="56" t="s">
        <v>220</v>
      </c>
      <c r="G32" s="26"/>
      <c r="H32" s="24"/>
      <c r="I32" s="24"/>
      <c r="J32" s="24"/>
      <c r="K32" s="46"/>
      <c r="L32" s="46"/>
      <c r="M32" s="46"/>
      <c r="N32" s="47">
        <f t="shared" si="1"/>
        <v>0</v>
      </c>
      <c r="O32" s="48"/>
      <c r="P32" s="46"/>
      <c r="Q32" s="46"/>
      <c r="R32" s="46"/>
      <c r="S32" s="46"/>
      <c r="T32" s="47">
        <f t="shared" si="2"/>
        <v>0</v>
      </c>
    </row>
    <row r="33" spans="1:20" ht="25.5" x14ac:dyDescent="0.25">
      <c r="A33" s="3">
        <f t="shared" si="3"/>
        <v>24</v>
      </c>
      <c r="B33" s="10" t="s">
        <v>137</v>
      </c>
      <c r="C33" s="15" t="s">
        <v>124</v>
      </c>
      <c r="D33" s="2"/>
      <c r="E33" s="17" t="s">
        <v>106</v>
      </c>
      <c r="F33" s="56" t="s">
        <v>158</v>
      </c>
      <c r="G33" s="26">
        <v>2</v>
      </c>
      <c r="H33" s="24"/>
      <c r="I33" s="24"/>
      <c r="J33" s="24"/>
      <c r="K33" s="46"/>
      <c r="L33" s="46"/>
      <c r="M33" s="46"/>
      <c r="N33" s="47">
        <f t="shared" si="1"/>
        <v>0</v>
      </c>
      <c r="O33" s="48"/>
      <c r="P33" s="46"/>
      <c r="Q33" s="46"/>
      <c r="R33" s="46"/>
      <c r="S33" s="46"/>
      <c r="T33" s="47"/>
    </row>
    <row r="34" spans="1:20" ht="25.5" x14ac:dyDescent="0.25">
      <c r="A34" s="3">
        <f t="shared" si="3"/>
        <v>25</v>
      </c>
      <c r="B34" s="12" t="s">
        <v>40</v>
      </c>
      <c r="C34" s="15" t="s">
        <v>124</v>
      </c>
      <c r="D34" s="2"/>
      <c r="E34" s="19" t="s">
        <v>115</v>
      </c>
      <c r="F34" s="56" t="s">
        <v>159</v>
      </c>
      <c r="G34" s="26">
        <v>5</v>
      </c>
      <c r="H34" s="24">
        <v>2</v>
      </c>
      <c r="I34" s="24">
        <v>3</v>
      </c>
      <c r="J34" s="24">
        <v>3</v>
      </c>
      <c r="K34" s="46">
        <v>3</v>
      </c>
      <c r="L34" s="46">
        <v>1580.26</v>
      </c>
      <c r="M34" s="46">
        <v>1580.26</v>
      </c>
      <c r="N34" s="47">
        <f t="shared" si="1"/>
        <v>0</v>
      </c>
      <c r="O34" s="48">
        <v>2</v>
      </c>
      <c r="P34" s="46">
        <v>2</v>
      </c>
      <c r="Q34" s="46">
        <v>2</v>
      </c>
      <c r="R34" s="46">
        <v>872.59</v>
      </c>
      <c r="S34" s="46">
        <v>872.59</v>
      </c>
      <c r="T34" s="47"/>
    </row>
    <row r="35" spans="1:20" ht="25.5" x14ac:dyDescent="0.25">
      <c r="A35" s="3">
        <f t="shared" si="3"/>
        <v>26</v>
      </c>
      <c r="B35" s="11" t="s">
        <v>41</v>
      </c>
      <c r="C35" s="15" t="s">
        <v>124</v>
      </c>
      <c r="D35" s="2"/>
      <c r="E35" s="17" t="s">
        <v>106</v>
      </c>
      <c r="F35" s="56" t="s">
        <v>160</v>
      </c>
      <c r="G35" s="26">
        <v>4</v>
      </c>
      <c r="H35" s="24">
        <v>1</v>
      </c>
      <c r="I35" s="24">
        <v>1</v>
      </c>
      <c r="J35" s="24">
        <v>1</v>
      </c>
      <c r="K35" s="46"/>
      <c r="L35" s="46"/>
      <c r="M35" s="46"/>
      <c r="N35" s="47">
        <f t="shared" si="1"/>
        <v>0</v>
      </c>
      <c r="O35" s="48">
        <v>4</v>
      </c>
      <c r="P35" s="46">
        <v>4</v>
      </c>
      <c r="Q35" s="46"/>
      <c r="R35" s="46"/>
      <c r="S35" s="46"/>
      <c r="T35" s="47">
        <f t="shared" si="2"/>
        <v>0</v>
      </c>
    </row>
    <row r="36" spans="1:20" ht="25.5" x14ac:dyDescent="0.25">
      <c r="A36" s="3">
        <f t="shared" si="3"/>
        <v>27</v>
      </c>
      <c r="B36" s="13" t="s">
        <v>42</v>
      </c>
      <c r="C36" s="15" t="s">
        <v>124</v>
      </c>
      <c r="D36" s="2"/>
      <c r="E36" s="17" t="s">
        <v>106</v>
      </c>
      <c r="F36" s="56" t="s">
        <v>221</v>
      </c>
      <c r="G36" s="26"/>
      <c r="H36" s="24"/>
      <c r="I36" s="24"/>
      <c r="J36" s="24"/>
      <c r="K36" s="46"/>
      <c r="L36" s="46"/>
      <c r="M36" s="46"/>
      <c r="N36" s="47">
        <f t="shared" si="1"/>
        <v>0</v>
      </c>
      <c r="O36" s="48">
        <v>4</v>
      </c>
      <c r="P36" s="46">
        <v>4</v>
      </c>
      <c r="Q36" s="46">
        <v>3</v>
      </c>
      <c r="R36" s="46">
        <v>1436.08</v>
      </c>
      <c r="S36" s="46">
        <v>1436.08</v>
      </c>
      <c r="T36" s="47">
        <f t="shared" si="2"/>
        <v>0</v>
      </c>
    </row>
    <row r="37" spans="1:20" ht="25.5" x14ac:dyDescent="0.25">
      <c r="A37" s="3">
        <f t="shared" si="3"/>
        <v>28</v>
      </c>
      <c r="B37" s="13" t="s">
        <v>43</v>
      </c>
      <c r="C37" s="15" t="s">
        <v>124</v>
      </c>
      <c r="D37" s="2"/>
      <c r="E37" s="17" t="s">
        <v>106</v>
      </c>
      <c r="F37" s="56" t="s">
        <v>161</v>
      </c>
      <c r="G37" s="26">
        <v>5</v>
      </c>
      <c r="H37" s="24">
        <v>2</v>
      </c>
      <c r="I37" s="24">
        <v>2</v>
      </c>
      <c r="J37" s="24">
        <v>1</v>
      </c>
      <c r="K37" s="46"/>
      <c r="L37" s="46"/>
      <c r="M37" s="46"/>
      <c r="N37" s="47">
        <f t="shared" si="1"/>
        <v>0</v>
      </c>
      <c r="O37" s="48">
        <v>1</v>
      </c>
      <c r="P37" s="46">
        <v>1</v>
      </c>
      <c r="Q37" s="46">
        <v>1</v>
      </c>
      <c r="R37" s="46">
        <v>552.96</v>
      </c>
      <c r="S37" s="46"/>
      <c r="T37" s="47">
        <f t="shared" si="2"/>
        <v>552.96</v>
      </c>
    </row>
    <row r="38" spans="1:20" ht="25.5" x14ac:dyDescent="0.25">
      <c r="A38" s="3">
        <f t="shared" si="3"/>
        <v>29</v>
      </c>
      <c r="B38" s="11" t="s">
        <v>44</v>
      </c>
      <c r="C38" s="15" t="s">
        <v>124</v>
      </c>
      <c r="D38" s="2"/>
      <c r="E38" s="17" t="s">
        <v>105</v>
      </c>
      <c r="F38" s="56" t="s">
        <v>162</v>
      </c>
      <c r="G38" s="26">
        <v>14</v>
      </c>
      <c r="H38" s="24">
        <v>2</v>
      </c>
      <c r="I38" s="24">
        <v>4</v>
      </c>
      <c r="J38" s="24">
        <v>3</v>
      </c>
      <c r="K38" s="46"/>
      <c r="L38" s="46"/>
      <c r="M38" s="46"/>
      <c r="N38" s="47">
        <f t="shared" si="1"/>
        <v>0</v>
      </c>
      <c r="O38" s="48">
        <v>14</v>
      </c>
      <c r="P38" s="46">
        <v>12</v>
      </c>
      <c r="Q38" s="46">
        <v>10</v>
      </c>
      <c r="R38" s="46">
        <v>10217.4</v>
      </c>
      <c r="S38" s="46">
        <v>10217.4</v>
      </c>
      <c r="T38" s="47">
        <f t="shared" si="2"/>
        <v>0</v>
      </c>
    </row>
    <row r="39" spans="1:20" ht="25.5" x14ac:dyDescent="0.25">
      <c r="A39" s="3">
        <f t="shared" si="3"/>
        <v>30</v>
      </c>
      <c r="B39" s="11" t="s">
        <v>45</v>
      </c>
      <c r="C39" s="15" t="s">
        <v>124</v>
      </c>
      <c r="D39" s="2"/>
      <c r="E39" s="17" t="s">
        <v>111</v>
      </c>
      <c r="F39" s="56" t="s">
        <v>163</v>
      </c>
      <c r="G39" s="26">
        <v>4</v>
      </c>
      <c r="H39" s="24">
        <v>1</v>
      </c>
      <c r="I39" s="24">
        <v>1</v>
      </c>
      <c r="J39" s="24"/>
      <c r="K39" s="46"/>
      <c r="L39" s="46"/>
      <c r="M39" s="46"/>
      <c r="N39" s="47">
        <f t="shared" si="1"/>
        <v>0</v>
      </c>
      <c r="O39" s="48"/>
      <c r="P39" s="46"/>
      <c r="Q39" s="46"/>
      <c r="R39" s="46"/>
      <c r="S39" s="46"/>
      <c r="T39" s="47">
        <f t="shared" si="2"/>
        <v>0</v>
      </c>
    </row>
    <row r="40" spans="1:20" ht="25.5" x14ac:dyDescent="0.25">
      <c r="A40" s="3">
        <f>A39+1</f>
        <v>31</v>
      </c>
      <c r="B40" s="10" t="s">
        <v>46</v>
      </c>
      <c r="C40" s="15" t="s">
        <v>124</v>
      </c>
      <c r="D40" s="2"/>
      <c r="E40" s="17" t="s">
        <v>106</v>
      </c>
      <c r="F40" s="56" t="s">
        <v>164</v>
      </c>
      <c r="G40" s="26">
        <v>3</v>
      </c>
      <c r="H40" s="24"/>
      <c r="I40" s="24"/>
      <c r="J40" s="24"/>
      <c r="K40" s="46"/>
      <c r="L40" s="46"/>
      <c r="M40" s="46"/>
      <c r="N40" s="47">
        <f t="shared" si="1"/>
        <v>0</v>
      </c>
      <c r="O40" s="48">
        <v>2</v>
      </c>
      <c r="P40" s="46">
        <v>2</v>
      </c>
      <c r="Q40" s="46">
        <v>2</v>
      </c>
      <c r="R40" s="46">
        <v>3996.7</v>
      </c>
      <c r="S40" s="46">
        <v>3996.7</v>
      </c>
      <c r="T40" s="47">
        <f t="shared" si="2"/>
        <v>0</v>
      </c>
    </row>
    <row r="41" spans="1:20" ht="25.5" x14ac:dyDescent="0.25">
      <c r="A41" s="3">
        <f t="shared" si="3"/>
        <v>32</v>
      </c>
      <c r="B41" s="10" t="s">
        <v>47</v>
      </c>
      <c r="C41" s="15" t="s">
        <v>124</v>
      </c>
      <c r="D41" s="2"/>
      <c r="E41" s="17" t="s">
        <v>116</v>
      </c>
      <c r="F41" s="56" t="s">
        <v>165</v>
      </c>
      <c r="G41" s="26">
        <v>5</v>
      </c>
      <c r="H41" s="24">
        <v>1</v>
      </c>
      <c r="I41" s="24">
        <v>1</v>
      </c>
      <c r="J41" s="24">
        <v>1</v>
      </c>
      <c r="K41" s="46">
        <v>1</v>
      </c>
      <c r="L41" s="46">
        <v>1322.88</v>
      </c>
      <c r="M41" s="46">
        <v>1322.88</v>
      </c>
      <c r="N41" s="47">
        <f t="shared" si="1"/>
        <v>0</v>
      </c>
      <c r="O41" s="48">
        <v>2</v>
      </c>
      <c r="P41" s="46">
        <v>2</v>
      </c>
      <c r="Q41" s="46"/>
      <c r="R41" s="46"/>
      <c r="S41" s="46"/>
      <c r="T41" s="47">
        <f t="shared" si="2"/>
        <v>0</v>
      </c>
    </row>
    <row r="42" spans="1:20" ht="15.75" customHeight="1" x14ac:dyDescent="0.25">
      <c r="A42" s="3">
        <f t="shared" si="3"/>
        <v>33</v>
      </c>
      <c r="B42" s="13" t="s">
        <v>48</v>
      </c>
      <c r="C42" s="15" t="s">
        <v>124</v>
      </c>
      <c r="D42" s="2"/>
      <c r="E42" s="17" t="s">
        <v>106</v>
      </c>
      <c r="F42" s="56" t="s">
        <v>166</v>
      </c>
      <c r="G42" s="26">
        <v>2</v>
      </c>
      <c r="H42" s="24"/>
      <c r="I42" s="24"/>
      <c r="J42" s="24"/>
      <c r="K42" s="46"/>
      <c r="L42" s="46"/>
      <c r="M42" s="46"/>
      <c r="N42" s="47">
        <f t="shared" si="1"/>
        <v>0</v>
      </c>
      <c r="O42" s="48">
        <v>3</v>
      </c>
      <c r="P42" s="46">
        <v>2</v>
      </c>
      <c r="Q42" s="46">
        <v>1</v>
      </c>
      <c r="R42" s="46">
        <v>1733.58</v>
      </c>
      <c r="S42" s="46">
        <v>1733.58</v>
      </c>
      <c r="T42" s="47">
        <f t="shared" si="2"/>
        <v>0</v>
      </c>
    </row>
    <row r="43" spans="1:20" ht="25.5" x14ac:dyDescent="0.25">
      <c r="A43" s="3">
        <f t="shared" si="3"/>
        <v>34</v>
      </c>
      <c r="B43" s="10" t="s">
        <v>49</v>
      </c>
      <c r="C43" s="15" t="s">
        <v>124</v>
      </c>
      <c r="D43" s="2"/>
      <c r="E43" s="17" t="s">
        <v>106</v>
      </c>
      <c r="F43" s="56" t="s">
        <v>167</v>
      </c>
      <c r="G43" s="26">
        <v>3</v>
      </c>
      <c r="H43" s="24"/>
      <c r="I43" s="24"/>
      <c r="J43" s="24"/>
      <c r="K43" s="46"/>
      <c r="L43" s="46"/>
      <c r="M43" s="46"/>
      <c r="N43" s="47">
        <f t="shared" si="1"/>
        <v>0</v>
      </c>
      <c r="O43" s="48">
        <v>3</v>
      </c>
      <c r="P43" s="46">
        <v>3</v>
      </c>
      <c r="Q43" s="46">
        <v>3</v>
      </c>
      <c r="R43" s="46">
        <v>3956.6</v>
      </c>
      <c r="S43" s="46"/>
      <c r="T43" s="47">
        <f t="shared" si="2"/>
        <v>3956.6</v>
      </c>
    </row>
    <row r="44" spans="1:20" ht="25.5" x14ac:dyDescent="0.25">
      <c r="A44" s="3">
        <f t="shared" si="3"/>
        <v>35</v>
      </c>
      <c r="B44" s="13" t="s">
        <v>50</v>
      </c>
      <c r="C44" s="15" t="s">
        <v>124</v>
      </c>
      <c r="D44" s="2"/>
      <c r="E44" s="17" t="s">
        <v>106</v>
      </c>
      <c r="F44" s="56" t="s">
        <v>168</v>
      </c>
      <c r="G44" s="26">
        <v>2</v>
      </c>
      <c r="H44" s="24">
        <v>2</v>
      </c>
      <c r="I44" s="24">
        <v>2</v>
      </c>
      <c r="J44" s="24">
        <v>2</v>
      </c>
      <c r="K44" s="46"/>
      <c r="L44" s="46"/>
      <c r="M44" s="46"/>
      <c r="N44" s="47">
        <f t="shared" si="1"/>
        <v>0</v>
      </c>
      <c r="O44" s="48">
        <v>1</v>
      </c>
      <c r="P44" s="46">
        <v>1</v>
      </c>
      <c r="Q44" s="46"/>
      <c r="R44" s="46"/>
      <c r="S44" s="46"/>
      <c r="T44" s="47">
        <f t="shared" si="2"/>
        <v>0</v>
      </c>
    </row>
    <row r="45" spans="1:20" ht="15.75" x14ac:dyDescent="0.25">
      <c r="A45" s="3">
        <f t="shared" si="3"/>
        <v>36</v>
      </c>
      <c r="B45" s="11" t="s">
        <v>51</v>
      </c>
      <c r="C45" s="15" t="s">
        <v>124</v>
      </c>
      <c r="D45" s="2"/>
      <c r="E45" s="22" t="s">
        <v>112</v>
      </c>
      <c r="F45" s="56"/>
      <c r="G45" s="26"/>
      <c r="H45" s="24"/>
      <c r="I45" s="24"/>
      <c r="J45" s="24"/>
      <c r="K45" s="46"/>
      <c r="L45" s="46"/>
      <c r="M45" s="46"/>
      <c r="N45" s="47">
        <f t="shared" si="1"/>
        <v>0</v>
      </c>
      <c r="O45" s="48"/>
      <c r="P45" s="46"/>
      <c r="Q45" s="46"/>
      <c r="R45" s="46"/>
      <c r="S45" s="46"/>
      <c r="T45" s="47">
        <f t="shared" si="2"/>
        <v>0</v>
      </c>
    </row>
    <row r="46" spans="1:20" ht="25.5" x14ac:dyDescent="0.25">
      <c r="A46" s="3">
        <f t="shared" si="3"/>
        <v>37</v>
      </c>
      <c r="B46" s="11" t="s">
        <v>131</v>
      </c>
      <c r="C46" s="15" t="s">
        <v>124</v>
      </c>
      <c r="D46" s="2"/>
      <c r="E46" s="22" t="s">
        <v>106</v>
      </c>
      <c r="F46" s="56" t="s">
        <v>222</v>
      </c>
      <c r="G46" s="26"/>
      <c r="H46" s="24"/>
      <c r="I46" s="24"/>
      <c r="J46" s="24"/>
      <c r="K46" s="46"/>
      <c r="L46" s="46"/>
      <c r="M46" s="46"/>
      <c r="N46" s="47">
        <f t="shared" si="1"/>
        <v>0</v>
      </c>
      <c r="O46" s="48">
        <v>1</v>
      </c>
      <c r="P46" s="46">
        <v>1</v>
      </c>
      <c r="Q46" s="46">
        <v>1</v>
      </c>
      <c r="R46" s="49">
        <v>11787.49</v>
      </c>
      <c r="S46" s="49">
        <v>11787.49</v>
      </c>
      <c r="T46" s="47">
        <f t="shared" si="2"/>
        <v>0</v>
      </c>
    </row>
    <row r="47" spans="1:20" ht="25.5" x14ac:dyDescent="0.25">
      <c r="A47" s="3">
        <f t="shared" si="3"/>
        <v>38</v>
      </c>
      <c r="B47" s="13" t="s">
        <v>52</v>
      </c>
      <c r="C47" s="15" t="s">
        <v>124</v>
      </c>
      <c r="D47" s="2"/>
      <c r="E47" s="17" t="s">
        <v>106</v>
      </c>
      <c r="F47" s="56" t="s">
        <v>169</v>
      </c>
      <c r="G47" s="26">
        <v>7</v>
      </c>
      <c r="H47" s="24">
        <v>2</v>
      </c>
      <c r="I47" s="24">
        <v>2</v>
      </c>
      <c r="J47" s="24">
        <v>2</v>
      </c>
      <c r="K47" s="46">
        <v>2</v>
      </c>
      <c r="L47" s="46">
        <v>2335.59</v>
      </c>
      <c r="M47" s="46"/>
      <c r="N47" s="47">
        <f t="shared" si="1"/>
        <v>2335.59</v>
      </c>
      <c r="O47" s="48"/>
      <c r="P47" s="46"/>
      <c r="Q47" s="46"/>
      <c r="R47" s="46"/>
      <c r="S47" s="46"/>
      <c r="T47" s="47">
        <f t="shared" si="2"/>
        <v>0</v>
      </c>
    </row>
    <row r="48" spans="1:20" ht="25.5" x14ac:dyDescent="0.25">
      <c r="A48" s="3">
        <f t="shared" si="3"/>
        <v>39</v>
      </c>
      <c r="B48" s="10" t="s">
        <v>53</v>
      </c>
      <c r="C48" s="15" t="s">
        <v>124</v>
      </c>
      <c r="D48" s="2"/>
      <c r="E48" s="17" t="s">
        <v>105</v>
      </c>
      <c r="F48" s="56" t="s">
        <v>171</v>
      </c>
      <c r="G48" s="26">
        <v>5</v>
      </c>
      <c r="H48" s="24"/>
      <c r="I48" s="24"/>
      <c r="J48" s="24"/>
      <c r="K48" s="46"/>
      <c r="L48" s="46"/>
      <c r="M48" s="46"/>
      <c r="N48" s="47">
        <f t="shared" si="1"/>
        <v>0</v>
      </c>
      <c r="O48" s="48">
        <v>1</v>
      </c>
      <c r="P48" s="46">
        <v>1</v>
      </c>
      <c r="Q48" s="46"/>
      <c r="R48" s="46"/>
      <c r="S48" s="46"/>
      <c r="T48" s="47">
        <f t="shared" si="2"/>
        <v>0</v>
      </c>
    </row>
    <row r="49" spans="1:20" ht="25.5" x14ac:dyDescent="0.25">
      <c r="A49" s="3">
        <f t="shared" si="3"/>
        <v>40</v>
      </c>
      <c r="B49" s="10" t="s">
        <v>54</v>
      </c>
      <c r="C49" s="15" t="s">
        <v>124</v>
      </c>
      <c r="D49" s="2"/>
      <c r="E49" s="17" t="s">
        <v>106</v>
      </c>
      <c r="F49" s="56" t="s">
        <v>172</v>
      </c>
      <c r="G49" s="26">
        <v>4</v>
      </c>
      <c r="H49" s="24"/>
      <c r="I49" s="24"/>
      <c r="J49" s="24"/>
      <c r="K49" s="46"/>
      <c r="L49" s="46"/>
      <c r="M49" s="46"/>
      <c r="N49" s="47">
        <f t="shared" si="1"/>
        <v>0</v>
      </c>
      <c r="O49" s="48">
        <v>3</v>
      </c>
      <c r="P49" s="46">
        <v>2</v>
      </c>
      <c r="Q49" s="46"/>
      <c r="R49" s="46"/>
      <c r="S49" s="46"/>
      <c r="T49" s="47">
        <f t="shared" si="2"/>
        <v>0</v>
      </c>
    </row>
    <row r="50" spans="1:20" ht="25.5" x14ac:dyDescent="0.25">
      <c r="A50" s="3">
        <f t="shared" si="3"/>
        <v>41</v>
      </c>
      <c r="B50" s="10" t="s">
        <v>55</v>
      </c>
      <c r="C50" s="15" t="s">
        <v>124</v>
      </c>
      <c r="D50" s="2"/>
      <c r="E50" s="17" t="s">
        <v>106</v>
      </c>
      <c r="F50" s="56" t="s">
        <v>173</v>
      </c>
      <c r="G50" s="26">
        <v>6</v>
      </c>
      <c r="H50" s="24">
        <v>1</v>
      </c>
      <c r="I50" s="24">
        <v>1</v>
      </c>
      <c r="J50" s="24">
        <v>1</v>
      </c>
      <c r="K50" s="46"/>
      <c r="L50" s="46"/>
      <c r="M50" s="46"/>
      <c r="N50" s="47">
        <f t="shared" si="1"/>
        <v>0</v>
      </c>
      <c r="O50" s="48">
        <v>4</v>
      </c>
      <c r="P50" s="46">
        <v>4</v>
      </c>
      <c r="Q50" s="46">
        <v>4</v>
      </c>
      <c r="R50" s="46">
        <v>2457.2800000000002</v>
      </c>
      <c r="S50" s="46"/>
      <c r="T50" s="47">
        <f t="shared" si="2"/>
        <v>2457.2800000000002</v>
      </c>
    </row>
    <row r="51" spans="1:20" ht="16.5" customHeight="1" x14ac:dyDescent="0.25">
      <c r="A51" s="3">
        <f t="shared" si="3"/>
        <v>42</v>
      </c>
      <c r="B51" s="10" t="s">
        <v>56</v>
      </c>
      <c r="C51" s="15" t="s">
        <v>124</v>
      </c>
      <c r="D51" s="2"/>
      <c r="E51" s="17" t="s">
        <v>106</v>
      </c>
      <c r="F51" s="56" t="s">
        <v>174</v>
      </c>
      <c r="G51" s="26">
        <v>5</v>
      </c>
      <c r="H51" s="24">
        <v>2</v>
      </c>
      <c r="I51" s="24">
        <v>2</v>
      </c>
      <c r="J51" s="24">
        <v>2</v>
      </c>
      <c r="K51" s="46">
        <v>2</v>
      </c>
      <c r="L51" s="46">
        <v>1032.67</v>
      </c>
      <c r="M51" s="46"/>
      <c r="N51" s="47">
        <f t="shared" si="1"/>
        <v>1032.67</v>
      </c>
      <c r="O51" s="48">
        <v>1</v>
      </c>
      <c r="P51" s="46">
        <v>1</v>
      </c>
      <c r="Q51" s="46">
        <v>1</v>
      </c>
      <c r="R51" s="46">
        <v>728.15</v>
      </c>
      <c r="S51" s="46"/>
      <c r="T51" s="47">
        <f t="shared" si="2"/>
        <v>728.15</v>
      </c>
    </row>
    <row r="52" spans="1:20" ht="25.5" x14ac:dyDescent="0.25">
      <c r="A52" s="3">
        <f t="shared" si="3"/>
        <v>43</v>
      </c>
      <c r="B52" s="13" t="s">
        <v>57</v>
      </c>
      <c r="C52" s="15" t="s">
        <v>124</v>
      </c>
      <c r="D52" s="2"/>
      <c r="E52" s="17" t="s">
        <v>106</v>
      </c>
      <c r="F52" s="56" t="s">
        <v>175</v>
      </c>
      <c r="G52" s="26">
        <v>4</v>
      </c>
      <c r="H52" s="24">
        <v>2</v>
      </c>
      <c r="I52" s="24">
        <v>2</v>
      </c>
      <c r="J52" s="24">
        <v>2</v>
      </c>
      <c r="K52" s="46">
        <v>1</v>
      </c>
      <c r="L52" s="46">
        <v>341.06</v>
      </c>
      <c r="M52" s="46"/>
      <c r="N52" s="47">
        <f t="shared" si="1"/>
        <v>341.06</v>
      </c>
      <c r="O52" s="48">
        <v>3</v>
      </c>
      <c r="P52" s="46">
        <v>3</v>
      </c>
      <c r="Q52" s="46">
        <v>1</v>
      </c>
      <c r="R52" s="46">
        <v>530.53</v>
      </c>
      <c r="S52" s="46"/>
      <c r="T52" s="47">
        <f t="shared" si="2"/>
        <v>530.53</v>
      </c>
    </row>
    <row r="53" spans="1:20" ht="25.5" x14ac:dyDescent="0.25">
      <c r="A53" s="3">
        <f t="shared" si="3"/>
        <v>44</v>
      </c>
      <c r="B53" s="13" t="s">
        <v>58</v>
      </c>
      <c r="C53" s="15" t="s">
        <v>124</v>
      </c>
      <c r="D53" s="2"/>
      <c r="E53" s="17" t="s">
        <v>106</v>
      </c>
      <c r="F53" s="56" t="s">
        <v>229</v>
      </c>
      <c r="G53" s="26"/>
      <c r="H53" s="24"/>
      <c r="I53" s="24"/>
      <c r="J53" s="24"/>
      <c r="K53" s="46"/>
      <c r="L53" s="46"/>
      <c r="M53" s="46"/>
      <c r="N53" s="47">
        <f t="shared" si="1"/>
        <v>0</v>
      </c>
      <c r="O53" s="48"/>
      <c r="P53" s="46"/>
      <c r="Q53" s="46"/>
      <c r="R53" s="46"/>
      <c r="S53" s="46"/>
      <c r="T53" s="47">
        <f t="shared" si="2"/>
        <v>0</v>
      </c>
    </row>
    <row r="54" spans="1:20" ht="25.5" x14ac:dyDescent="0.25">
      <c r="A54" s="3">
        <f t="shared" si="3"/>
        <v>45</v>
      </c>
      <c r="B54" s="13" t="s">
        <v>59</v>
      </c>
      <c r="C54" s="15" t="s">
        <v>124</v>
      </c>
      <c r="D54" s="2"/>
      <c r="E54" s="17" t="s">
        <v>112</v>
      </c>
      <c r="F54" s="56" t="s">
        <v>176</v>
      </c>
      <c r="G54" s="26">
        <v>14</v>
      </c>
      <c r="H54" s="24">
        <v>2</v>
      </c>
      <c r="I54" s="24">
        <v>2</v>
      </c>
      <c r="J54" s="24">
        <v>2</v>
      </c>
      <c r="K54" s="46"/>
      <c r="L54" s="46"/>
      <c r="M54" s="46"/>
      <c r="N54" s="47">
        <f t="shared" si="1"/>
        <v>0</v>
      </c>
      <c r="O54" s="48">
        <v>15</v>
      </c>
      <c r="P54" s="46">
        <v>15</v>
      </c>
      <c r="Q54" s="46">
        <v>7</v>
      </c>
      <c r="R54" s="46">
        <v>3046.1</v>
      </c>
      <c r="S54" s="46">
        <v>2632.7</v>
      </c>
      <c r="T54" s="47">
        <f t="shared" si="2"/>
        <v>413.40000000000009</v>
      </c>
    </row>
    <row r="55" spans="1:20" ht="25.5" x14ac:dyDescent="0.25">
      <c r="A55" s="3">
        <f t="shared" si="3"/>
        <v>46</v>
      </c>
      <c r="B55" s="13" t="s">
        <v>60</v>
      </c>
      <c r="C55" s="15" t="s">
        <v>125</v>
      </c>
      <c r="D55" s="38" t="s">
        <v>126</v>
      </c>
      <c r="E55" s="17" t="s">
        <v>106</v>
      </c>
      <c r="F55" s="56" t="s">
        <v>177</v>
      </c>
      <c r="G55" s="26">
        <v>1</v>
      </c>
      <c r="H55" s="24"/>
      <c r="I55" s="24"/>
      <c r="J55" s="24"/>
      <c r="K55" s="46"/>
      <c r="L55" s="46"/>
      <c r="M55" s="46"/>
      <c r="N55" s="47">
        <f t="shared" si="1"/>
        <v>0</v>
      </c>
      <c r="O55" s="48">
        <v>2</v>
      </c>
      <c r="P55" s="46">
        <v>2</v>
      </c>
      <c r="Q55" s="46"/>
      <c r="R55" s="46"/>
      <c r="S55" s="46"/>
      <c r="T55" s="47">
        <f t="shared" si="2"/>
        <v>0</v>
      </c>
    </row>
    <row r="56" spans="1:20" ht="25.5" x14ac:dyDescent="0.25">
      <c r="A56" s="3">
        <f t="shared" si="3"/>
        <v>47</v>
      </c>
      <c r="B56" s="11" t="s">
        <v>61</v>
      </c>
      <c r="C56" s="15" t="s">
        <v>124</v>
      </c>
      <c r="D56" s="2"/>
      <c r="E56" s="17" t="s">
        <v>107</v>
      </c>
      <c r="F56" s="56" t="s">
        <v>178</v>
      </c>
      <c r="G56" s="26">
        <v>11</v>
      </c>
      <c r="H56" s="24">
        <v>1</v>
      </c>
      <c r="I56" s="24">
        <v>1</v>
      </c>
      <c r="J56" s="24">
        <v>1</v>
      </c>
      <c r="K56" s="46">
        <v>1</v>
      </c>
      <c r="L56" s="46">
        <v>272.83999999999997</v>
      </c>
      <c r="M56" s="46">
        <v>272.83999999999997</v>
      </c>
      <c r="N56" s="47">
        <f t="shared" si="1"/>
        <v>0</v>
      </c>
      <c r="O56" s="48">
        <v>16</v>
      </c>
      <c r="P56" s="46">
        <v>15</v>
      </c>
      <c r="Q56" s="46">
        <v>6</v>
      </c>
      <c r="R56" s="46">
        <v>14478.7</v>
      </c>
      <c r="S56" s="46">
        <v>14478.7</v>
      </c>
      <c r="T56" s="47">
        <f t="shared" si="2"/>
        <v>0</v>
      </c>
    </row>
    <row r="57" spans="1:20" ht="25.5" x14ac:dyDescent="0.25">
      <c r="A57" s="3">
        <f t="shared" si="3"/>
        <v>48</v>
      </c>
      <c r="B57" s="11" t="s">
        <v>134</v>
      </c>
      <c r="C57" s="15" t="s">
        <v>124</v>
      </c>
      <c r="D57" s="2"/>
      <c r="E57" s="17" t="s">
        <v>112</v>
      </c>
      <c r="F57" s="56" t="s">
        <v>179</v>
      </c>
      <c r="G57" s="26"/>
      <c r="H57" s="24"/>
      <c r="I57" s="24"/>
      <c r="J57" s="24"/>
      <c r="K57" s="46"/>
      <c r="L57" s="46"/>
      <c r="M57" s="46"/>
      <c r="N57" s="47">
        <f t="shared" si="1"/>
        <v>0</v>
      </c>
      <c r="O57" s="48"/>
      <c r="P57" s="46"/>
      <c r="Q57" s="46"/>
      <c r="R57" s="46"/>
      <c r="S57" s="46"/>
      <c r="T57" s="47"/>
    </row>
    <row r="58" spans="1:20" ht="25.5" x14ac:dyDescent="0.25">
      <c r="A58" s="3">
        <f t="shared" si="3"/>
        <v>49</v>
      </c>
      <c r="B58" s="11" t="s">
        <v>62</v>
      </c>
      <c r="C58" s="15" t="s">
        <v>124</v>
      </c>
      <c r="D58" s="2"/>
      <c r="E58" s="17" t="s">
        <v>106</v>
      </c>
      <c r="F58" s="56" t="s">
        <v>230</v>
      </c>
      <c r="G58" s="26"/>
      <c r="H58" s="24"/>
      <c r="I58" s="24"/>
      <c r="J58" s="24"/>
      <c r="K58" s="46"/>
      <c r="L58" s="46"/>
      <c r="M58" s="46"/>
      <c r="N58" s="47">
        <f t="shared" si="1"/>
        <v>0</v>
      </c>
      <c r="O58" s="48"/>
      <c r="P58" s="46"/>
      <c r="Q58" s="46"/>
      <c r="R58" s="46"/>
      <c r="S58" s="46"/>
      <c r="T58" s="47">
        <f t="shared" si="2"/>
        <v>0</v>
      </c>
    </row>
    <row r="59" spans="1:20" ht="25.5" x14ac:dyDescent="0.25">
      <c r="A59" s="3">
        <f t="shared" si="3"/>
        <v>50</v>
      </c>
      <c r="B59" s="11" t="s">
        <v>63</v>
      </c>
      <c r="C59" s="15" t="s">
        <v>124</v>
      </c>
      <c r="D59" s="2"/>
      <c r="E59" s="22" t="s">
        <v>112</v>
      </c>
      <c r="F59" s="56" t="s">
        <v>224</v>
      </c>
      <c r="G59" s="26"/>
      <c r="H59" s="24"/>
      <c r="I59" s="24"/>
      <c r="J59" s="24"/>
      <c r="K59" s="46"/>
      <c r="L59" s="46"/>
      <c r="M59" s="46"/>
      <c r="N59" s="47">
        <f t="shared" si="1"/>
        <v>0</v>
      </c>
      <c r="O59" s="48"/>
      <c r="P59" s="46"/>
      <c r="Q59" s="46"/>
      <c r="R59" s="46"/>
      <c r="S59" s="46"/>
      <c r="T59" s="47">
        <f t="shared" si="2"/>
        <v>0</v>
      </c>
    </row>
    <row r="60" spans="1:20" ht="25.5" x14ac:dyDescent="0.25">
      <c r="A60" s="3">
        <f t="shared" si="3"/>
        <v>51</v>
      </c>
      <c r="B60" s="11" t="s">
        <v>64</v>
      </c>
      <c r="C60" s="15" t="s">
        <v>124</v>
      </c>
      <c r="D60" s="2"/>
      <c r="E60" s="22" t="s">
        <v>107</v>
      </c>
      <c r="F60" s="56" t="s">
        <v>180</v>
      </c>
      <c r="G60" s="26">
        <v>15</v>
      </c>
      <c r="H60" s="24">
        <v>1</v>
      </c>
      <c r="I60" s="24">
        <v>1</v>
      </c>
      <c r="J60" s="24">
        <v>1</v>
      </c>
      <c r="K60" s="46"/>
      <c r="L60" s="46"/>
      <c r="M60" s="46"/>
      <c r="N60" s="47">
        <f t="shared" si="1"/>
        <v>0</v>
      </c>
      <c r="O60" s="48">
        <v>5</v>
      </c>
      <c r="P60" s="46">
        <v>4</v>
      </c>
      <c r="Q60" s="46"/>
      <c r="R60" s="46"/>
      <c r="S60" s="46"/>
      <c r="T60" s="47">
        <f t="shared" si="2"/>
        <v>0</v>
      </c>
    </row>
    <row r="61" spans="1:20" ht="25.5" x14ac:dyDescent="0.25">
      <c r="A61" s="3">
        <f t="shared" si="3"/>
        <v>52</v>
      </c>
      <c r="B61" s="11" t="s">
        <v>135</v>
      </c>
      <c r="C61" s="15" t="s">
        <v>124</v>
      </c>
      <c r="D61" s="2"/>
      <c r="E61" s="22" t="s">
        <v>136</v>
      </c>
      <c r="F61" s="56" t="s">
        <v>181</v>
      </c>
      <c r="G61" s="26">
        <v>1</v>
      </c>
      <c r="H61" s="24"/>
      <c r="I61" s="24"/>
      <c r="J61" s="24"/>
      <c r="K61" s="46"/>
      <c r="L61" s="46"/>
      <c r="M61" s="46"/>
      <c r="N61" s="47">
        <f t="shared" si="1"/>
        <v>0</v>
      </c>
      <c r="O61" s="48"/>
      <c r="P61" s="46"/>
      <c r="Q61" s="46"/>
      <c r="R61" s="46"/>
      <c r="S61" s="46"/>
      <c r="T61" s="47"/>
    </row>
    <row r="62" spans="1:20" ht="18.75" customHeight="1" x14ac:dyDescent="0.25">
      <c r="A62" s="3">
        <f t="shared" si="3"/>
        <v>53</v>
      </c>
      <c r="B62" s="13" t="s">
        <v>65</v>
      </c>
      <c r="C62" s="15" t="s">
        <v>124</v>
      </c>
      <c r="D62" s="2"/>
      <c r="E62" s="17" t="s">
        <v>106</v>
      </c>
      <c r="F62" s="56" t="s">
        <v>182</v>
      </c>
      <c r="G62" s="26">
        <v>3</v>
      </c>
      <c r="H62" s="24"/>
      <c r="I62" s="24"/>
      <c r="J62" s="24"/>
      <c r="K62" s="46"/>
      <c r="L62" s="46"/>
      <c r="M62" s="46"/>
      <c r="N62" s="47">
        <f t="shared" si="1"/>
        <v>0</v>
      </c>
      <c r="O62" s="48"/>
      <c r="P62" s="46"/>
      <c r="Q62" s="46"/>
      <c r="R62" s="46"/>
      <c r="S62" s="46"/>
      <c r="T62" s="47">
        <f t="shared" si="2"/>
        <v>0</v>
      </c>
    </row>
    <row r="63" spans="1:20" ht="25.5" x14ac:dyDescent="0.25">
      <c r="A63" s="3">
        <f t="shared" si="3"/>
        <v>54</v>
      </c>
      <c r="B63" s="13" t="s">
        <v>66</v>
      </c>
      <c r="C63" s="15" t="s">
        <v>124</v>
      </c>
      <c r="D63" s="2"/>
      <c r="E63" s="17" t="s">
        <v>112</v>
      </c>
      <c r="F63" s="56" t="s">
        <v>227</v>
      </c>
      <c r="G63" s="26"/>
      <c r="H63" s="24"/>
      <c r="I63" s="24"/>
      <c r="J63" s="24"/>
      <c r="K63" s="46"/>
      <c r="L63" s="46"/>
      <c r="M63" s="46"/>
      <c r="N63" s="47">
        <f t="shared" si="1"/>
        <v>0</v>
      </c>
      <c r="O63" s="48">
        <v>8</v>
      </c>
      <c r="P63" s="46">
        <v>8</v>
      </c>
      <c r="Q63" s="46">
        <v>8</v>
      </c>
      <c r="R63" s="46">
        <v>3232.69</v>
      </c>
      <c r="S63" s="46">
        <v>3232.69</v>
      </c>
      <c r="T63" s="47">
        <f t="shared" si="2"/>
        <v>0</v>
      </c>
    </row>
    <row r="64" spans="1:20" ht="25.5" x14ac:dyDescent="0.25">
      <c r="A64" s="3">
        <f t="shared" si="3"/>
        <v>55</v>
      </c>
      <c r="B64" s="10" t="s">
        <v>67</v>
      </c>
      <c r="C64" s="15" t="s">
        <v>124</v>
      </c>
      <c r="D64" s="2"/>
      <c r="E64" s="17" t="s">
        <v>106</v>
      </c>
      <c r="F64" s="56" t="s">
        <v>183</v>
      </c>
      <c r="G64" s="26">
        <v>6</v>
      </c>
      <c r="H64" s="24">
        <v>3</v>
      </c>
      <c r="I64" s="24">
        <v>4</v>
      </c>
      <c r="J64" s="24">
        <v>4</v>
      </c>
      <c r="K64" s="46"/>
      <c r="L64" s="46"/>
      <c r="M64" s="46"/>
      <c r="N64" s="47">
        <f t="shared" si="1"/>
        <v>0</v>
      </c>
      <c r="O64" s="48">
        <v>4</v>
      </c>
      <c r="P64" s="46">
        <v>4</v>
      </c>
      <c r="Q64" s="46"/>
      <c r="R64" s="46"/>
      <c r="S64" s="46"/>
      <c r="T64" s="47">
        <f t="shared" si="2"/>
        <v>0</v>
      </c>
    </row>
    <row r="65" spans="1:20" ht="25.5" x14ac:dyDescent="0.25">
      <c r="A65" s="3">
        <f t="shared" si="3"/>
        <v>56</v>
      </c>
      <c r="B65" s="10" t="s">
        <v>68</v>
      </c>
      <c r="C65" s="15" t="s">
        <v>124</v>
      </c>
      <c r="D65" s="2"/>
      <c r="E65" s="17" t="s">
        <v>111</v>
      </c>
      <c r="F65" s="56" t="s">
        <v>184</v>
      </c>
      <c r="G65" s="26">
        <v>8</v>
      </c>
      <c r="H65" s="24">
        <v>2</v>
      </c>
      <c r="I65" s="24">
        <v>2</v>
      </c>
      <c r="J65" s="24">
        <v>1</v>
      </c>
      <c r="K65" s="46"/>
      <c r="L65" s="46"/>
      <c r="M65" s="46"/>
      <c r="N65" s="47">
        <f t="shared" si="1"/>
        <v>0</v>
      </c>
      <c r="O65" s="48">
        <v>7</v>
      </c>
      <c r="P65" s="46">
        <v>6</v>
      </c>
      <c r="Q65" s="46">
        <v>4</v>
      </c>
      <c r="R65" s="46">
        <v>3302.91</v>
      </c>
      <c r="S65" s="46"/>
      <c r="T65" s="47">
        <f t="shared" si="2"/>
        <v>3302.91</v>
      </c>
    </row>
    <row r="66" spans="1:20" ht="25.5" x14ac:dyDescent="0.25">
      <c r="A66" s="3">
        <f t="shared" si="3"/>
        <v>57</v>
      </c>
      <c r="B66" s="13" t="s">
        <v>69</v>
      </c>
      <c r="C66" s="15" t="s">
        <v>124</v>
      </c>
      <c r="D66" s="2"/>
      <c r="E66" s="17" t="s">
        <v>106</v>
      </c>
      <c r="F66" s="56" t="s">
        <v>185</v>
      </c>
      <c r="G66" s="26">
        <v>2</v>
      </c>
      <c r="H66" s="24">
        <v>1</v>
      </c>
      <c r="I66" s="24">
        <v>1</v>
      </c>
      <c r="J66" s="24">
        <v>1</v>
      </c>
      <c r="K66" s="46"/>
      <c r="L66" s="46"/>
      <c r="M66" s="46"/>
      <c r="N66" s="47">
        <f t="shared" si="1"/>
        <v>0</v>
      </c>
      <c r="O66" s="48">
        <v>4</v>
      </c>
      <c r="P66" s="46">
        <v>4</v>
      </c>
      <c r="Q66" s="46">
        <v>3</v>
      </c>
      <c r="R66" s="46">
        <v>2317.17</v>
      </c>
      <c r="S66" s="46"/>
      <c r="T66" s="47">
        <f t="shared" si="2"/>
        <v>2317.17</v>
      </c>
    </row>
    <row r="67" spans="1:20" ht="25.5" x14ac:dyDescent="0.25">
      <c r="A67" s="3">
        <f t="shared" si="3"/>
        <v>58</v>
      </c>
      <c r="B67" s="11" t="s">
        <v>70</v>
      </c>
      <c r="C67" s="15" t="s">
        <v>124</v>
      </c>
      <c r="D67" s="2"/>
      <c r="E67" s="17" t="s">
        <v>107</v>
      </c>
      <c r="F67" s="56" t="s">
        <v>186</v>
      </c>
      <c r="G67" s="26">
        <v>13</v>
      </c>
      <c r="H67" s="24">
        <v>6</v>
      </c>
      <c r="I67" s="24">
        <v>6</v>
      </c>
      <c r="J67" s="24">
        <v>3</v>
      </c>
      <c r="K67" s="46">
        <v>2</v>
      </c>
      <c r="L67" s="46">
        <v>1327.02</v>
      </c>
      <c r="M67" s="46">
        <v>1327.02</v>
      </c>
      <c r="N67" s="47">
        <f t="shared" si="1"/>
        <v>0</v>
      </c>
      <c r="O67" s="48">
        <v>3</v>
      </c>
      <c r="P67" s="46">
        <v>3</v>
      </c>
      <c r="Q67" s="46">
        <v>3</v>
      </c>
      <c r="R67" s="46">
        <v>1207.07</v>
      </c>
      <c r="S67" s="46">
        <v>1207.07</v>
      </c>
      <c r="T67" s="47">
        <f t="shared" si="2"/>
        <v>0</v>
      </c>
    </row>
    <row r="68" spans="1:20" ht="25.5" x14ac:dyDescent="0.25">
      <c r="A68" s="3">
        <f t="shared" si="3"/>
        <v>59</v>
      </c>
      <c r="B68" s="11" t="s">
        <v>71</v>
      </c>
      <c r="C68" s="15" t="s">
        <v>124</v>
      </c>
      <c r="D68" s="2"/>
      <c r="E68" s="17" t="s">
        <v>117</v>
      </c>
      <c r="F68" s="56" t="s">
        <v>187</v>
      </c>
      <c r="G68" s="26">
        <v>13</v>
      </c>
      <c r="H68" s="24">
        <v>3</v>
      </c>
      <c r="I68" s="24">
        <v>4</v>
      </c>
      <c r="J68" s="24">
        <v>4</v>
      </c>
      <c r="K68" s="46">
        <v>1</v>
      </c>
      <c r="L68" s="46">
        <v>992.16</v>
      </c>
      <c r="M68" s="46">
        <v>992.16</v>
      </c>
      <c r="N68" s="47">
        <f t="shared" si="1"/>
        <v>0</v>
      </c>
      <c r="O68" s="48">
        <v>7</v>
      </c>
      <c r="P68" s="46">
        <v>7</v>
      </c>
      <c r="Q68" s="46">
        <v>6</v>
      </c>
      <c r="R68" s="46">
        <v>2992.76</v>
      </c>
      <c r="S68" s="46">
        <v>2992.76</v>
      </c>
      <c r="T68" s="47">
        <f t="shared" si="2"/>
        <v>0</v>
      </c>
    </row>
    <row r="69" spans="1:20" ht="25.5" x14ac:dyDescent="0.25">
      <c r="A69" s="3">
        <f t="shared" si="3"/>
        <v>60</v>
      </c>
      <c r="B69" s="11" t="s">
        <v>72</v>
      </c>
      <c r="C69" s="15" t="s">
        <v>125</v>
      </c>
      <c r="D69" s="38" t="s">
        <v>126</v>
      </c>
      <c r="E69" s="17" t="s">
        <v>106</v>
      </c>
      <c r="F69" s="56" t="s">
        <v>188</v>
      </c>
      <c r="G69" s="26">
        <v>1</v>
      </c>
      <c r="H69" s="24"/>
      <c r="I69" s="24"/>
      <c r="J69" s="24"/>
      <c r="K69" s="46"/>
      <c r="L69" s="46"/>
      <c r="M69" s="46"/>
      <c r="N69" s="47">
        <f t="shared" si="1"/>
        <v>0</v>
      </c>
      <c r="O69" s="48"/>
      <c r="P69" s="46"/>
      <c r="Q69" s="46"/>
      <c r="R69" s="46"/>
      <c r="S69" s="46"/>
      <c r="T69" s="47">
        <f t="shared" si="2"/>
        <v>0</v>
      </c>
    </row>
    <row r="70" spans="1:20" ht="25.5" x14ac:dyDescent="0.25">
      <c r="A70" s="3">
        <f t="shared" si="3"/>
        <v>61</v>
      </c>
      <c r="B70" s="10" t="s">
        <v>73</v>
      </c>
      <c r="C70" s="15" t="s">
        <v>124</v>
      </c>
      <c r="D70" s="2"/>
      <c r="E70" s="17" t="s">
        <v>106</v>
      </c>
      <c r="F70" s="56" t="s">
        <v>189</v>
      </c>
      <c r="G70" s="26">
        <v>2</v>
      </c>
      <c r="H70" s="24"/>
      <c r="I70" s="24"/>
      <c r="J70" s="24"/>
      <c r="K70" s="46"/>
      <c r="L70" s="46"/>
      <c r="M70" s="46"/>
      <c r="N70" s="47">
        <f t="shared" si="1"/>
        <v>0</v>
      </c>
      <c r="O70" s="48"/>
      <c r="P70" s="46"/>
      <c r="Q70" s="46"/>
      <c r="R70" s="46"/>
      <c r="S70" s="46"/>
      <c r="T70" s="47">
        <f t="shared" si="2"/>
        <v>0</v>
      </c>
    </row>
    <row r="71" spans="1:20" ht="25.5" x14ac:dyDescent="0.25">
      <c r="A71" s="3">
        <f t="shared" si="3"/>
        <v>62</v>
      </c>
      <c r="B71" s="11" t="s">
        <v>74</v>
      </c>
      <c r="C71" s="15" t="s">
        <v>124</v>
      </c>
      <c r="D71" s="2"/>
      <c r="E71" s="17" t="s">
        <v>111</v>
      </c>
      <c r="F71" s="56" t="s">
        <v>190</v>
      </c>
      <c r="G71" s="26">
        <v>4</v>
      </c>
      <c r="H71" s="24">
        <v>2</v>
      </c>
      <c r="I71" s="24">
        <v>2</v>
      </c>
      <c r="J71" s="24">
        <v>2</v>
      </c>
      <c r="K71" s="46"/>
      <c r="L71" s="46"/>
      <c r="M71" s="46"/>
      <c r="N71" s="47">
        <f t="shared" si="1"/>
        <v>0</v>
      </c>
      <c r="O71" s="48">
        <v>12</v>
      </c>
      <c r="P71" s="46">
        <v>12</v>
      </c>
      <c r="Q71" s="46"/>
      <c r="R71" s="46"/>
      <c r="S71" s="46"/>
      <c r="T71" s="47">
        <f t="shared" si="2"/>
        <v>0</v>
      </c>
    </row>
    <row r="72" spans="1:20" ht="25.5" x14ac:dyDescent="0.25">
      <c r="A72" s="3">
        <f t="shared" si="3"/>
        <v>63</v>
      </c>
      <c r="B72" s="11" t="s">
        <v>75</v>
      </c>
      <c r="C72" s="15" t="s">
        <v>124</v>
      </c>
      <c r="D72" s="2"/>
      <c r="E72" s="17" t="s">
        <v>118</v>
      </c>
      <c r="F72" s="56" t="s">
        <v>191</v>
      </c>
      <c r="G72" s="26">
        <v>3</v>
      </c>
      <c r="H72" s="24">
        <v>1</v>
      </c>
      <c r="I72" s="24">
        <v>1</v>
      </c>
      <c r="J72" s="24">
        <v>1</v>
      </c>
      <c r="K72" s="46"/>
      <c r="L72" s="46"/>
      <c r="M72" s="46"/>
      <c r="N72" s="47">
        <f t="shared" si="1"/>
        <v>0</v>
      </c>
      <c r="O72" s="48">
        <v>4</v>
      </c>
      <c r="P72" s="46">
        <v>4</v>
      </c>
      <c r="Q72" s="46">
        <v>3</v>
      </c>
      <c r="R72" s="46">
        <v>3128.76</v>
      </c>
      <c r="S72" s="46"/>
      <c r="T72" s="47">
        <f t="shared" si="2"/>
        <v>3128.76</v>
      </c>
    </row>
    <row r="73" spans="1:20" ht="25.5" x14ac:dyDescent="0.25">
      <c r="A73" s="3">
        <f t="shared" si="3"/>
        <v>64</v>
      </c>
      <c r="B73" s="10" t="s">
        <v>76</v>
      </c>
      <c r="C73" s="15" t="s">
        <v>124</v>
      </c>
      <c r="D73" s="2"/>
      <c r="E73" s="10" t="s">
        <v>105</v>
      </c>
      <c r="F73" s="56" t="s">
        <v>192</v>
      </c>
      <c r="G73" s="26">
        <v>4</v>
      </c>
      <c r="H73" s="24"/>
      <c r="I73" s="24"/>
      <c r="J73" s="24"/>
      <c r="K73" s="46"/>
      <c r="L73" s="46"/>
      <c r="M73" s="46"/>
      <c r="N73" s="47">
        <f t="shared" si="1"/>
        <v>0</v>
      </c>
      <c r="O73" s="48">
        <v>3</v>
      </c>
      <c r="P73" s="46">
        <v>2</v>
      </c>
      <c r="Q73" s="46">
        <v>2</v>
      </c>
      <c r="R73" s="46">
        <v>851.64</v>
      </c>
      <c r="S73" s="46"/>
      <c r="T73" s="47">
        <f t="shared" si="2"/>
        <v>851.64</v>
      </c>
    </row>
    <row r="74" spans="1:20" ht="25.5" x14ac:dyDescent="0.25">
      <c r="A74" s="3">
        <f t="shared" si="3"/>
        <v>65</v>
      </c>
      <c r="B74" s="11" t="s">
        <v>77</v>
      </c>
      <c r="C74" s="15" t="s">
        <v>124</v>
      </c>
      <c r="D74" s="2"/>
      <c r="E74" s="10" t="s">
        <v>111</v>
      </c>
      <c r="F74" s="56" t="s">
        <v>225</v>
      </c>
      <c r="G74" s="26"/>
      <c r="H74" s="24"/>
      <c r="I74" s="24"/>
      <c r="J74" s="24"/>
      <c r="K74" s="46"/>
      <c r="L74" s="46"/>
      <c r="M74" s="46"/>
      <c r="N74" s="47">
        <f t="shared" si="1"/>
        <v>0</v>
      </c>
      <c r="O74" s="48">
        <v>1</v>
      </c>
      <c r="P74" s="46">
        <v>1</v>
      </c>
      <c r="Q74" s="46">
        <v>1</v>
      </c>
      <c r="R74" s="46">
        <v>3278.32</v>
      </c>
      <c r="S74" s="46">
        <v>3278.32</v>
      </c>
      <c r="T74" s="47">
        <f t="shared" si="2"/>
        <v>0</v>
      </c>
    </row>
    <row r="75" spans="1:20" ht="25.5" x14ac:dyDescent="0.25">
      <c r="A75" s="3">
        <f t="shared" si="3"/>
        <v>66</v>
      </c>
      <c r="B75" s="10" t="s">
        <v>78</v>
      </c>
      <c r="C75" s="15" t="s">
        <v>124</v>
      </c>
      <c r="D75" s="2"/>
      <c r="E75" s="23" t="s">
        <v>119</v>
      </c>
      <c r="F75" s="56" t="s">
        <v>193</v>
      </c>
      <c r="G75" s="26">
        <v>2</v>
      </c>
      <c r="H75" s="24"/>
      <c r="I75" s="24"/>
      <c r="J75" s="24"/>
      <c r="K75" s="46"/>
      <c r="L75" s="46"/>
      <c r="M75" s="46"/>
      <c r="N75" s="47">
        <f t="shared" si="1"/>
        <v>0</v>
      </c>
      <c r="O75" s="48">
        <v>2</v>
      </c>
      <c r="P75" s="46">
        <v>2</v>
      </c>
      <c r="Q75" s="46"/>
      <c r="R75" s="46"/>
      <c r="S75" s="46"/>
      <c r="T75" s="47">
        <f t="shared" si="2"/>
        <v>0</v>
      </c>
    </row>
    <row r="76" spans="1:20" ht="25.5" x14ac:dyDescent="0.25">
      <c r="A76" s="3">
        <f t="shared" ref="A76:A102" si="4">A75+1</f>
        <v>67</v>
      </c>
      <c r="B76" s="11" t="s">
        <v>79</v>
      </c>
      <c r="C76" s="15" t="s">
        <v>124</v>
      </c>
      <c r="D76" s="2"/>
      <c r="E76" s="17" t="s">
        <v>106</v>
      </c>
      <c r="F76" s="56" t="s">
        <v>194</v>
      </c>
      <c r="G76" s="26">
        <v>6</v>
      </c>
      <c r="H76" s="24">
        <v>2</v>
      </c>
      <c r="I76" s="24">
        <v>2</v>
      </c>
      <c r="J76" s="24">
        <v>1</v>
      </c>
      <c r="K76" s="46">
        <v>1</v>
      </c>
      <c r="L76" s="46">
        <v>522.80999999999995</v>
      </c>
      <c r="M76" s="46"/>
      <c r="N76" s="47">
        <f t="shared" si="1"/>
        <v>522.80999999999995</v>
      </c>
      <c r="O76" s="48">
        <v>3</v>
      </c>
      <c r="P76" s="46">
        <v>3</v>
      </c>
      <c r="Q76" s="46">
        <v>1</v>
      </c>
      <c r="R76" s="46">
        <v>373.84</v>
      </c>
      <c r="S76" s="46"/>
      <c r="T76" s="47">
        <f t="shared" si="2"/>
        <v>373.84</v>
      </c>
    </row>
    <row r="77" spans="1:20" ht="25.5" x14ac:dyDescent="0.25">
      <c r="A77" s="3">
        <f t="shared" si="4"/>
        <v>68</v>
      </c>
      <c r="B77" s="11" t="s">
        <v>80</v>
      </c>
      <c r="C77" s="15" t="s">
        <v>124</v>
      </c>
      <c r="D77" s="2"/>
      <c r="E77" s="17" t="s">
        <v>106</v>
      </c>
      <c r="F77" s="56" t="s">
        <v>195</v>
      </c>
      <c r="G77" s="26">
        <v>2</v>
      </c>
      <c r="H77" s="24"/>
      <c r="I77" s="24"/>
      <c r="J77" s="24"/>
      <c r="K77" s="46"/>
      <c r="L77" s="46"/>
      <c r="M77" s="46"/>
      <c r="N77" s="47">
        <f t="shared" si="1"/>
        <v>0</v>
      </c>
      <c r="O77" s="48"/>
      <c r="P77" s="46"/>
      <c r="Q77" s="46"/>
      <c r="R77" s="46"/>
      <c r="S77" s="46"/>
      <c r="T77" s="47">
        <f t="shared" si="2"/>
        <v>0</v>
      </c>
    </row>
    <row r="78" spans="1:20" ht="16.5" customHeight="1" x14ac:dyDescent="0.25">
      <c r="A78" s="3">
        <f t="shared" si="4"/>
        <v>69</v>
      </c>
      <c r="B78" s="14" t="s">
        <v>81</v>
      </c>
      <c r="C78" s="15" t="s">
        <v>124</v>
      </c>
      <c r="D78" s="2"/>
      <c r="E78" s="10" t="s">
        <v>106</v>
      </c>
      <c r="F78" s="56" t="s">
        <v>226</v>
      </c>
      <c r="G78" s="26"/>
      <c r="H78" s="24"/>
      <c r="I78" s="24"/>
      <c r="J78" s="24"/>
      <c r="K78" s="46"/>
      <c r="L78" s="46"/>
      <c r="M78" s="46"/>
      <c r="N78" s="47">
        <f t="shared" si="1"/>
        <v>0</v>
      </c>
      <c r="O78" s="48">
        <v>7</v>
      </c>
      <c r="P78" s="46">
        <v>7</v>
      </c>
      <c r="Q78" s="46">
        <v>3</v>
      </c>
      <c r="R78" s="46">
        <v>852.2</v>
      </c>
      <c r="S78" s="46">
        <v>852.2</v>
      </c>
      <c r="T78" s="47">
        <f t="shared" si="2"/>
        <v>0</v>
      </c>
    </row>
    <row r="79" spans="1:20" ht="25.5" x14ac:dyDescent="0.25">
      <c r="A79" s="3">
        <f t="shared" si="4"/>
        <v>70</v>
      </c>
      <c r="B79" s="14" t="s">
        <v>82</v>
      </c>
      <c r="C79" s="15" t="s">
        <v>124</v>
      </c>
      <c r="D79" s="2"/>
      <c r="E79" s="10" t="s">
        <v>106</v>
      </c>
      <c r="F79" s="56" t="s">
        <v>196</v>
      </c>
      <c r="G79" s="26">
        <v>4</v>
      </c>
      <c r="H79" s="24"/>
      <c r="I79" s="24"/>
      <c r="J79" s="24"/>
      <c r="K79" s="46"/>
      <c r="L79" s="46"/>
      <c r="M79" s="46"/>
      <c r="N79" s="47">
        <f t="shared" si="1"/>
        <v>0</v>
      </c>
      <c r="O79" s="48"/>
      <c r="P79" s="46"/>
      <c r="Q79" s="46"/>
      <c r="R79" s="46"/>
      <c r="S79" s="46"/>
      <c r="T79" s="47">
        <f t="shared" si="2"/>
        <v>0</v>
      </c>
    </row>
    <row r="80" spans="1:20" ht="25.5" x14ac:dyDescent="0.25">
      <c r="A80" s="3">
        <f t="shared" si="4"/>
        <v>71</v>
      </c>
      <c r="B80" s="14" t="s">
        <v>83</v>
      </c>
      <c r="C80" s="15" t="s">
        <v>124</v>
      </c>
      <c r="D80" s="2"/>
      <c r="E80" s="10" t="s">
        <v>106</v>
      </c>
      <c r="F80" s="56" t="s">
        <v>197</v>
      </c>
      <c r="G80" s="26">
        <v>6</v>
      </c>
      <c r="H80" s="24">
        <v>1</v>
      </c>
      <c r="I80" s="24">
        <v>1</v>
      </c>
      <c r="J80" s="24">
        <v>1</v>
      </c>
      <c r="K80" s="46">
        <v>1</v>
      </c>
      <c r="L80" s="46">
        <v>531.74</v>
      </c>
      <c r="M80" s="46">
        <v>531.74</v>
      </c>
      <c r="N80" s="47">
        <f t="shared" ref="N80:N102" si="5" xml:space="preserve"> (L80-M80)</f>
        <v>0</v>
      </c>
      <c r="O80" s="48">
        <v>5</v>
      </c>
      <c r="P80" s="46">
        <v>5</v>
      </c>
      <c r="Q80" s="46">
        <v>5</v>
      </c>
      <c r="R80" s="46">
        <v>12327.43</v>
      </c>
      <c r="S80" s="46">
        <v>12327.43</v>
      </c>
      <c r="T80" s="47">
        <f t="shared" ref="T80:T102" si="6" xml:space="preserve"> (R80-S80)</f>
        <v>0</v>
      </c>
    </row>
    <row r="81" spans="1:20" ht="25.5" x14ac:dyDescent="0.25">
      <c r="A81" s="3">
        <f t="shared" si="4"/>
        <v>72</v>
      </c>
      <c r="B81" s="11" t="s">
        <v>84</v>
      </c>
      <c r="C81" s="15" t="s">
        <v>124</v>
      </c>
      <c r="D81" s="2"/>
      <c r="E81" s="10" t="s">
        <v>120</v>
      </c>
      <c r="F81" s="56" t="s">
        <v>198</v>
      </c>
      <c r="G81" s="26"/>
      <c r="H81" s="24"/>
      <c r="I81" s="24"/>
      <c r="J81" s="24"/>
      <c r="K81" s="46"/>
      <c r="L81" s="46"/>
      <c r="M81" s="46"/>
      <c r="N81" s="47">
        <f t="shared" si="5"/>
        <v>0</v>
      </c>
      <c r="O81" s="48"/>
      <c r="P81" s="46"/>
      <c r="Q81" s="46"/>
      <c r="R81" s="46"/>
      <c r="S81" s="46"/>
      <c r="T81" s="47">
        <f t="shared" si="6"/>
        <v>0</v>
      </c>
    </row>
    <row r="82" spans="1:20" ht="25.5" x14ac:dyDescent="0.25">
      <c r="A82" s="3">
        <f t="shared" si="4"/>
        <v>73</v>
      </c>
      <c r="B82" s="13" t="s">
        <v>85</v>
      </c>
      <c r="C82" s="15" t="s">
        <v>124</v>
      </c>
      <c r="D82" s="2"/>
      <c r="E82" s="19" t="s">
        <v>106</v>
      </c>
      <c r="F82" s="56" t="s">
        <v>199</v>
      </c>
      <c r="G82" s="26">
        <v>6</v>
      </c>
      <c r="H82" s="24">
        <v>1</v>
      </c>
      <c r="I82" s="24">
        <v>1</v>
      </c>
      <c r="J82" s="24">
        <v>1</v>
      </c>
      <c r="K82" s="46">
        <v>1</v>
      </c>
      <c r="L82" s="46">
        <v>654.54999999999995</v>
      </c>
      <c r="M82" s="46"/>
      <c r="N82" s="47">
        <f t="shared" si="5"/>
        <v>654.54999999999995</v>
      </c>
      <c r="O82" s="48">
        <v>5</v>
      </c>
      <c r="P82" s="46">
        <v>5</v>
      </c>
      <c r="Q82" s="46">
        <v>3</v>
      </c>
      <c r="R82" s="46">
        <v>5273.97</v>
      </c>
      <c r="S82" s="46"/>
      <c r="T82" s="47">
        <f t="shared" si="6"/>
        <v>5273.97</v>
      </c>
    </row>
    <row r="83" spans="1:20" ht="25.5" x14ac:dyDescent="0.25">
      <c r="A83" s="3">
        <f t="shared" si="4"/>
        <v>74</v>
      </c>
      <c r="B83" s="10" t="s">
        <v>86</v>
      </c>
      <c r="C83" s="15" t="s">
        <v>124</v>
      </c>
      <c r="D83" s="2"/>
      <c r="E83" s="22" t="s">
        <v>118</v>
      </c>
      <c r="F83" s="56" t="s">
        <v>200</v>
      </c>
      <c r="G83" s="26">
        <v>5</v>
      </c>
      <c r="H83" s="24"/>
      <c r="I83" s="24"/>
      <c r="J83" s="24"/>
      <c r="K83" s="46"/>
      <c r="L83" s="46"/>
      <c r="M83" s="46"/>
      <c r="N83" s="47">
        <f t="shared" si="5"/>
        <v>0</v>
      </c>
      <c r="O83" s="48"/>
      <c r="P83" s="46"/>
      <c r="Q83" s="46"/>
      <c r="R83" s="46"/>
      <c r="S83" s="46"/>
      <c r="T83" s="47">
        <f t="shared" si="6"/>
        <v>0</v>
      </c>
    </row>
    <row r="84" spans="1:20" ht="25.5" x14ac:dyDescent="0.25">
      <c r="A84" s="3">
        <f t="shared" si="4"/>
        <v>75</v>
      </c>
      <c r="B84" s="10" t="s">
        <v>87</v>
      </c>
      <c r="C84" s="15" t="s">
        <v>124</v>
      </c>
      <c r="D84" s="2"/>
      <c r="E84" s="22" t="s">
        <v>115</v>
      </c>
      <c r="F84" s="56" t="s">
        <v>201</v>
      </c>
      <c r="G84" s="26">
        <v>5</v>
      </c>
      <c r="H84" s="24">
        <v>1</v>
      </c>
      <c r="I84" s="24">
        <v>1</v>
      </c>
      <c r="J84" s="24">
        <v>1</v>
      </c>
      <c r="K84" s="46"/>
      <c r="L84" s="46"/>
      <c r="M84" s="46"/>
      <c r="N84" s="47">
        <f t="shared" si="5"/>
        <v>0</v>
      </c>
      <c r="O84" s="48"/>
      <c r="P84" s="46"/>
      <c r="Q84" s="46"/>
      <c r="R84" s="46"/>
      <c r="S84" s="46"/>
      <c r="T84" s="47">
        <f t="shared" si="6"/>
        <v>0</v>
      </c>
    </row>
    <row r="85" spans="1:20" ht="25.5" x14ac:dyDescent="0.25">
      <c r="A85" s="3">
        <f t="shared" si="4"/>
        <v>76</v>
      </c>
      <c r="B85" s="11" t="s">
        <v>88</v>
      </c>
      <c r="C85" s="15" t="s">
        <v>124</v>
      </c>
      <c r="D85" s="2"/>
      <c r="E85" s="17" t="s">
        <v>121</v>
      </c>
      <c r="F85" s="56" t="s">
        <v>203</v>
      </c>
      <c r="G85" s="26">
        <v>10</v>
      </c>
      <c r="H85" s="24">
        <v>4</v>
      </c>
      <c r="I85" s="24">
        <v>7</v>
      </c>
      <c r="J85" s="24">
        <v>6</v>
      </c>
      <c r="K85" s="46"/>
      <c r="L85" s="46"/>
      <c r="M85" s="46"/>
      <c r="N85" s="47">
        <f t="shared" si="5"/>
        <v>0</v>
      </c>
      <c r="O85" s="48">
        <v>5</v>
      </c>
      <c r="P85" s="46">
        <v>4</v>
      </c>
      <c r="Q85" s="46">
        <v>3</v>
      </c>
      <c r="R85" s="46">
        <v>2067.4699999999998</v>
      </c>
      <c r="S85" s="46"/>
      <c r="T85" s="47">
        <f t="shared" si="6"/>
        <v>2067.4699999999998</v>
      </c>
    </row>
    <row r="86" spans="1:20" ht="25.5" x14ac:dyDescent="0.25">
      <c r="A86" s="3">
        <f t="shared" si="4"/>
        <v>77</v>
      </c>
      <c r="B86" s="14" t="s">
        <v>89</v>
      </c>
      <c r="C86" s="15" t="s">
        <v>124</v>
      </c>
      <c r="D86" s="2"/>
      <c r="E86" s="19" t="s">
        <v>106</v>
      </c>
      <c r="F86" s="56" t="s">
        <v>202</v>
      </c>
      <c r="G86" s="26">
        <v>1</v>
      </c>
      <c r="H86" s="24"/>
      <c r="I86" s="24"/>
      <c r="J86" s="24"/>
      <c r="K86" s="46"/>
      <c r="L86" s="46"/>
      <c r="M86" s="46"/>
      <c r="N86" s="47">
        <f t="shared" si="5"/>
        <v>0</v>
      </c>
      <c r="O86" s="48"/>
      <c r="P86" s="46"/>
      <c r="Q86" s="46"/>
      <c r="R86" s="46"/>
      <c r="S86" s="46"/>
      <c r="T86" s="47">
        <f t="shared" si="6"/>
        <v>0</v>
      </c>
    </row>
    <row r="87" spans="1:20" ht="25.5" x14ac:dyDescent="0.25">
      <c r="A87" s="3">
        <f t="shared" si="4"/>
        <v>78</v>
      </c>
      <c r="B87" s="14" t="s">
        <v>90</v>
      </c>
      <c r="C87" s="15" t="s">
        <v>124</v>
      </c>
      <c r="D87" s="2"/>
      <c r="E87" s="19" t="s">
        <v>106</v>
      </c>
      <c r="F87" s="56" t="s">
        <v>204</v>
      </c>
      <c r="G87" s="26">
        <v>2</v>
      </c>
      <c r="H87" s="24">
        <v>1</v>
      </c>
      <c r="I87" s="24">
        <v>1</v>
      </c>
      <c r="J87" s="24">
        <v>1</v>
      </c>
      <c r="K87" s="46">
        <v>1</v>
      </c>
      <c r="L87" s="46">
        <v>250.11</v>
      </c>
      <c r="M87" s="46">
        <v>250.11</v>
      </c>
      <c r="N87" s="47">
        <f t="shared" si="5"/>
        <v>0</v>
      </c>
      <c r="O87" s="48">
        <v>2</v>
      </c>
      <c r="P87" s="46">
        <v>2</v>
      </c>
      <c r="Q87" s="46">
        <v>2</v>
      </c>
      <c r="R87" s="46">
        <v>2723.78</v>
      </c>
      <c r="S87" s="46">
        <v>2723.78</v>
      </c>
      <c r="T87" s="47">
        <f t="shared" si="6"/>
        <v>0</v>
      </c>
    </row>
    <row r="88" spans="1:20" ht="25.5" x14ac:dyDescent="0.25">
      <c r="A88" s="3">
        <f t="shared" si="4"/>
        <v>79</v>
      </c>
      <c r="B88" s="10" t="s">
        <v>91</v>
      </c>
      <c r="C88" s="15" t="s">
        <v>124</v>
      </c>
      <c r="D88" s="2"/>
      <c r="E88" s="17" t="s">
        <v>111</v>
      </c>
      <c r="F88" s="56" t="s">
        <v>231</v>
      </c>
      <c r="G88" s="26">
        <v>1</v>
      </c>
      <c r="H88" s="24"/>
      <c r="I88" s="24"/>
      <c r="J88" s="24"/>
      <c r="K88" s="46"/>
      <c r="L88" s="46"/>
      <c r="M88" s="46"/>
      <c r="N88" s="47">
        <f t="shared" si="5"/>
        <v>0</v>
      </c>
      <c r="O88" s="48">
        <v>6</v>
      </c>
      <c r="P88" s="46">
        <v>6</v>
      </c>
      <c r="Q88" s="46">
        <v>4</v>
      </c>
      <c r="R88" s="46">
        <v>4474.76</v>
      </c>
      <c r="S88" s="46">
        <v>4474.76</v>
      </c>
      <c r="T88" s="47">
        <f t="shared" si="6"/>
        <v>0</v>
      </c>
    </row>
    <row r="89" spans="1:20" ht="25.5" x14ac:dyDescent="0.25">
      <c r="A89" s="3">
        <f t="shared" si="4"/>
        <v>80</v>
      </c>
      <c r="B89" s="10" t="s">
        <v>92</v>
      </c>
      <c r="C89" s="15" t="s">
        <v>124</v>
      </c>
      <c r="D89" s="2"/>
      <c r="E89" s="19" t="s">
        <v>106</v>
      </c>
      <c r="F89" s="56" t="s">
        <v>205</v>
      </c>
      <c r="G89" s="26">
        <v>2</v>
      </c>
      <c r="H89" s="24">
        <v>1</v>
      </c>
      <c r="I89" s="24">
        <v>1</v>
      </c>
      <c r="J89" s="24">
        <v>1</v>
      </c>
      <c r="K89" s="46"/>
      <c r="L89" s="46"/>
      <c r="M89" s="46"/>
      <c r="N89" s="47">
        <f t="shared" si="5"/>
        <v>0</v>
      </c>
      <c r="O89" s="48">
        <v>2</v>
      </c>
      <c r="P89" s="46">
        <v>2</v>
      </c>
      <c r="Q89" s="46">
        <v>1</v>
      </c>
      <c r="R89" s="46">
        <v>5032.46</v>
      </c>
      <c r="S89" s="46"/>
      <c r="T89" s="47">
        <f t="shared" si="6"/>
        <v>5032.46</v>
      </c>
    </row>
    <row r="90" spans="1:20" ht="25.5" x14ac:dyDescent="0.25">
      <c r="A90" s="3">
        <f t="shared" si="4"/>
        <v>81</v>
      </c>
      <c r="B90" s="11" t="s">
        <v>93</v>
      </c>
      <c r="C90" s="15" t="s">
        <v>124</v>
      </c>
      <c r="D90" s="2"/>
      <c r="E90" s="17" t="s">
        <v>122</v>
      </c>
      <c r="F90" s="56" t="s">
        <v>206</v>
      </c>
      <c r="G90" s="26">
        <v>10</v>
      </c>
      <c r="H90" s="24"/>
      <c r="I90" s="24"/>
      <c r="J90" s="24"/>
      <c r="K90" s="46"/>
      <c r="L90" s="46"/>
      <c r="M90" s="46"/>
      <c r="N90" s="47">
        <f t="shared" si="5"/>
        <v>0</v>
      </c>
      <c r="O90" s="48"/>
      <c r="P90" s="46"/>
      <c r="Q90" s="46"/>
      <c r="R90" s="46"/>
      <c r="S90" s="46"/>
      <c r="T90" s="47">
        <f t="shared" si="6"/>
        <v>0</v>
      </c>
    </row>
    <row r="91" spans="1:20" ht="25.5" x14ac:dyDescent="0.25">
      <c r="A91" s="3">
        <f t="shared" si="4"/>
        <v>82</v>
      </c>
      <c r="B91" s="11" t="s">
        <v>94</v>
      </c>
      <c r="C91" s="15" t="s">
        <v>124</v>
      </c>
      <c r="D91" s="2"/>
      <c r="E91" s="19" t="s">
        <v>106</v>
      </c>
      <c r="F91" s="56" t="s">
        <v>218</v>
      </c>
      <c r="G91" s="26">
        <v>4</v>
      </c>
      <c r="H91" s="24">
        <v>1</v>
      </c>
      <c r="I91" s="24">
        <v>1</v>
      </c>
      <c r="J91" s="24">
        <v>1</v>
      </c>
      <c r="K91" s="46"/>
      <c r="L91" s="46"/>
      <c r="M91" s="46"/>
      <c r="N91" s="47">
        <f t="shared" si="5"/>
        <v>0</v>
      </c>
      <c r="O91" s="48">
        <v>4</v>
      </c>
      <c r="P91" s="46">
        <v>4</v>
      </c>
      <c r="Q91" s="46"/>
      <c r="R91" s="46"/>
      <c r="S91" s="46"/>
      <c r="T91" s="47">
        <f t="shared" si="6"/>
        <v>0</v>
      </c>
    </row>
    <row r="92" spans="1:20" ht="25.5" x14ac:dyDescent="0.25">
      <c r="A92" s="3">
        <f t="shared" si="4"/>
        <v>83</v>
      </c>
      <c r="B92" s="11" t="s">
        <v>95</v>
      </c>
      <c r="C92" s="15" t="s">
        <v>124</v>
      </c>
      <c r="D92" s="2"/>
      <c r="E92" s="19" t="s">
        <v>123</v>
      </c>
      <c r="F92" s="56" t="s">
        <v>217</v>
      </c>
      <c r="G92" s="26">
        <v>7</v>
      </c>
      <c r="H92" s="24">
        <v>2</v>
      </c>
      <c r="I92" s="24">
        <v>2</v>
      </c>
      <c r="J92" s="24">
        <v>2</v>
      </c>
      <c r="K92" s="46"/>
      <c r="L92" s="46"/>
      <c r="M92" s="46"/>
      <c r="N92" s="47">
        <f t="shared" si="5"/>
        <v>0</v>
      </c>
      <c r="O92" s="48">
        <v>1</v>
      </c>
      <c r="P92" s="46">
        <v>1</v>
      </c>
      <c r="Q92" s="46">
        <v>1</v>
      </c>
      <c r="R92" s="46">
        <v>206.7</v>
      </c>
      <c r="S92" s="46"/>
      <c r="T92" s="47">
        <f t="shared" si="6"/>
        <v>206.7</v>
      </c>
    </row>
    <row r="93" spans="1:20" ht="25.5" x14ac:dyDescent="0.25">
      <c r="A93" s="3">
        <f t="shared" si="4"/>
        <v>84</v>
      </c>
      <c r="B93" s="11" t="s">
        <v>96</v>
      </c>
      <c r="C93" s="15" t="s">
        <v>124</v>
      </c>
      <c r="D93" s="2"/>
      <c r="E93" s="22" t="s">
        <v>112</v>
      </c>
      <c r="F93" s="56" t="s">
        <v>216</v>
      </c>
      <c r="G93" s="26">
        <v>14</v>
      </c>
      <c r="H93" s="24"/>
      <c r="I93" s="24"/>
      <c r="J93" s="24"/>
      <c r="K93" s="46"/>
      <c r="L93" s="46"/>
      <c r="M93" s="46"/>
      <c r="N93" s="47">
        <f t="shared" si="5"/>
        <v>0</v>
      </c>
      <c r="O93" s="48">
        <v>3</v>
      </c>
      <c r="P93" s="46">
        <v>3</v>
      </c>
      <c r="Q93" s="46">
        <v>3</v>
      </c>
      <c r="R93" s="46">
        <v>5838.31</v>
      </c>
      <c r="S93" s="46"/>
      <c r="T93" s="47">
        <f t="shared" si="6"/>
        <v>5838.31</v>
      </c>
    </row>
    <row r="94" spans="1:20" ht="25.5" x14ac:dyDescent="0.25">
      <c r="A94" s="3">
        <f t="shared" si="4"/>
        <v>85</v>
      </c>
      <c r="B94" s="11" t="s">
        <v>97</v>
      </c>
      <c r="C94" s="15" t="s">
        <v>124</v>
      </c>
      <c r="D94" s="2"/>
      <c r="E94" s="17" t="s">
        <v>111</v>
      </c>
      <c r="F94" s="56" t="s">
        <v>215</v>
      </c>
      <c r="G94" s="26">
        <v>5</v>
      </c>
      <c r="H94" s="24"/>
      <c r="I94" s="24"/>
      <c r="J94" s="24"/>
      <c r="K94" s="46"/>
      <c r="L94" s="46"/>
      <c r="M94" s="46"/>
      <c r="N94" s="47">
        <f t="shared" si="5"/>
        <v>0</v>
      </c>
      <c r="O94" s="48">
        <v>17</v>
      </c>
      <c r="P94" s="46">
        <v>15</v>
      </c>
      <c r="Q94" s="46">
        <v>11</v>
      </c>
      <c r="R94" s="46">
        <v>12538.44</v>
      </c>
      <c r="S94" s="46"/>
      <c r="T94" s="47">
        <f t="shared" si="6"/>
        <v>12538.44</v>
      </c>
    </row>
    <row r="95" spans="1:20" ht="25.5" x14ac:dyDescent="0.25">
      <c r="A95" s="3">
        <f t="shared" si="4"/>
        <v>86</v>
      </c>
      <c r="B95" s="10" t="s">
        <v>98</v>
      </c>
      <c r="C95" s="15" t="s">
        <v>124</v>
      </c>
      <c r="D95" s="2"/>
      <c r="E95" s="19" t="s">
        <v>106</v>
      </c>
      <c r="F95" s="56" t="s">
        <v>214</v>
      </c>
      <c r="G95" s="26">
        <v>8</v>
      </c>
      <c r="H95" s="24"/>
      <c r="I95" s="24"/>
      <c r="J95" s="24"/>
      <c r="K95" s="46"/>
      <c r="L95" s="46"/>
      <c r="M95" s="46"/>
      <c r="N95" s="47">
        <f t="shared" si="5"/>
        <v>0</v>
      </c>
      <c r="O95" s="48">
        <v>1</v>
      </c>
      <c r="P95" s="46">
        <v>1</v>
      </c>
      <c r="Q95" s="46">
        <v>1</v>
      </c>
      <c r="R95" s="46">
        <v>410.39</v>
      </c>
      <c r="S95" s="46"/>
      <c r="T95" s="47">
        <f t="shared" si="6"/>
        <v>410.39</v>
      </c>
    </row>
    <row r="96" spans="1:20" ht="25.5" x14ac:dyDescent="0.25">
      <c r="A96" s="3">
        <f t="shared" si="4"/>
        <v>87</v>
      </c>
      <c r="B96" s="10" t="s">
        <v>129</v>
      </c>
      <c r="C96" s="15" t="s">
        <v>124</v>
      </c>
      <c r="D96" s="2"/>
      <c r="E96" s="19" t="s">
        <v>106</v>
      </c>
      <c r="F96" s="56" t="s">
        <v>212</v>
      </c>
      <c r="G96" s="26">
        <v>2</v>
      </c>
      <c r="H96" s="24"/>
      <c r="I96" s="24"/>
      <c r="J96" s="24"/>
      <c r="K96" s="46"/>
      <c r="L96" s="46"/>
      <c r="M96" s="46"/>
      <c r="N96" s="47">
        <f t="shared" si="5"/>
        <v>0</v>
      </c>
      <c r="O96" s="48"/>
      <c r="P96" s="46"/>
      <c r="Q96" s="46"/>
      <c r="R96" s="46"/>
      <c r="S96" s="46"/>
      <c r="T96" s="47">
        <f t="shared" si="6"/>
        <v>0</v>
      </c>
    </row>
    <row r="97" spans="1:20" ht="25.5" x14ac:dyDescent="0.25">
      <c r="A97" s="3">
        <f t="shared" si="4"/>
        <v>88</v>
      </c>
      <c r="B97" s="10" t="s">
        <v>99</v>
      </c>
      <c r="C97" s="15" t="s">
        <v>124</v>
      </c>
      <c r="D97" s="2"/>
      <c r="E97" s="19" t="s">
        <v>106</v>
      </c>
      <c r="F97" s="56" t="s">
        <v>213</v>
      </c>
      <c r="G97" s="26">
        <v>4</v>
      </c>
      <c r="H97" s="24">
        <v>2</v>
      </c>
      <c r="I97" s="24">
        <v>2</v>
      </c>
      <c r="J97" s="24">
        <v>2</v>
      </c>
      <c r="K97" s="46">
        <v>1</v>
      </c>
      <c r="L97" s="46">
        <v>408.82</v>
      </c>
      <c r="M97" s="46"/>
      <c r="N97" s="47">
        <f t="shared" si="5"/>
        <v>408.82</v>
      </c>
      <c r="O97" s="48">
        <v>3</v>
      </c>
      <c r="P97" s="46">
        <v>3</v>
      </c>
      <c r="Q97" s="46">
        <v>2</v>
      </c>
      <c r="R97" s="46">
        <v>567.42999999999995</v>
      </c>
      <c r="S97" s="46"/>
      <c r="T97" s="47">
        <f t="shared" si="6"/>
        <v>567.42999999999995</v>
      </c>
    </row>
    <row r="98" spans="1:20" ht="25.5" x14ac:dyDescent="0.25">
      <c r="A98" s="3">
        <f t="shared" si="4"/>
        <v>89</v>
      </c>
      <c r="B98" s="13" t="s">
        <v>100</v>
      </c>
      <c r="C98" s="15" t="s">
        <v>124</v>
      </c>
      <c r="D98" s="2"/>
      <c r="E98" s="19" t="s">
        <v>106</v>
      </c>
      <c r="F98" s="56" t="s">
        <v>211</v>
      </c>
      <c r="G98" s="26">
        <v>6</v>
      </c>
      <c r="H98" s="24"/>
      <c r="I98" s="24"/>
      <c r="J98" s="24"/>
      <c r="K98" s="46"/>
      <c r="L98" s="46"/>
      <c r="M98" s="46"/>
      <c r="N98" s="47">
        <f t="shared" si="5"/>
        <v>0</v>
      </c>
      <c r="O98" s="48">
        <v>5</v>
      </c>
      <c r="P98" s="46">
        <v>4</v>
      </c>
      <c r="Q98" s="46">
        <v>3</v>
      </c>
      <c r="R98" s="46">
        <v>1445.9</v>
      </c>
      <c r="S98" s="46"/>
      <c r="T98" s="47">
        <f t="shared" si="6"/>
        <v>1445.9</v>
      </c>
    </row>
    <row r="99" spans="1:20" ht="14.25" customHeight="1" x14ac:dyDescent="0.25">
      <c r="A99" s="3">
        <f t="shared" si="4"/>
        <v>90</v>
      </c>
      <c r="B99" s="13" t="s">
        <v>101</v>
      </c>
      <c r="C99" s="15" t="s">
        <v>124</v>
      </c>
      <c r="D99" s="2"/>
      <c r="E99" s="17" t="s">
        <v>106</v>
      </c>
      <c r="F99" s="56" t="s">
        <v>210</v>
      </c>
      <c r="G99" s="26">
        <v>4</v>
      </c>
      <c r="H99" s="24"/>
      <c r="I99" s="24"/>
      <c r="J99" s="24"/>
      <c r="K99" s="46"/>
      <c r="L99" s="46"/>
      <c r="M99" s="46"/>
      <c r="N99" s="47">
        <f t="shared" si="5"/>
        <v>0</v>
      </c>
      <c r="O99" s="48">
        <v>6</v>
      </c>
      <c r="P99" s="46">
        <v>6</v>
      </c>
      <c r="Q99" s="46">
        <v>3</v>
      </c>
      <c r="R99" s="46">
        <v>2189.71</v>
      </c>
      <c r="S99" s="46"/>
      <c r="T99" s="47">
        <f t="shared" si="6"/>
        <v>2189.71</v>
      </c>
    </row>
    <row r="100" spans="1:20" ht="25.5" x14ac:dyDescent="0.25">
      <c r="A100" s="3">
        <f t="shared" si="4"/>
        <v>91</v>
      </c>
      <c r="B100" s="13" t="s">
        <v>102</v>
      </c>
      <c r="C100" s="15" t="s">
        <v>124</v>
      </c>
      <c r="D100" s="2"/>
      <c r="E100" s="17" t="s">
        <v>106</v>
      </c>
      <c r="F100" s="56" t="s">
        <v>209</v>
      </c>
      <c r="G100" s="26">
        <v>7</v>
      </c>
      <c r="H100" s="24">
        <v>2</v>
      </c>
      <c r="I100" s="24">
        <v>3</v>
      </c>
      <c r="J100" s="24">
        <v>3</v>
      </c>
      <c r="K100" s="46">
        <v>1</v>
      </c>
      <c r="L100" s="46">
        <v>2669.35</v>
      </c>
      <c r="M100" s="46"/>
      <c r="N100" s="47">
        <f t="shared" si="5"/>
        <v>2669.35</v>
      </c>
      <c r="O100" s="48">
        <v>6</v>
      </c>
      <c r="P100" s="46">
        <v>6</v>
      </c>
      <c r="Q100" s="46">
        <v>5</v>
      </c>
      <c r="R100" s="46">
        <v>2273.39</v>
      </c>
      <c r="S100" s="46"/>
      <c r="T100" s="47">
        <f t="shared" si="6"/>
        <v>2273.39</v>
      </c>
    </row>
    <row r="101" spans="1:20" ht="25.5" x14ac:dyDescent="0.25">
      <c r="A101" s="3">
        <f t="shared" si="4"/>
        <v>92</v>
      </c>
      <c r="B101" s="11" t="s">
        <v>103</v>
      </c>
      <c r="C101" s="15" t="s">
        <v>124</v>
      </c>
      <c r="D101" s="2"/>
      <c r="E101" s="22" t="s">
        <v>112</v>
      </c>
      <c r="F101" s="56" t="s">
        <v>208</v>
      </c>
      <c r="G101" s="26">
        <v>14</v>
      </c>
      <c r="H101" s="24">
        <v>2</v>
      </c>
      <c r="I101" s="24">
        <v>2</v>
      </c>
      <c r="J101" s="24">
        <v>1</v>
      </c>
      <c r="K101" s="46"/>
      <c r="L101" s="46"/>
      <c r="M101" s="46"/>
      <c r="N101" s="47">
        <f t="shared" si="5"/>
        <v>0</v>
      </c>
      <c r="O101" s="48">
        <v>15</v>
      </c>
      <c r="P101" s="46">
        <v>10</v>
      </c>
      <c r="Q101" s="46">
        <v>4</v>
      </c>
      <c r="R101" s="46">
        <v>6585.82</v>
      </c>
      <c r="S101" s="46">
        <v>6585.82</v>
      </c>
      <c r="T101" s="47">
        <f t="shared" si="6"/>
        <v>0</v>
      </c>
    </row>
    <row r="102" spans="1:20" ht="26.25" thickBot="1" x14ac:dyDescent="0.3">
      <c r="A102" s="3">
        <f t="shared" si="4"/>
        <v>93</v>
      </c>
      <c r="B102" s="30" t="s">
        <v>104</v>
      </c>
      <c r="C102" s="31" t="s">
        <v>124</v>
      </c>
      <c r="D102" s="32"/>
      <c r="E102" s="33" t="s">
        <v>106</v>
      </c>
      <c r="F102" s="56" t="s">
        <v>207</v>
      </c>
      <c r="G102" s="35">
        <v>3</v>
      </c>
      <c r="H102" s="36"/>
      <c r="I102" s="36"/>
      <c r="J102" s="36"/>
      <c r="K102" s="50"/>
      <c r="L102" s="50"/>
      <c r="M102" s="50"/>
      <c r="N102" s="47">
        <f t="shared" si="5"/>
        <v>0</v>
      </c>
      <c r="O102" s="52"/>
      <c r="P102" s="50"/>
      <c r="Q102" s="50"/>
      <c r="R102" s="50"/>
      <c r="S102" s="50"/>
      <c r="T102" s="51">
        <f t="shared" si="6"/>
        <v>0</v>
      </c>
    </row>
    <row r="103" spans="1:20" x14ac:dyDescent="0.25">
      <c r="A103" s="294"/>
      <c r="B103" s="294"/>
      <c r="C103" s="294"/>
      <c r="D103" s="294"/>
      <c r="E103" s="294"/>
      <c r="F103" s="294"/>
      <c r="G103" s="27">
        <f t="shared" ref="G103:N103" si="7">SUM(G10:G102)</f>
        <v>437</v>
      </c>
      <c r="H103" s="27">
        <f t="shared" si="7"/>
        <v>83</v>
      </c>
      <c r="I103" s="27">
        <f t="shared" si="7"/>
        <v>94</v>
      </c>
      <c r="J103" s="27">
        <f t="shared" si="7"/>
        <v>83</v>
      </c>
      <c r="K103" s="53">
        <f t="shared" si="7"/>
        <v>28</v>
      </c>
      <c r="L103" s="53">
        <f t="shared" si="7"/>
        <v>21400.74</v>
      </c>
      <c r="M103" s="53">
        <f t="shared" si="7"/>
        <v>13435.890000000001</v>
      </c>
      <c r="N103" s="53">
        <f t="shared" si="7"/>
        <v>7964.85</v>
      </c>
      <c r="O103" s="53">
        <f>SUM(O10:O102)</f>
        <v>364</v>
      </c>
      <c r="P103" s="53">
        <f>SUM(P10:P102)</f>
        <v>329</v>
      </c>
      <c r="Q103" s="53">
        <f>SUM(Q11:Q102)</f>
        <v>192</v>
      </c>
      <c r="R103" s="53">
        <f>SUM(R10:R102)</f>
        <v>234794.26000000013</v>
      </c>
      <c r="S103" s="53">
        <f>SUM(S10:S102)</f>
        <v>178336.85000000003</v>
      </c>
      <c r="T103" s="54">
        <f>SUM(T10:T102)</f>
        <v>56457.41</v>
      </c>
    </row>
  </sheetData>
  <mergeCells count="8">
    <mergeCell ref="A103:F103"/>
    <mergeCell ref="A1:Q1"/>
    <mergeCell ref="R1:T1"/>
    <mergeCell ref="A2:T6"/>
    <mergeCell ref="A7:A8"/>
    <mergeCell ref="B7:F7"/>
    <mergeCell ref="G7:N7"/>
    <mergeCell ref="O7:T7"/>
  </mergeCells>
  <phoneticPr fontId="0" type="noConversion"/>
  <conditionalFormatting sqref="R46:S46">
    <cfRule type="cellIs" dxfId="44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2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3"/>
  <sheetViews>
    <sheetView topLeftCell="A64" zoomScale="60" zoomScaleNormal="60" workbookViewId="0">
      <selection activeCell="B74" sqref="A74:IV74"/>
    </sheetView>
  </sheetViews>
  <sheetFormatPr defaultRowHeight="15" x14ac:dyDescent="0.25"/>
  <cols>
    <col min="1" max="1" width="9.140625" customWidth="1"/>
    <col min="2" max="2" width="36.85546875" customWidth="1"/>
    <col min="3" max="3" width="10.140625" customWidth="1"/>
    <col min="4" max="4" width="12.28515625" customWidth="1"/>
    <col min="5" max="5" width="20.5703125" customWidth="1"/>
    <col min="6" max="6" width="15.85546875" customWidth="1"/>
    <col min="7" max="7" width="12.140625" customWidth="1"/>
    <col min="8" max="8" width="12.85546875" customWidth="1"/>
    <col min="9" max="9" width="11" customWidth="1"/>
    <col min="10" max="10" width="12.140625" customWidth="1"/>
    <col min="11" max="11" width="14.85546875" customWidth="1"/>
    <col min="12" max="12" width="11.5703125" style="55" customWidth="1"/>
    <col min="13" max="13" width="10.7109375" customWidth="1"/>
    <col min="14" max="14" width="9.7109375" customWidth="1"/>
    <col min="15" max="15" width="13.28515625" customWidth="1"/>
    <col min="16" max="16" width="13" customWidth="1"/>
    <col min="17" max="17" width="12.85546875" customWidth="1"/>
    <col min="18" max="18" width="11.28515625" style="55" customWidth="1"/>
    <col min="19" max="19" width="10.42578125" customWidth="1"/>
    <col min="20" max="20" width="10.5703125" customWidth="1"/>
  </cols>
  <sheetData>
    <row r="1" spans="1:20" ht="15.75" hidden="1" thickBot="1" x14ac:dyDescent="0.3">
      <c r="A1" s="310"/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2"/>
      <c r="R1" s="313" t="s">
        <v>17</v>
      </c>
      <c r="S1" s="313"/>
      <c r="T1" s="313"/>
    </row>
    <row r="2" spans="1:20" ht="15" hidden="1" customHeight="1" x14ac:dyDescent="0.25">
      <c r="A2" s="295" t="s">
        <v>237</v>
      </c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7"/>
    </row>
    <row r="3" spans="1:20" ht="15" hidden="1" customHeight="1" x14ac:dyDescent="0.25">
      <c r="A3" s="298"/>
      <c r="B3" s="299"/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300"/>
    </row>
    <row r="4" spans="1:20" ht="34.5" hidden="1" customHeight="1" x14ac:dyDescent="0.25">
      <c r="A4" s="298"/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300"/>
    </row>
    <row r="5" spans="1:20" ht="15" hidden="1" customHeight="1" x14ac:dyDescent="0.25">
      <c r="A5" s="298"/>
      <c r="B5" s="299"/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300"/>
    </row>
    <row r="6" spans="1:20" ht="15.75" hidden="1" customHeight="1" thickBot="1" x14ac:dyDescent="0.3">
      <c r="A6" s="301"/>
      <c r="B6" s="302"/>
      <c r="C6" s="302"/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  <c r="O6" s="302"/>
      <c r="P6" s="302"/>
      <c r="Q6" s="302"/>
      <c r="R6" s="302"/>
      <c r="S6" s="302"/>
      <c r="T6" s="303"/>
    </row>
    <row r="7" spans="1:20" s="58" customFormat="1" ht="52.5" customHeight="1" thickBot="1" x14ac:dyDescent="0.3">
      <c r="A7" s="317" t="s">
        <v>0</v>
      </c>
      <c r="B7" s="319" t="s">
        <v>1</v>
      </c>
      <c r="C7" s="320"/>
      <c r="D7" s="320"/>
      <c r="E7" s="320"/>
      <c r="F7" s="321"/>
      <c r="G7" s="319" t="s">
        <v>2</v>
      </c>
      <c r="H7" s="320"/>
      <c r="I7" s="320"/>
      <c r="J7" s="320"/>
      <c r="K7" s="320"/>
      <c r="L7" s="320"/>
      <c r="M7" s="320"/>
      <c r="N7" s="321"/>
      <c r="O7" s="322" t="s">
        <v>240</v>
      </c>
      <c r="P7" s="323"/>
      <c r="Q7" s="323"/>
      <c r="R7" s="323"/>
      <c r="S7" s="323"/>
      <c r="T7" s="324"/>
    </row>
    <row r="8" spans="1:20" s="57" customFormat="1" ht="189" customHeight="1" x14ac:dyDescent="0.2">
      <c r="A8" s="318"/>
      <c r="B8" s="8" t="s">
        <v>4</v>
      </c>
      <c r="C8" s="8" t="s">
        <v>5</v>
      </c>
      <c r="D8" s="8" t="s">
        <v>6</v>
      </c>
      <c r="E8" s="8" t="s">
        <v>7</v>
      </c>
      <c r="F8" s="41" t="s">
        <v>8</v>
      </c>
      <c r="G8" s="7" t="s">
        <v>9</v>
      </c>
      <c r="H8" s="8" t="s">
        <v>10</v>
      </c>
      <c r="I8" s="8" t="s">
        <v>11</v>
      </c>
      <c r="J8" s="8" t="s">
        <v>12</v>
      </c>
      <c r="K8" s="40" t="s">
        <v>13</v>
      </c>
      <c r="L8" s="40" t="s">
        <v>14</v>
      </c>
      <c r="M8" s="40" t="s">
        <v>15</v>
      </c>
      <c r="N8" s="41" t="s">
        <v>16</v>
      </c>
      <c r="O8" s="42" t="s">
        <v>11</v>
      </c>
      <c r="P8" s="40" t="s">
        <v>12</v>
      </c>
      <c r="Q8" s="40" t="s">
        <v>13</v>
      </c>
      <c r="R8" s="40" t="s">
        <v>14</v>
      </c>
      <c r="S8" s="40" t="s">
        <v>15</v>
      </c>
      <c r="T8" s="41" t="s">
        <v>16</v>
      </c>
    </row>
    <row r="9" spans="1:20" hidden="1" x14ac:dyDescent="0.25">
      <c r="A9" s="4">
        <v>1</v>
      </c>
      <c r="B9" s="1">
        <v>2</v>
      </c>
      <c r="C9" s="1">
        <v>3</v>
      </c>
      <c r="D9" s="1">
        <v>4</v>
      </c>
      <c r="E9" s="1">
        <v>5</v>
      </c>
      <c r="F9" s="44">
        <v>6</v>
      </c>
      <c r="G9" s="4">
        <f>F9+1</f>
        <v>7</v>
      </c>
      <c r="H9" s="1">
        <f t="shared" ref="H9:T9" si="0">G9+1</f>
        <v>8</v>
      </c>
      <c r="I9" s="1">
        <f t="shared" si="0"/>
        <v>9</v>
      </c>
      <c r="J9" s="1">
        <f t="shared" si="0"/>
        <v>10</v>
      </c>
      <c r="K9" s="43">
        <f t="shared" si="0"/>
        <v>11</v>
      </c>
      <c r="L9" s="43">
        <f t="shared" si="0"/>
        <v>12</v>
      </c>
      <c r="M9" s="43">
        <f t="shared" si="0"/>
        <v>13</v>
      </c>
      <c r="N9" s="44">
        <f t="shared" si="0"/>
        <v>14</v>
      </c>
      <c r="O9" s="45">
        <f t="shared" si="0"/>
        <v>15</v>
      </c>
      <c r="P9" s="43">
        <f t="shared" si="0"/>
        <v>16</v>
      </c>
      <c r="Q9" s="43">
        <f t="shared" si="0"/>
        <v>17</v>
      </c>
      <c r="R9" s="43">
        <f t="shared" si="0"/>
        <v>18</v>
      </c>
      <c r="S9" s="43">
        <f t="shared" si="0"/>
        <v>19</v>
      </c>
      <c r="T9" s="44">
        <f t="shared" si="0"/>
        <v>20</v>
      </c>
    </row>
    <row r="10" spans="1:20" ht="18.75" customHeight="1" x14ac:dyDescent="0.25">
      <c r="A10" s="3">
        <v>1</v>
      </c>
      <c r="B10" s="10" t="s">
        <v>18</v>
      </c>
      <c r="C10" s="15" t="s">
        <v>124</v>
      </c>
      <c r="D10" s="2"/>
      <c r="E10" s="16" t="s">
        <v>105</v>
      </c>
      <c r="F10" s="56" t="s">
        <v>138</v>
      </c>
      <c r="G10" s="26">
        <v>10</v>
      </c>
      <c r="H10" s="24">
        <v>3</v>
      </c>
      <c r="I10" s="24">
        <v>3</v>
      </c>
      <c r="J10" s="24">
        <v>3</v>
      </c>
      <c r="K10" s="46">
        <v>3</v>
      </c>
      <c r="L10" s="46">
        <v>1033.5</v>
      </c>
      <c r="M10" s="46">
        <v>1033.5</v>
      </c>
      <c r="N10" s="47">
        <f xml:space="preserve"> (L10-M10)</f>
        <v>0</v>
      </c>
      <c r="O10" s="48">
        <v>4</v>
      </c>
      <c r="P10" s="46">
        <v>4</v>
      </c>
      <c r="Q10" s="46">
        <v>2</v>
      </c>
      <c r="R10" s="46">
        <v>3352.81</v>
      </c>
      <c r="S10" s="46">
        <v>3352.81</v>
      </c>
      <c r="T10" s="47">
        <f xml:space="preserve"> (R10-S10)</f>
        <v>0</v>
      </c>
    </row>
    <row r="11" spans="1:20" ht="15.75" x14ac:dyDescent="0.25">
      <c r="A11" s="3">
        <f>A10+1</f>
        <v>2</v>
      </c>
      <c r="B11" s="10" t="s">
        <v>19</v>
      </c>
      <c r="C11" s="15" t="s">
        <v>124</v>
      </c>
      <c r="D11" s="2"/>
      <c r="E11" s="17" t="s">
        <v>106</v>
      </c>
      <c r="F11" s="56" t="s">
        <v>139</v>
      </c>
      <c r="G11" s="26">
        <v>1</v>
      </c>
      <c r="H11" s="24"/>
      <c r="I11" s="24"/>
      <c r="J11" s="24"/>
      <c r="K11" s="46"/>
      <c r="L11" s="46"/>
      <c r="M11" s="46"/>
      <c r="N11" s="47">
        <f t="shared" ref="N11:N74" si="1" xml:space="preserve"> (L11-M11)</f>
        <v>0</v>
      </c>
      <c r="O11" s="48">
        <v>1</v>
      </c>
      <c r="P11" s="46">
        <v>1</v>
      </c>
      <c r="Q11" s="46">
        <v>1</v>
      </c>
      <c r="R11" s="46">
        <v>234.23</v>
      </c>
      <c r="S11" s="46">
        <v>234.23</v>
      </c>
      <c r="T11" s="47">
        <f t="shared" ref="T11:T74" si="2" xml:space="preserve"> (R11-S11)</f>
        <v>0</v>
      </c>
    </row>
    <row r="12" spans="1:20" ht="15.75" x14ac:dyDescent="0.25">
      <c r="A12" s="3">
        <f t="shared" ref="A12:A75" si="3">A11+1</f>
        <v>3</v>
      </c>
      <c r="B12" s="11" t="s">
        <v>20</v>
      </c>
      <c r="C12" s="15" t="s">
        <v>124</v>
      </c>
      <c r="D12" s="2"/>
      <c r="E12" s="17" t="s">
        <v>107</v>
      </c>
      <c r="F12" s="56" t="s">
        <v>223</v>
      </c>
      <c r="G12" s="26"/>
      <c r="H12" s="24"/>
      <c r="I12" s="24"/>
      <c r="J12" s="24"/>
      <c r="K12" s="46"/>
      <c r="L12" s="46"/>
      <c r="M12" s="46"/>
      <c r="N12" s="47">
        <f t="shared" si="1"/>
        <v>0</v>
      </c>
      <c r="O12" s="48">
        <v>2</v>
      </c>
      <c r="P12" s="46">
        <v>2</v>
      </c>
      <c r="Q12" s="46"/>
      <c r="R12" s="46"/>
      <c r="S12" s="46"/>
      <c r="T12" s="47">
        <f t="shared" si="2"/>
        <v>0</v>
      </c>
    </row>
    <row r="13" spans="1:20" ht="15.75" x14ac:dyDescent="0.25">
      <c r="A13" s="3">
        <f t="shared" si="3"/>
        <v>4</v>
      </c>
      <c r="B13" s="11" t="s">
        <v>21</v>
      </c>
      <c r="C13" s="15" t="s">
        <v>124</v>
      </c>
      <c r="D13" s="2"/>
      <c r="E13" s="17" t="s">
        <v>108</v>
      </c>
      <c r="F13" s="56" t="s">
        <v>140</v>
      </c>
      <c r="G13" s="26">
        <v>4</v>
      </c>
      <c r="H13" s="24">
        <v>1</v>
      </c>
      <c r="I13" s="24">
        <v>2</v>
      </c>
      <c r="J13" s="24">
        <v>1</v>
      </c>
      <c r="K13" s="46"/>
      <c r="L13" s="46"/>
      <c r="M13" s="46"/>
      <c r="N13" s="47">
        <f t="shared" si="1"/>
        <v>0</v>
      </c>
      <c r="O13" s="48">
        <v>4</v>
      </c>
      <c r="P13" s="46">
        <v>3</v>
      </c>
      <c r="Q13" s="46"/>
      <c r="R13" s="46"/>
      <c r="S13" s="46"/>
      <c r="T13" s="47">
        <f t="shared" si="2"/>
        <v>0</v>
      </c>
    </row>
    <row r="14" spans="1:20" ht="15.75" x14ac:dyDescent="0.25">
      <c r="A14" s="3">
        <f t="shared" si="3"/>
        <v>5</v>
      </c>
      <c r="B14" s="10" t="s">
        <v>22</v>
      </c>
      <c r="C14" s="15" t="s">
        <v>124</v>
      </c>
      <c r="D14" s="2"/>
      <c r="E14" s="17" t="s">
        <v>106</v>
      </c>
      <c r="F14" s="56" t="s">
        <v>141</v>
      </c>
      <c r="G14" s="26">
        <v>8</v>
      </c>
      <c r="H14" s="24">
        <v>2</v>
      </c>
      <c r="I14" s="24">
        <v>2</v>
      </c>
      <c r="J14" s="24">
        <v>1</v>
      </c>
      <c r="K14" s="46"/>
      <c r="L14" s="46"/>
      <c r="M14" s="46"/>
      <c r="N14" s="47">
        <f t="shared" si="1"/>
        <v>0</v>
      </c>
      <c r="O14" s="48">
        <v>3</v>
      </c>
      <c r="P14" s="46">
        <v>3</v>
      </c>
      <c r="Q14" s="46"/>
      <c r="R14" s="46"/>
      <c r="S14" s="46"/>
      <c r="T14" s="47">
        <f t="shared" si="2"/>
        <v>0</v>
      </c>
    </row>
    <row r="15" spans="1:20" ht="15.75" x14ac:dyDescent="0.25">
      <c r="A15" s="3">
        <f t="shared" si="3"/>
        <v>6</v>
      </c>
      <c r="B15" s="10" t="s">
        <v>23</v>
      </c>
      <c r="C15" s="15" t="s">
        <v>124</v>
      </c>
      <c r="D15" s="2"/>
      <c r="E15" s="17" t="s">
        <v>106</v>
      </c>
      <c r="F15" s="56" t="s">
        <v>142</v>
      </c>
      <c r="G15" s="26">
        <v>9</v>
      </c>
      <c r="H15" s="24">
        <v>3</v>
      </c>
      <c r="I15" s="24">
        <v>3</v>
      </c>
      <c r="J15" s="24">
        <v>3</v>
      </c>
      <c r="K15" s="46"/>
      <c r="L15" s="46"/>
      <c r="M15" s="46"/>
      <c r="N15" s="47">
        <f t="shared" si="1"/>
        <v>0</v>
      </c>
      <c r="O15" s="48">
        <v>9</v>
      </c>
      <c r="P15" s="46">
        <v>8</v>
      </c>
      <c r="Q15" s="46">
        <v>5</v>
      </c>
      <c r="R15" s="46">
        <v>4569.41</v>
      </c>
      <c r="S15" s="46">
        <v>4569.41</v>
      </c>
      <c r="T15" s="47">
        <f t="shared" si="2"/>
        <v>0</v>
      </c>
    </row>
    <row r="16" spans="1:20" ht="15.75" x14ac:dyDescent="0.25">
      <c r="A16" s="3">
        <f t="shared" si="3"/>
        <v>7</v>
      </c>
      <c r="B16" s="10" t="s">
        <v>133</v>
      </c>
      <c r="C16" s="15" t="s">
        <v>124</v>
      </c>
      <c r="D16" s="2"/>
      <c r="E16" s="17" t="s">
        <v>106</v>
      </c>
      <c r="F16" s="56" t="s">
        <v>143</v>
      </c>
      <c r="G16" s="26"/>
      <c r="H16" s="24"/>
      <c r="I16" s="24"/>
      <c r="J16" s="24"/>
      <c r="K16" s="46"/>
      <c r="L16" s="46"/>
      <c r="M16" s="46"/>
      <c r="N16" s="47">
        <f t="shared" si="1"/>
        <v>0</v>
      </c>
      <c r="O16" s="48"/>
      <c r="P16" s="46"/>
      <c r="Q16" s="46"/>
      <c r="R16" s="46"/>
      <c r="S16" s="46"/>
      <c r="T16" s="47">
        <f t="shared" si="2"/>
        <v>0</v>
      </c>
    </row>
    <row r="17" spans="1:20" ht="15.75" x14ac:dyDescent="0.25">
      <c r="A17" s="3">
        <f t="shared" si="3"/>
        <v>8</v>
      </c>
      <c r="B17" s="10" t="s">
        <v>24</v>
      </c>
      <c r="C17" s="15" t="s">
        <v>124</v>
      </c>
      <c r="D17" s="2"/>
      <c r="E17" s="17" t="s">
        <v>109</v>
      </c>
      <c r="F17" s="56" t="s">
        <v>144</v>
      </c>
      <c r="G17" s="26">
        <v>5</v>
      </c>
      <c r="H17" s="24"/>
      <c r="I17" s="24"/>
      <c r="J17" s="24"/>
      <c r="K17" s="46"/>
      <c r="L17" s="46"/>
      <c r="M17" s="46"/>
      <c r="N17" s="47">
        <f t="shared" si="1"/>
        <v>0</v>
      </c>
      <c r="O17" s="48"/>
      <c r="P17" s="46"/>
      <c r="Q17" s="46"/>
      <c r="R17" s="46"/>
      <c r="S17" s="46"/>
      <c r="T17" s="47">
        <f t="shared" si="2"/>
        <v>0</v>
      </c>
    </row>
    <row r="18" spans="1:20" ht="15.75" x14ac:dyDescent="0.25">
      <c r="A18" s="3">
        <f t="shared" si="3"/>
        <v>9</v>
      </c>
      <c r="B18" s="10" t="s">
        <v>25</v>
      </c>
      <c r="C18" s="15" t="s">
        <v>124</v>
      </c>
      <c r="D18" s="2"/>
      <c r="E18" s="18" t="s">
        <v>110</v>
      </c>
      <c r="F18" s="56" t="s">
        <v>145</v>
      </c>
      <c r="G18" s="26">
        <v>1</v>
      </c>
      <c r="H18" s="24"/>
      <c r="I18" s="24"/>
      <c r="J18" s="24"/>
      <c r="K18" s="46"/>
      <c r="L18" s="46"/>
      <c r="M18" s="46"/>
      <c r="N18" s="47">
        <f t="shared" si="1"/>
        <v>0</v>
      </c>
      <c r="O18" s="48">
        <v>3</v>
      </c>
      <c r="P18" s="46">
        <v>1</v>
      </c>
      <c r="Q18" s="46"/>
      <c r="R18" s="46"/>
      <c r="S18" s="46"/>
      <c r="T18" s="47">
        <f t="shared" si="2"/>
        <v>0</v>
      </c>
    </row>
    <row r="19" spans="1:20" ht="15.75" x14ac:dyDescent="0.25">
      <c r="A19" s="3">
        <f t="shared" si="3"/>
        <v>10</v>
      </c>
      <c r="B19" s="12" t="s">
        <v>26</v>
      </c>
      <c r="C19" s="15" t="s">
        <v>124</v>
      </c>
      <c r="D19" s="2"/>
      <c r="E19" s="19" t="s">
        <v>107</v>
      </c>
      <c r="F19" s="56" t="s">
        <v>146</v>
      </c>
      <c r="G19" s="26">
        <v>10</v>
      </c>
      <c r="H19" s="24">
        <v>4</v>
      </c>
      <c r="I19" s="24">
        <v>5</v>
      </c>
      <c r="J19" s="24">
        <v>5</v>
      </c>
      <c r="K19" s="46">
        <v>1</v>
      </c>
      <c r="L19" s="46">
        <v>749.29</v>
      </c>
      <c r="M19" s="46">
        <v>749.29</v>
      </c>
      <c r="N19" s="47">
        <f t="shared" si="1"/>
        <v>0</v>
      </c>
      <c r="O19" s="48">
        <v>10</v>
      </c>
      <c r="P19" s="46">
        <v>10</v>
      </c>
      <c r="Q19" s="46">
        <v>4</v>
      </c>
      <c r="R19" s="46">
        <v>9246.57</v>
      </c>
      <c r="S19" s="46">
        <v>9246.57</v>
      </c>
      <c r="T19" s="47">
        <f t="shared" si="2"/>
        <v>0</v>
      </c>
    </row>
    <row r="20" spans="1:20" ht="15.75" x14ac:dyDescent="0.25">
      <c r="A20" s="3">
        <f t="shared" si="3"/>
        <v>11</v>
      </c>
      <c r="B20" s="11" t="s">
        <v>27</v>
      </c>
      <c r="C20" s="15" t="s">
        <v>124</v>
      </c>
      <c r="D20" s="2"/>
      <c r="E20" s="17" t="s">
        <v>111</v>
      </c>
      <c r="F20" s="56" t="s">
        <v>147</v>
      </c>
      <c r="G20" s="26">
        <v>6</v>
      </c>
      <c r="H20" s="24">
        <v>2</v>
      </c>
      <c r="I20" s="24">
        <v>2</v>
      </c>
      <c r="J20" s="24"/>
      <c r="K20" s="46"/>
      <c r="L20" s="46"/>
      <c r="M20" s="46"/>
      <c r="N20" s="47">
        <f t="shared" si="1"/>
        <v>0</v>
      </c>
      <c r="O20" s="48">
        <v>16</v>
      </c>
      <c r="P20" s="46">
        <v>13</v>
      </c>
      <c r="Q20" s="46">
        <v>8</v>
      </c>
      <c r="R20" s="46">
        <v>7325.68</v>
      </c>
      <c r="S20" s="46">
        <v>7325.68</v>
      </c>
      <c r="T20" s="47">
        <f t="shared" si="2"/>
        <v>0</v>
      </c>
    </row>
    <row r="21" spans="1:20" ht="15.75" x14ac:dyDescent="0.25">
      <c r="A21" s="3">
        <f t="shared" si="3"/>
        <v>12</v>
      </c>
      <c r="B21" s="10" t="s">
        <v>28</v>
      </c>
      <c r="C21" s="15" t="s">
        <v>124</v>
      </c>
      <c r="D21" s="2"/>
      <c r="E21" s="17" t="s">
        <v>106</v>
      </c>
      <c r="F21" s="56" t="s">
        <v>148</v>
      </c>
      <c r="G21" s="26">
        <v>3</v>
      </c>
      <c r="H21" s="24">
        <v>1</v>
      </c>
      <c r="I21" s="24">
        <v>1</v>
      </c>
      <c r="J21" s="24">
        <v>1</v>
      </c>
      <c r="K21" s="46"/>
      <c r="L21" s="46"/>
      <c r="M21" s="46"/>
      <c r="N21" s="47">
        <f t="shared" si="1"/>
        <v>0</v>
      </c>
      <c r="O21" s="48">
        <v>2</v>
      </c>
      <c r="P21" s="46">
        <v>2</v>
      </c>
      <c r="Q21" s="46">
        <v>1</v>
      </c>
      <c r="R21" s="46">
        <v>1928.2</v>
      </c>
      <c r="S21" s="46">
        <v>1928.2</v>
      </c>
      <c r="T21" s="47">
        <f t="shared" si="2"/>
        <v>0</v>
      </c>
    </row>
    <row r="22" spans="1:20" ht="15.75" x14ac:dyDescent="0.25">
      <c r="A22" s="3">
        <f t="shared" si="3"/>
        <v>13</v>
      </c>
      <c r="B22" s="10" t="s">
        <v>29</v>
      </c>
      <c r="C22" s="15" t="s">
        <v>124</v>
      </c>
      <c r="D22" s="2"/>
      <c r="E22" s="20" t="s">
        <v>112</v>
      </c>
      <c r="F22" s="56" t="s">
        <v>149</v>
      </c>
      <c r="G22" s="26">
        <v>19</v>
      </c>
      <c r="H22" s="24">
        <v>1</v>
      </c>
      <c r="I22" s="24">
        <v>1</v>
      </c>
      <c r="J22" s="24">
        <v>1</v>
      </c>
      <c r="K22" s="46">
        <v>1</v>
      </c>
      <c r="L22" s="46">
        <v>910.39</v>
      </c>
      <c r="M22" s="46">
        <v>910.39</v>
      </c>
      <c r="N22" s="47">
        <f t="shared" si="1"/>
        <v>0</v>
      </c>
      <c r="O22" s="48">
        <v>13</v>
      </c>
      <c r="P22" s="46">
        <v>13</v>
      </c>
      <c r="Q22" s="46">
        <v>12</v>
      </c>
      <c r="R22" s="46">
        <v>14006.59</v>
      </c>
      <c r="S22" s="46">
        <v>14006.59</v>
      </c>
      <c r="T22" s="47">
        <f t="shared" si="2"/>
        <v>0</v>
      </c>
    </row>
    <row r="23" spans="1:20" ht="15.75" x14ac:dyDescent="0.25">
      <c r="A23" s="3">
        <f t="shared" si="3"/>
        <v>14</v>
      </c>
      <c r="B23" s="12" t="s">
        <v>30</v>
      </c>
      <c r="C23" s="15" t="s">
        <v>124</v>
      </c>
      <c r="D23" s="2"/>
      <c r="E23" s="19" t="s">
        <v>111</v>
      </c>
      <c r="F23" s="56" t="s">
        <v>150</v>
      </c>
      <c r="G23" s="26">
        <v>5</v>
      </c>
      <c r="H23" s="24">
        <v>2</v>
      </c>
      <c r="I23" s="24">
        <v>2</v>
      </c>
      <c r="J23" s="24">
        <v>2</v>
      </c>
      <c r="K23" s="46">
        <v>1</v>
      </c>
      <c r="L23" s="46">
        <v>1852.03</v>
      </c>
      <c r="M23" s="46">
        <v>1852.03</v>
      </c>
      <c r="N23" s="47">
        <f t="shared" si="1"/>
        <v>0</v>
      </c>
      <c r="O23" s="48">
        <v>10</v>
      </c>
      <c r="P23" s="46">
        <v>9</v>
      </c>
      <c r="Q23" s="46">
        <v>5</v>
      </c>
      <c r="R23" s="46">
        <v>13330.21</v>
      </c>
      <c r="S23" s="46">
        <v>13330.21</v>
      </c>
      <c r="T23" s="47">
        <f t="shared" si="2"/>
        <v>0</v>
      </c>
    </row>
    <row r="24" spans="1:20" ht="15.75" x14ac:dyDescent="0.25">
      <c r="A24" s="3">
        <f t="shared" si="3"/>
        <v>15</v>
      </c>
      <c r="B24" s="10" t="s">
        <v>31</v>
      </c>
      <c r="C24" s="15" t="s">
        <v>124</v>
      </c>
      <c r="D24" s="2"/>
      <c r="E24" s="21" t="s">
        <v>107</v>
      </c>
      <c r="F24" s="56" t="s">
        <v>151</v>
      </c>
      <c r="G24" s="26">
        <v>8</v>
      </c>
      <c r="H24" s="24"/>
      <c r="I24" s="24"/>
      <c r="J24" s="24"/>
      <c r="K24" s="46"/>
      <c r="L24" s="46"/>
      <c r="M24" s="46"/>
      <c r="N24" s="47">
        <f t="shared" si="1"/>
        <v>0</v>
      </c>
      <c r="O24" s="48">
        <v>5</v>
      </c>
      <c r="P24" s="46">
        <v>5</v>
      </c>
      <c r="Q24" s="46">
        <v>2</v>
      </c>
      <c r="R24" s="46">
        <v>274.60000000000002</v>
      </c>
      <c r="S24" s="46">
        <v>274.60000000000002</v>
      </c>
      <c r="T24" s="47">
        <f t="shared" si="2"/>
        <v>0</v>
      </c>
    </row>
    <row r="25" spans="1:20" ht="15.75" x14ac:dyDescent="0.25">
      <c r="A25" s="3">
        <f t="shared" si="3"/>
        <v>16</v>
      </c>
      <c r="B25" s="13" t="s">
        <v>32</v>
      </c>
      <c r="C25" s="15" t="s">
        <v>124</v>
      </c>
      <c r="D25" s="2"/>
      <c r="E25" s="17" t="s">
        <v>106</v>
      </c>
      <c r="F25" s="56" t="s">
        <v>152</v>
      </c>
      <c r="G25" s="26">
        <v>6</v>
      </c>
      <c r="H25" s="24">
        <v>2</v>
      </c>
      <c r="I25" s="24">
        <v>2</v>
      </c>
      <c r="J25" s="24">
        <v>2</v>
      </c>
      <c r="K25" s="46">
        <v>2</v>
      </c>
      <c r="L25" s="46">
        <v>2255.39</v>
      </c>
      <c r="M25" s="46">
        <v>2255.39</v>
      </c>
      <c r="N25" s="47">
        <f t="shared" si="1"/>
        <v>0</v>
      </c>
      <c r="O25" s="48">
        <v>15</v>
      </c>
      <c r="P25" s="46">
        <v>15</v>
      </c>
      <c r="Q25" s="46">
        <v>8</v>
      </c>
      <c r="R25" s="46">
        <v>14484.31</v>
      </c>
      <c r="S25" s="46">
        <v>14484.31</v>
      </c>
      <c r="T25" s="47">
        <f t="shared" si="2"/>
        <v>0</v>
      </c>
    </row>
    <row r="26" spans="1:20" ht="15.75" x14ac:dyDescent="0.25">
      <c r="A26" s="3">
        <f t="shared" si="3"/>
        <v>17</v>
      </c>
      <c r="B26" s="10" t="s">
        <v>33</v>
      </c>
      <c r="C26" s="15" t="s">
        <v>124</v>
      </c>
      <c r="D26" s="2"/>
      <c r="E26" s="17" t="s">
        <v>106</v>
      </c>
      <c r="F26" s="56" t="s">
        <v>153</v>
      </c>
      <c r="G26" s="26">
        <v>7</v>
      </c>
      <c r="H26" s="24"/>
      <c r="I26" s="24"/>
      <c r="J26" s="24"/>
      <c r="K26" s="46"/>
      <c r="L26" s="46"/>
      <c r="M26" s="46"/>
      <c r="N26" s="47">
        <f t="shared" si="1"/>
        <v>0</v>
      </c>
      <c r="O26" s="48"/>
      <c r="P26" s="46"/>
      <c r="Q26" s="46"/>
      <c r="R26" s="46"/>
      <c r="S26" s="46"/>
      <c r="T26" s="47">
        <f t="shared" si="2"/>
        <v>0</v>
      </c>
    </row>
    <row r="27" spans="1:20" ht="15.75" x14ac:dyDescent="0.25">
      <c r="A27" s="3">
        <f t="shared" si="3"/>
        <v>18</v>
      </c>
      <c r="B27" s="10" t="s">
        <v>34</v>
      </c>
      <c r="C27" s="15" t="s">
        <v>124</v>
      </c>
      <c r="D27" s="2"/>
      <c r="E27" s="17" t="s">
        <v>113</v>
      </c>
      <c r="F27" s="56" t="s">
        <v>154</v>
      </c>
      <c r="G27" s="26">
        <v>8</v>
      </c>
      <c r="H27" s="24">
        <v>4</v>
      </c>
      <c r="I27" s="24">
        <v>7</v>
      </c>
      <c r="J27" s="24">
        <v>2</v>
      </c>
      <c r="K27" s="46"/>
      <c r="L27" s="46"/>
      <c r="M27" s="46"/>
      <c r="N27" s="47">
        <f t="shared" si="1"/>
        <v>0</v>
      </c>
      <c r="O27" s="48">
        <v>11</v>
      </c>
      <c r="P27" s="46">
        <v>10</v>
      </c>
      <c r="Q27" s="46">
        <v>4</v>
      </c>
      <c r="R27" s="46">
        <v>3370.97</v>
      </c>
      <c r="S27" s="46">
        <v>3370.97</v>
      </c>
      <c r="T27" s="47">
        <f t="shared" si="2"/>
        <v>0</v>
      </c>
    </row>
    <row r="28" spans="1:20" ht="15.75" x14ac:dyDescent="0.25">
      <c r="A28" s="3">
        <f t="shared" si="3"/>
        <v>19</v>
      </c>
      <c r="B28" s="10" t="s">
        <v>35</v>
      </c>
      <c r="C28" s="15" t="s">
        <v>124</v>
      </c>
      <c r="D28" s="2"/>
      <c r="E28" s="17" t="s">
        <v>105</v>
      </c>
      <c r="F28" s="56" t="s">
        <v>228</v>
      </c>
      <c r="G28" s="26"/>
      <c r="H28" s="24"/>
      <c r="I28" s="24"/>
      <c r="J28" s="24"/>
      <c r="K28" s="46"/>
      <c r="L28" s="46"/>
      <c r="M28" s="46"/>
      <c r="N28" s="47">
        <f t="shared" si="1"/>
        <v>0</v>
      </c>
      <c r="O28" s="48"/>
      <c r="P28" s="46"/>
      <c r="Q28" s="46"/>
      <c r="R28" s="46"/>
      <c r="S28" s="46"/>
      <c r="T28" s="47">
        <f t="shared" si="2"/>
        <v>0</v>
      </c>
    </row>
    <row r="29" spans="1:20" ht="15.75" x14ac:dyDescent="0.25">
      <c r="A29" s="3">
        <f t="shared" si="3"/>
        <v>20</v>
      </c>
      <c r="B29" s="12" t="s">
        <v>36</v>
      </c>
      <c r="C29" s="15" t="s">
        <v>124</v>
      </c>
      <c r="D29" s="2"/>
      <c r="E29" s="19" t="s">
        <v>114</v>
      </c>
      <c r="F29" s="56" t="s">
        <v>155</v>
      </c>
      <c r="G29" s="26">
        <v>7</v>
      </c>
      <c r="H29" s="24">
        <v>4</v>
      </c>
      <c r="I29" s="24">
        <v>4</v>
      </c>
      <c r="J29" s="24">
        <v>4</v>
      </c>
      <c r="K29" s="46">
        <v>1</v>
      </c>
      <c r="L29" s="46">
        <v>358.28</v>
      </c>
      <c r="M29" s="46">
        <v>358.28</v>
      </c>
      <c r="N29" s="47">
        <f t="shared" si="1"/>
        <v>0</v>
      </c>
      <c r="O29" s="48">
        <v>11</v>
      </c>
      <c r="P29" s="46">
        <v>9</v>
      </c>
      <c r="Q29" s="46">
        <v>9</v>
      </c>
      <c r="R29" s="46">
        <v>15185.09</v>
      </c>
      <c r="S29" s="46">
        <v>15185.09</v>
      </c>
      <c r="T29" s="47">
        <f t="shared" si="2"/>
        <v>0</v>
      </c>
    </row>
    <row r="30" spans="1:20" ht="15.75" x14ac:dyDescent="0.25">
      <c r="A30" s="3">
        <f t="shared" si="3"/>
        <v>21</v>
      </c>
      <c r="B30" s="11" t="s">
        <v>37</v>
      </c>
      <c r="C30" s="15" t="s">
        <v>124</v>
      </c>
      <c r="D30" s="2"/>
      <c r="E30" s="17" t="s">
        <v>108</v>
      </c>
      <c r="F30" s="56" t="s">
        <v>156</v>
      </c>
      <c r="G30" s="26">
        <v>8</v>
      </c>
      <c r="H30" s="24"/>
      <c r="I30" s="24"/>
      <c r="J30" s="24"/>
      <c r="K30" s="46"/>
      <c r="L30" s="46"/>
      <c r="M30" s="46"/>
      <c r="N30" s="47">
        <f t="shared" si="1"/>
        <v>0</v>
      </c>
      <c r="O30" s="48">
        <v>13</v>
      </c>
      <c r="P30" s="46">
        <v>7</v>
      </c>
      <c r="Q30" s="46">
        <v>5</v>
      </c>
      <c r="R30" s="46">
        <v>5755.74</v>
      </c>
      <c r="S30" s="46">
        <v>5755.74</v>
      </c>
      <c r="T30" s="47">
        <f t="shared" si="2"/>
        <v>0</v>
      </c>
    </row>
    <row r="31" spans="1:20" ht="15.75" x14ac:dyDescent="0.25">
      <c r="A31" s="3">
        <f t="shared" si="3"/>
        <v>22</v>
      </c>
      <c r="B31" s="11" t="s">
        <v>38</v>
      </c>
      <c r="C31" s="15" t="s">
        <v>124</v>
      </c>
      <c r="D31" s="2"/>
      <c r="E31" s="17" t="s">
        <v>106</v>
      </c>
      <c r="F31" s="56" t="s">
        <v>157</v>
      </c>
      <c r="G31" s="26">
        <v>4</v>
      </c>
      <c r="H31" s="24"/>
      <c r="I31" s="24"/>
      <c r="J31" s="24"/>
      <c r="K31" s="46"/>
      <c r="L31" s="46"/>
      <c r="M31" s="46"/>
      <c r="N31" s="47">
        <f t="shared" si="1"/>
        <v>0</v>
      </c>
      <c r="O31" s="48">
        <v>1</v>
      </c>
      <c r="P31" s="46">
        <v>1</v>
      </c>
      <c r="Q31" s="46">
        <v>1</v>
      </c>
      <c r="R31" s="46">
        <v>442.37</v>
      </c>
      <c r="S31" s="46">
        <v>442.37</v>
      </c>
      <c r="T31" s="47">
        <f t="shared" si="2"/>
        <v>0</v>
      </c>
    </row>
    <row r="32" spans="1:20" ht="15.75" x14ac:dyDescent="0.25">
      <c r="A32" s="3">
        <f t="shared" si="3"/>
        <v>23</v>
      </c>
      <c r="B32" s="10" t="s">
        <v>39</v>
      </c>
      <c r="C32" s="15" t="s">
        <v>124</v>
      </c>
      <c r="D32" s="2"/>
      <c r="E32" s="10" t="s">
        <v>105</v>
      </c>
      <c r="F32" s="56" t="s">
        <v>220</v>
      </c>
      <c r="G32" s="26"/>
      <c r="H32" s="24"/>
      <c r="I32" s="24"/>
      <c r="J32" s="24"/>
      <c r="K32" s="46"/>
      <c r="L32" s="46"/>
      <c r="M32" s="46"/>
      <c r="N32" s="47">
        <f t="shared" si="1"/>
        <v>0</v>
      </c>
      <c r="O32" s="48"/>
      <c r="P32" s="46"/>
      <c r="Q32" s="46"/>
      <c r="R32" s="46"/>
      <c r="S32" s="46"/>
      <c r="T32" s="47">
        <f t="shared" si="2"/>
        <v>0</v>
      </c>
    </row>
    <row r="33" spans="1:20" ht="15.75" x14ac:dyDescent="0.25">
      <c r="A33" s="3">
        <f t="shared" si="3"/>
        <v>24</v>
      </c>
      <c r="B33" s="10" t="s">
        <v>137</v>
      </c>
      <c r="C33" s="15" t="s">
        <v>124</v>
      </c>
      <c r="D33" s="2"/>
      <c r="E33" s="17" t="s">
        <v>106</v>
      </c>
      <c r="F33" s="56" t="s">
        <v>158</v>
      </c>
      <c r="G33" s="26">
        <v>4</v>
      </c>
      <c r="H33" s="24"/>
      <c r="I33" s="24"/>
      <c r="J33" s="24"/>
      <c r="K33" s="46"/>
      <c r="L33" s="46"/>
      <c r="M33" s="46"/>
      <c r="N33" s="47">
        <f t="shared" si="1"/>
        <v>0</v>
      </c>
      <c r="O33" s="48"/>
      <c r="P33" s="46"/>
      <c r="Q33" s="46"/>
      <c r="R33" s="46"/>
      <c r="S33" s="46"/>
      <c r="T33" s="47">
        <f t="shared" si="2"/>
        <v>0</v>
      </c>
    </row>
    <row r="34" spans="1:20" ht="15.75" x14ac:dyDescent="0.25">
      <c r="A34" s="3">
        <f t="shared" si="3"/>
        <v>25</v>
      </c>
      <c r="B34" s="12" t="s">
        <v>40</v>
      </c>
      <c r="C34" s="15" t="s">
        <v>124</v>
      </c>
      <c r="D34" s="2"/>
      <c r="E34" s="19" t="s">
        <v>115</v>
      </c>
      <c r="F34" s="56" t="s">
        <v>159</v>
      </c>
      <c r="G34" s="26">
        <v>5</v>
      </c>
      <c r="H34" s="24">
        <v>2</v>
      </c>
      <c r="I34" s="24">
        <v>3</v>
      </c>
      <c r="J34" s="24">
        <v>3</v>
      </c>
      <c r="K34" s="46">
        <v>3</v>
      </c>
      <c r="L34" s="46">
        <v>1580.26</v>
      </c>
      <c r="M34" s="46">
        <v>1580.26</v>
      </c>
      <c r="N34" s="47">
        <f t="shared" si="1"/>
        <v>0</v>
      </c>
      <c r="O34" s="48">
        <v>2</v>
      </c>
      <c r="P34" s="46">
        <v>2</v>
      </c>
      <c r="Q34" s="46">
        <v>2</v>
      </c>
      <c r="R34" s="46">
        <v>872.59</v>
      </c>
      <c r="S34" s="46">
        <v>872.59</v>
      </c>
      <c r="T34" s="47">
        <f t="shared" si="2"/>
        <v>0</v>
      </c>
    </row>
    <row r="35" spans="1:20" ht="15.75" x14ac:dyDescent="0.25">
      <c r="A35" s="3">
        <f t="shared" si="3"/>
        <v>26</v>
      </c>
      <c r="B35" s="11" t="s">
        <v>41</v>
      </c>
      <c r="C35" s="15" t="s">
        <v>124</v>
      </c>
      <c r="D35" s="2"/>
      <c r="E35" s="17" t="s">
        <v>106</v>
      </c>
      <c r="F35" s="56" t="s">
        <v>160</v>
      </c>
      <c r="G35" s="26">
        <v>4</v>
      </c>
      <c r="H35" s="24">
        <v>1</v>
      </c>
      <c r="I35" s="24">
        <v>1</v>
      </c>
      <c r="J35" s="24">
        <v>1</v>
      </c>
      <c r="K35" s="46"/>
      <c r="L35" s="46"/>
      <c r="M35" s="46"/>
      <c r="N35" s="47">
        <f t="shared" si="1"/>
        <v>0</v>
      </c>
      <c r="O35" s="48">
        <v>4</v>
      </c>
      <c r="P35" s="46">
        <v>4</v>
      </c>
      <c r="Q35" s="46"/>
      <c r="R35" s="46"/>
      <c r="S35" s="46"/>
      <c r="T35" s="47">
        <f t="shared" si="2"/>
        <v>0</v>
      </c>
    </row>
    <row r="36" spans="1:20" ht="15.75" x14ac:dyDescent="0.25">
      <c r="A36" s="3">
        <f t="shared" si="3"/>
        <v>27</v>
      </c>
      <c r="B36" s="13" t="s">
        <v>42</v>
      </c>
      <c r="C36" s="15" t="s">
        <v>124</v>
      </c>
      <c r="D36" s="2"/>
      <c r="E36" s="17" t="s">
        <v>106</v>
      </c>
      <c r="F36" s="56" t="s">
        <v>221</v>
      </c>
      <c r="G36" s="26">
        <v>1</v>
      </c>
      <c r="H36" s="24"/>
      <c r="I36" s="24"/>
      <c r="J36" s="24"/>
      <c r="K36" s="46"/>
      <c r="L36" s="46"/>
      <c r="M36" s="46"/>
      <c r="N36" s="47">
        <f t="shared" si="1"/>
        <v>0</v>
      </c>
      <c r="O36" s="48">
        <v>4</v>
      </c>
      <c r="P36" s="46">
        <v>4</v>
      </c>
      <c r="Q36" s="46">
        <v>3</v>
      </c>
      <c r="R36" s="46">
        <v>1436.08</v>
      </c>
      <c r="S36" s="46">
        <v>1436.08</v>
      </c>
      <c r="T36" s="47">
        <f t="shared" si="2"/>
        <v>0</v>
      </c>
    </row>
    <row r="37" spans="1:20" ht="15.75" x14ac:dyDescent="0.25">
      <c r="A37" s="3">
        <f t="shared" si="3"/>
        <v>28</v>
      </c>
      <c r="B37" s="13" t="s">
        <v>43</v>
      </c>
      <c r="C37" s="15" t="s">
        <v>124</v>
      </c>
      <c r="D37" s="2"/>
      <c r="E37" s="17" t="s">
        <v>106</v>
      </c>
      <c r="F37" s="56" t="s">
        <v>161</v>
      </c>
      <c r="G37" s="26">
        <v>5</v>
      </c>
      <c r="H37" s="24">
        <v>2</v>
      </c>
      <c r="I37" s="24">
        <v>2</v>
      </c>
      <c r="J37" s="24">
        <v>1</v>
      </c>
      <c r="K37" s="46"/>
      <c r="L37" s="46"/>
      <c r="M37" s="46"/>
      <c r="N37" s="47">
        <f t="shared" si="1"/>
        <v>0</v>
      </c>
      <c r="O37" s="48">
        <v>1</v>
      </c>
      <c r="P37" s="46">
        <v>1</v>
      </c>
      <c r="Q37" s="46">
        <v>1</v>
      </c>
      <c r="R37" s="46">
        <v>552.96</v>
      </c>
      <c r="S37" s="46"/>
      <c r="T37" s="47">
        <f t="shared" si="2"/>
        <v>552.96</v>
      </c>
    </row>
    <row r="38" spans="1:20" ht="15.75" x14ac:dyDescent="0.25">
      <c r="A38" s="3">
        <f t="shared" si="3"/>
        <v>29</v>
      </c>
      <c r="B38" s="11" t="s">
        <v>44</v>
      </c>
      <c r="C38" s="15" t="s">
        <v>124</v>
      </c>
      <c r="D38" s="2"/>
      <c r="E38" s="17" t="s">
        <v>105</v>
      </c>
      <c r="F38" s="56" t="s">
        <v>162</v>
      </c>
      <c r="G38" s="26">
        <v>14</v>
      </c>
      <c r="H38" s="24">
        <v>2</v>
      </c>
      <c r="I38" s="24">
        <v>4</v>
      </c>
      <c r="J38" s="24">
        <v>4</v>
      </c>
      <c r="K38" s="46"/>
      <c r="L38" s="46"/>
      <c r="M38" s="46"/>
      <c r="N38" s="47">
        <f t="shared" si="1"/>
        <v>0</v>
      </c>
      <c r="O38" s="48">
        <v>15</v>
      </c>
      <c r="P38" s="46">
        <v>15</v>
      </c>
      <c r="Q38" s="46">
        <v>10</v>
      </c>
      <c r="R38" s="46">
        <v>10217.4</v>
      </c>
      <c r="S38" s="46">
        <v>10217.4</v>
      </c>
      <c r="T38" s="47">
        <f t="shared" si="2"/>
        <v>0</v>
      </c>
    </row>
    <row r="39" spans="1:20" ht="15.75" x14ac:dyDescent="0.25">
      <c r="A39" s="3">
        <f t="shared" si="3"/>
        <v>30</v>
      </c>
      <c r="B39" s="11" t="s">
        <v>45</v>
      </c>
      <c r="C39" s="15" t="s">
        <v>124</v>
      </c>
      <c r="D39" s="2"/>
      <c r="E39" s="17" t="s">
        <v>111</v>
      </c>
      <c r="F39" s="56" t="s">
        <v>163</v>
      </c>
      <c r="G39" s="26">
        <v>5</v>
      </c>
      <c r="H39" s="24">
        <v>2</v>
      </c>
      <c r="I39" s="24">
        <v>2</v>
      </c>
      <c r="J39" s="24"/>
      <c r="K39" s="46"/>
      <c r="L39" s="46"/>
      <c r="M39" s="46"/>
      <c r="N39" s="47">
        <f t="shared" si="1"/>
        <v>0</v>
      </c>
      <c r="O39" s="48"/>
      <c r="P39" s="46"/>
      <c r="Q39" s="46"/>
      <c r="R39" s="46"/>
      <c r="S39" s="46"/>
      <c r="T39" s="47">
        <f t="shared" si="2"/>
        <v>0</v>
      </c>
    </row>
    <row r="40" spans="1:20" ht="15.75" x14ac:dyDescent="0.25">
      <c r="A40" s="3">
        <f>A39+1</f>
        <v>31</v>
      </c>
      <c r="B40" s="10" t="s">
        <v>46</v>
      </c>
      <c r="C40" s="15" t="s">
        <v>124</v>
      </c>
      <c r="D40" s="2"/>
      <c r="E40" s="17" t="s">
        <v>106</v>
      </c>
      <c r="F40" s="56" t="s">
        <v>164</v>
      </c>
      <c r="G40" s="26">
        <v>4</v>
      </c>
      <c r="H40" s="24">
        <v>1</v>
      </c>
      <c r="I40" s="24">
        <v>1</v>
      </c>
      <c r="J40" s="24">
        <v>1</v>
      </c>
      <c r="K40" s="46"/>
      <c r="L40" s="46"/>
      <c r="M40" s="46"/>
      <c r="N40" s="47">
        <f t="shared" si="1"/>
        <v>0</v>
      </c>
      <c r="O40" s="48">
        <v>2</v>
      </c>
      <c r="P40" s="46">
        <v>2</v>
      </c>
      <c r="Q40" s="46">
        <v>2</v>
      </c>
      <c r="R40" s="46">
        <v>3996.7</v>
      </c>
      <c r="S40" s="46">
        <v>3996.7</v>
      </c>
      <c r="T40" s="47">
        <f t="shared" si="2"/>
        <v>0</v>
      </c>
    </row>
    <row r="41" spans="1:20" ht="15.75" x14ac:dyDescent="0.25">
      <c r="A41" s="3">
        <f t="shared" si="3"/>
        <v>32</v>
      </c>
      <c r="B41" s="10" t="s">
        <v>47</v>
      </c>
      <c r="C41" s="15" t="s">
        <v>124</v>
      </c>
      <c r="D41" s="2"/>
      <c r="E41" s="17" t="s">
        <v>116</v>
      </c>
      <c r="F41" s="56" t="s">
        <v>165</v>
      </c>
      <c r="G41" s="26">
        <v>5</v>
      </c>
      <c r="H41" s="24">
        <v>1</v>
      </c>
      <c r="I41" s="24">
        <v>1</v>
      </c>
      <c r="J41" s="24">
        <v>1</v>
      </c>
      <c r="K41" s="46">
        <v>1</v>
      </c>
      <c r="L41" s="46">
        <v>1322.88</v>
      </c>
      <c r="M41" s="46">
        <v>1322.88</v>
      </c>
      <c r="N41" s="47">
        <f t="shared" si="1"/>
        <v>0</v>
      </c>
      <c r="O41" s="48">
        <v>2</v>
      </c>
      <c r="P41" s="46">
        <v>2</v>
      </c>
      <c r="Q41" s="46"/>
      <c r="R41" s="46"/>
      <c r="S41" s="46"/>
      <c r="T41" s="47">
        <f t="shared" si="2"/>
        <v>0</v>
      </c>
    </row>
    <row r="42" spans="1:20" ht="15.75" customHeight="1" x14ac:dyDescent="0.25">
      <c r="A42" s="3">
        <f t="shared" si="3"/>
        <v>33</v>
      </c>
      <c r="B42" s="13" t="s">
        <v>48</v>
      </c>
      <c r="C42" s="15" t="s">
        <v>124</v>
      </c>
      <c r="D42" s="2"/>
      <c r="E42" s="17" t="s">
        <v>106</v>
      </c>
      <c r="F42" s="56" t="s">
        <v>166</v>
      </c>
      <c r="G42" s="26">
        <v>3</v>
      </c>
      <c r="H42" s="24"/>
      <c r="I42" s="24"/>
      <c r="J42" s="24"/>
      <c r="K42" s="46"/>
      <c r="L42" s="46"/>
      <c r="M42" s="46"/>
      <c r="N42" s="47">
        <f t="shared" si="1"/>
        <v>0</v>
      </c>
      <c r="O42" s="48">
        <v>3</v>
      </c>
      <c r="P42" s="46">
        <v>2</v>
      </c>
      <c r="Q42" s="46">
        <v>1</v>
      </c>
      <c r="R42" s="46">
        <v>1733.58</v>
      </c>
      <c r="S42" s="46">
        <v>1733.58</v>
      </c>
      <c r="T42" s="47">
        <f t="shared" si="2"/>
        <v>0</v>
      </c>
    </row>
    <row r="43" spans="1:20" ht="15.75" x14ac:dyDescent="0.25">
      <c r="A43" s="3">
        <f t="shared" si="3"/>
        <v>34</v>
      </c>
      <c r="B43" s="10" t="s">
        <v>49</v>
      </c>
      <c r="C43" s="15" t="s">
        <v>124</v>
      </c>
      <c r="D43" s="2"/>
      <c r="E43" s="17" t="s">
        <v>106</v>
      </c>
      <c r="F43" s="56" t="s">
        <v>167</v>
      </c>
      <c r="G43" s="26">
        <v>3</v>
      </c>
      <c r="H43" s="24"/>
      <c r="I43" s="24"/>
      <c r="J43" s="24"/>
      <c r="K43" s="46"/>
      <c r="L43" s="46"/>
      <c r="M43" s="46"/>
      <c r="N43" s="47">
        <f t="shared" si="1"/>
        <v>0</v>
      </c>
      <c r="O43" s="48">
        <v>3</v>
      </c>
      <c r="P43" s="46">
        <v>3</v>
      </c>
      <c r="Q43" s="46">
        <v>3</v>
      </c>
      <c r="R43" s="46">
        <v>3956.6</v>
      </c>
      <c r="S43" s="46"/>
      <c r="T43" s="47">
        <f t="shared" si="2"/>
        <v>3956.6</v>
      </c>
    </row>
    <row r="44" spans="1:20" ht="15.75" x14ac:dyDescent="0.25">
      <c r="A44" s="3">
        <f t="shared" si="3"/>
        <v>35</v>
      </c>
      <c r="B44" s="13" t="s">
        <v>50</v>
      </c>
      <c r="C44" s="15" t="s">
        <v>124</v>
      </c>
      <c r="D44" s="2"/>
      <c r="E44" s="17" t="s">
        <v>106</v>
      </c>
      <c r="F44" s="56" t="s">
        <v>168</v>
      </c>
      <c r="G44" s="26">
        <v>3</v>
      </c>
      <c r="H44" s="24">
        <v>2</v>
      </c>
      <c r="I44" s="24">
        <v>2</v>
      </c>
      <c r="J44" s="24">
        <v>2</v>
      </c>
      <c r="K44" s="46"/>
      <c r="L44" s="46"/>
      <c r="M44" s="46"/>
      <c r="N44" s="47">
        <f t="shared" si="1"/>
        <v>0</v>
      </c>
      <c r="O44" s="48">
        <v>3</v>
      </c>
      <c r="P44" s="46">
        <v>3</v>
      </c>
      <c r="Q44" s="46"/>
      <c r="R44" s="46"/>
      <c r="S44" s="46"/>
      <c r="T44" s="47">
        <f t="shared" si="2"/>
        <v>0</v>
      </c>
    </row>
    <row r="45" spans="1:20" ht="15.75" x14ac:dyDescent="0.25">
      <c r="A45" s="3">
        <f t="shared" si="3"/>
        <v>36</v>
      </c>
      <c r="B45" s="11" t="s">
        <v>51</v>
      </c>
      <c r="C45" s="15" t="s">
        <v>124</v>
      </c>
      <c r="D45" s="2"/>
      <c r="E45" s="22" t="s">
        <v>112</v>
      </c>
      <c r="F45" s="56"/>
      <c r="G45" s="26"/>
      <c r="H45" s="24"/>
      <c r="I45" s="24"/>
      <c r="J45" s="24"/>
      <c r="K45" s="46"/>
      <c r="L45" s="46"/>
      <c r="M45" s="46"/>
      <c r="N45" s="47">
        <f t="shared" si="1"/>
        <v>0</v>
      </c>
      <c r="O45" s="48"/>
      <c r="P45" s="46"/>
      <c r="Q45" s="46"/>
      <c r="R45" s="46"/>
      <c r="S45" s="46"/>
      <c r="T45" s="47">
        <f t="shared" si="2"/>
        <v>0</v>
      </c>
    </row>
    <row r="46" spans="1:20" ht="15.75" x14ac:dyDescent="0.25">
      <c r="A46" s="3">
        <f t="shared" si="3"/>
        <v>37</v>
      </c>
      <c r="B46" s="11" t="s">
        <v>131</v>
      </c>
      <c r="C46" s="15" t="s">
        <v>124</v>
      </c>
      <c r="D46" s="2"/>
      <c r="E46" s="22" t="s">
        <v>106</v>
      </c>
      <c r="F46" s="56" t="s">
        <v>222</v>
      </c>
      <c r="G46" s="26">
        <v>1</v>
      </c>
      <c r="H46" s="24"/>
      <c r="I46" s="24"/>
      <c r="J46" s="24"/>
      <c r="K46" s="46"/>
      <c r="L46" s="46"/>
      <c r="M46" s="46"/>
      <c r="N46" s="47">
        <f t="shared" si="1"/>
        <v>0</v>
      </c>
      <c r="O46" s="48">
        <v>1</v>
      </c>
      <c r="P46" s="46">
        <v>1</v>
      </c>
      <c r="Q46" s="46">
        <v>1</v>
      </c>
      <c r="R46" s="49">
        <v>11787.49</v>
      </c>
      <c r="S46" s="49">
        <v>11787.49</v>
      </c>
      <c r="T46" s="47">
        <f t="shared" si="2"/>
        <v>0</v>
      </c>
    </row>
    <row r="47" spans="1:20" ht="19.5" customHeight="1" x14ac:dyDescent="0.25">
      <c r="A47" s="3">
        <f t="shared" si="3"/>
        <v>38</v>
      </c>
      <c r="B47" s="13" t="s">
        <v>52</v>
      </c>
      <c r="C47" s="15" t="s">
        <v>124</v>
      </c>
      <c r="D47" s="2"/>
      <c r="E47" s="17" t="s">
        <v>106</v>
      </c>
      <c r="F47" s="56" t="s">
        <v>169</v>
      </c>
      <c r="G47" s="26">
        <v>7</v>
      </c>
      <c r="H47" s="24">
        <v>2</v>
      </c>
      <c r="I47" s="24">
        <v>3</v>
      </c>
      <c r="J47" s="24">
        <v>3</v>
      </c>
      <c r="K47" s="46">
        <v>2</v>
      </c>
      <c r="L47" s="46">
        <v>2335.59</v>
      </c>
      <c r="M47" s="46">
        <v>2335.59</v>
      </c>
      <c r="N47" s="47">
        <f t="shared" si="1"/>
        <v>0</v>
      </c>
      <c r="O47" s="48">
        <v>1</v>
      </c>
      <c r="P47" s="46">
        <v>1</v>
      </c>
      <c r="Q47" s="46"/>
      <c r="R47" s="46"/>
      <c r="S47" s="46"/>
      <c r="T47" s="47">
        <f t="shared" si="2"/>
        <v>0</v>
      </c>
    </row>
    <row r="48" spans="1:20" ht="15.75" x14ac:dyDescent="0.25">
      <c r="A48" s="3">
        <f t="shared" si="3"/>
        <v>39</v>
      </c>
      <c r="B48" s="10" t="s">
        <v>53</v>
      </c>
      <c r="C48" s="15" t="s">
        <v>124</v>
      </c>
      <c r="D48" s="2"/>
      <c r="E48" s="17" t="s">
        <v>105</v>
      </c>
      <c r="F48" s="56" t="s">
        <v>171</v>
      </c>
      <c r="G48" s="26">
        <v>6</v>
      </c>
      <c r="H48" s="24">
        <v>1</v>
      </c>
      <c r="I48" s="24">
        <v>1</v>
      </c>
      <c r="J48" s="24"/>
      <c r="K48" s="46"/>
      <c r="L48" s="46"/>
      <c r="M48" s="46"/>
      <c r="N48" s="47">
        <f t="shared" si="1"/>
        <v>0</v>
      </c>
      <c r="O48" s="48">
        <v>2</v>
      </c>
      <c r="P48" s="46">
        <v>1</v>
      </c>
      <c r="Q48" s="46"/>
      <c r="R48" s="46"/>
      <c r="S48" s="46"/>
      <c r="T48" s="47">
        <f t="shared" si="2"/>
        <v>0</v>
      </c>
    </row>
    <row r="49" spans="1:20" ht="15.75" x14ac:dyDescent="0.25">
      <c r="A49" s="3">
        <f t="shared" si="3"/>
        <v>40</v>
      </c>
      <c r="B49" s="10" t="s">
        <v>54</v>
      </c>
      <c r="C49" s="15" t="s">
        <v>124</v>
      </c>
      <c r="D49" s="2"/>
      <c r="E49" s="17" t="s">
        <v>106</v>
      </c>
      <c r="F49" s="56" t="s">
        <v>172</v>
      </c>
      <c r="G49" s="26">
        <v>4</v>
      </c>
      <c r="H49" s="24"/>
      <c r="I49" s="24"/>
      <c r="J49" s="24"/>
      <c r="K49" s="46"/>
      <c r="L49" s="46"/>
      <c r="M49" s="46"/>
      <c r="N49" s="47">
        <f t="shared" si="1"/>
        <v>0</v>
      </c>
      <c r="O49" s="48">
        <v>4</v>
      </c>
      <c r="P49" s="46">
        <v>3</v>
      </c>
      <c r="Q49" s="46"/>
      <c r="R49" s="46"/>
      <c r="S49" s="46"/>
      <c r="T49" s="47">
        <f t="shared" si="2"/>
        <v>0</v>
      </c>
    </row>
    <row r="50" spans="1:20" ht="15.75" x14ac:dyDescent="0.25">
      <c r="A50" s="3">
        <f t="shared" si="3"/>
        <v>41</v>
      </c>
      <c r="B50" s="10" t="s">
        <v>55</v>
      </c>
      <c r="C50" s="15" t="s">
        <v>124</v>
      </c>
      <c r="D50" s="2"/>
      <c r="E50" s="17" t="s">
        <v>106</v>
      </c>
      <c r="F50" s="56" t="s">
        <v>173</v>
      </c>
      <c r="G50" s="26">
        <v>7</v>
      </c>
      <c r="H50" s="24">
        <v>3</v>
      </c>
      <c r="I50" s="24">
        <v>3</v>
      </c>
      <c r="J50" s="24">
        <v>3</v>
      </c>
      <c r="K50" s="46"/>
      <c r="L50" s="46"/>
      <c r="M50" s="46"/>
      <c r="N50" s="47">
        <f t="shared" si="1"/>
        <v>0</v>
      </c>
      <c r="O50" s="48">
        <v>6</v>
      </c>
      <c r="P50" s="46">
        <v>4</v>
      </c>
      <c r="Q50" s="46">
        <v>4</v>
      </c>
      <c r="R50" s="46">
        <v>2457.2800000000002</v>
      </c>
      <c r="S50" s="46"/>
      <c r="T50" s="47">
        <f t="shared" si="2"/>
        <v>2457.2800000000002</v>
      </c>
    </row>
    <row r="51" spans="1:20" ht="15.75" x14ac:dyDescent="0.25">
      <c r="A51" s="3">
        <f t="shared" si="3"/>
        <v>42</v>
      </c>
      <c r="B51" s="10" t="s">
        <v>56</v>
      </c>
      <c r="C51" s="15" t="s">
        <v>124</v>
      </c>
      <c r="D51" s="2"/>
      <c r="E51" s="17" t="s">
        <v>106</v>
      </c>
      <c r="F51" s="56" t="s">
        <v>174</v>
      </c>
      <c r="G51" s="26">
        <v>5</v>
      </c>
      <c r="H51" s="24">
        <v>2</v>
      </c>
      <c r="I51" s="24">
        <v>2</v>
      </c>
      <c r="J51" s="24">
        <v>2</v>
      </c>
      <c r="K51" s="46">
        <v>2</v>
      </c>
      <c r="L51" s="46">
        <v>1032.67</v>
      </c>
      <c r="M51" s="46"/>
      <c r="N51" s="47">
        <f t="shared" si="1"/>
        <v>1032.67</v>
      </c>
      <c r="O51" s="48">
        <v>1</v>
      </c>
      <c r="P51" s="46">
        <v>1</v>
      </c>
      <c r="Q51" s="46">
        <v>1</v>
      </c>
      <c r="R51" s="46">
        <v>728.15</v>
      </c>
      <c r="S51" s="46"/>
      <c r="T51" s="47">
        <f t="shared" si="2"/>
        <v>728.15</v>
      </c>
    </row>
    <row r="52" spans="1:20" ht="15.75" x14ac:dyDescent="0.25">
      <c r="A52" s="3">
        <f t="shared" si="3"/>
        <v>43</v>
      </c>
      <c r="B52" s="13" t="s">
        <v>57</v>
      </c>
      <c r="C52" s="15" t="s">
        <v>124</v>
      </c>
      <c r="D52" s="2"/>
      <c r="E52" s="17" t="s">
        <v>106</v>
      </c>
      <c r="F52" s="56" t="s">
        <v>175</v>
      </c>
      <c r="G52" s="26">
        <v>4</v>
      </c>
      <c r="H52" s="24">
        <v>2</v>
      </c>
      <c r="I52" s="24">
        <v>2</v>
      </c>
      <c r="J52" s="24">
        <v>2</v>
      </c>
      <c r="K52" s="46">
        <v>1</v>
      </c>
      <c r="L52" s="46">
        <v>341.06</v>
      </c>
      <c r="M52" s="46"/>
      <c r="N52" s="47">
        <f t="shared" si="1"/>
        <v>341.06</v>
      </c>
      <c r="O52" s="48">
        <v>3</v>
      </c>
      <c r="P52" s="46">
        <v>3</v>
      </c>
      <c r="Q52" s="46">
        <v>1</v>
      </c>
      <c r="R52" s="46">
        <v>530.53</v>
      </c>
      <c r="S52" s="46"/>
      <c r="T52" s="47">
        <f t="shared" si="2"/>
        <v>530.53</v>
      </c>
    </row>
    <row r="53" spans="1:20" ht="15.75" x14ac:dyDescent="0.25">
      <c r="A53" s="3">
        <f t="shared" si="3"/>
        <v>44</v>
      </c>
      <c r="B53" s="13" t="s">
        <v>58</v>
      </c>
      <c r="C53" s="15" t="s">
        <v>124</v>
      </c>
      <c r="D53" s="2"/>
      <c r="E53" s="17" t="s">
        <v>106</v>
      </c>
      <c r="F53" s="56" t="s">
        <v>229</v>
      </c>
      <c r="G53" s="26"/>
      <c r="H53" s="24"/>
      <c r="I53" s="24"/>
      <c r="J53" s="24"/>
      <c r="K53" s="46"/>
      <c r="L53" s="46"/>
      <c r="M53" s="46"/>
      <c r="N53" s="47">
        <f t="shared" si="1"/>
        <v>0</v>
      </c>
      <c r="O53" s="48">
        <v>2</v>
      </c>
      <c r="P53" s="46">
        <v>2</v>
      </c>
      <c r="Q53" s="46"/>
      <c r="R53" s="46"/>
      <c r="S53" s="46"/>
      <c r="T53" s="47">
        <f t="shared" si="2"/>
        <v>0</v>
      </c>
    </row>
    <row r="54" spans="1:20" ht="15.75" x14ac:dyDescent="0.25">
      <c r="A54" s="3">
        <f t="shared" si="3"/>
        <v>45</v>
      </c>
      <c r="B54" s="13" t="s">
        <v>59</v>
      </c>
      <c r="C54" s="15" t="s">
        <v>124</v>
      </c>
      <c r="D54" s="2"/>
      <c r="E54" s="17" t="s">
        <v>112</v>
      </c>
      <c r="F54" s="56" t="s">
        <v>176</v>
      </c>
      <c r="G54" s="26">
        <v>14</v>
      </c>
      <c r="H54" s="24">
        <v>2</v>
      </c>
      <c r="I54" s="24">
        <v>2</v>
      </c>
      <c r="J54" s="24">
        <v>2</v>
      </c>
      <c r="K54" s="46"/>
      <c r="L54" s="46"/>
      <c r="M54" s="46"/>
      <c r="N54" s="47">
        <f t="shared" si="1"/>
        <v>0</v>
      </c>
      <c r="O54" s="48">
        <v>15</v>
      </c>
      <c r="P54" s="46">
        <v>15</v>
      </c>
      <c r="Q54" s="46">
        <v>7</v>
      </c>
      <c r="R54" s="46">
        <v>3046.1</v>
      </c>
      <c r="S54" s="46">
        <v>2632.7</v>
      </c>
      <c r="T54" s="47">
        <f t="shared" si="2"/>
        <v>413.40000000000009</v>
      </c>
    </row>
    <row r="55" spans="1:20" ht="15.75" x14ac:dyDescent="0.25">
      <c r="A55" s="3">
        <f t="shared" si="3"/>
        <v>46</v>
      </c>
      <c r="B55" s="13" t="s">
        <v>60</v>
      </c>
      <c r="C55" s="15" t="s">
        <v>125</v>
      </c>
      <c r="D55" s="38" t="s">
        <v>126</v>
      </c>
      <c r="E55" s="17" t="s">
        <v>106</v>
      </c>
      <c r="F55" s="56" t="s">
        <v>177</v>
      </c>
      <c r="G55" s="26">
        <v>1</v>
      </c>
      <c r="H55" s="24"/>
      <c r="I55" s="24"/>
      <c r="J55" s="24"/>
      <c r="K55" s="46"/>
      <c r="L55" s="46"/>
      <c r="M55" s="46"/>
      <c r="N55" s="47">
        <f t="shared" si="1"/>
        <v>0</v>
      </c>
      <c r="O55" s="48">
        <v>2</v>
      </c>
      <c r="P55" s="46">
        <v>2</v>
      </c>
      <c r="Q55" s="46"/>
      <c r="R55" s="46"/>
      <c r="S55" s="46"/>
      <c r="T55" s="47">
        <f t="shared" si="2"/>
        <v>0</v>
      </c>
    </row>
    <row r="56" spans="1:20" ht="15.75" x14ac:dyDescent="0.25">
      <c r="A56" s="3">
        <f t="shared" si="3"/>
        <v>47</v>
      </c>
      <c r="B56" s="11" t="s">
        <v>61</v>
      </c>
      <c r="C56" s="15" t="s">
        <v>124</v>
      </c>
      <c r="D56" s="2"/>
      <c r="E56" s="17" t="s">
        <v>107</v>
      </c>
      <c r="F56" s="56" t="s">
        <v>178</v>
      </c>
      <c r="G56" s="26">
        <v>12</v>
      </c>
      <c r="H56" s="24">
        <v>5</v>
      </c>
      <c r="I56" s="24">
        <v>6</v>
      </c>
      <c r="J56" s="24">
        <v>1</v>
      </c>
      <c r="K56" s="46">
        <v>1</v>
      </c>
      <c r="L56" s="46">
        <v>272.83999999999997</v>
      </c>
      <c r="M56" s="46">
        <v>272.83999999999997</v>
      </c>
      <c r="N56" s="47">
        <f t="shared" si="1"/>
        <v>0</v>
      </c>
      <c r="O56" s="48">
        <v>16</v>
      </c>
      <c r="P56" s="46">
        <v>15</v>
      </c>
      <c r="Q56" s="46">
        <v>6</v>
      </c>
      <c r="R56" s="46">
        <v>14478.7</v>
      </c>
      <c r="S56" s="46">
        <v>14478.7</v>
      </c>
      <c r="T56" s="47">
        <f t="shared" si="2"/>
        <v>0</v>
      </c>
    </row>
    <row r="57" spans="1:20" ht="15.75" x14ac:dyDescent="0.25">
      <c r="A57" s="3">
        <f t="shared" si="3"/>
        <v>48</v>
      </c>
      <c r="B57" s="11" t="s">
        <v>134</v>
      </c>
      <c r="C57" s="15" t="s">
        <v>124</v>
      </c>
      <c r="D57" s="2"/>
      <c r="E57" s="17" t="s">
        <v>112</v>
      </c>
      <c r="F57" s="56" t="s">
        <v>179</v>
      </c>
      <c r="G57" s="26">
        <v>2</v>
      </c>
      <c r="H57" s="24"/>
      <c r="I57" s="24"/>
      <c r="J57" s="24"/>
      <c r="K57" s="46"/>
      <c r="L57" s="46"/>
      <c r="M57" s="46"/>
      <c r="N57" s="47">
        <f t="shared" si="1"/>
        <v>0</v>
      </c>
      <c r="O57" s="48"/>
      <c r="P57" s="46"/>
      <c r="Q57" s="46"/>
      <c r="R57" s="46"/>
      <c r="S57" s="46"/>
      <c r="T57" s="47">
        <f t="shared" si="2"/>
        <v>0</v>
      </c>
    </row>
    <row r="58" spans="1:20" ht="15.75" x14ac:dyDescent="0.25">
      <c r="A58" s="3">
        <f t="shared" si="3"/>
        <v>49</v>
      </c>
      <c r="B58" s="11" t="s">
        <v>62</v>
      </c>
      <c r="C58" s="15" t="s">
        <v>124</v>
      </c>
      <c r="D58" s="2"/>
      <c r="E58" s="17" t="s">
        <v>106</v>
      </c>
      <c r="F58" s="56" t="s">
        <v>230</v>
      </c>
      <c r="G58" s="26"/>
      <c r="H58" s="24"/>
      <c r="I58" s="24"/>
      <c r="J58" s="24"/>
      <c r="K58" s="46"/>
      <c r="L58" s="46"/>
      <c r="M58" s="46"/>
      <c r="N58" s="47">
        <f t="shared" si="1"/>
        <v>0</v>
      </c>
      <c r="O58" s="48"/>
      <c r="P58" s="46"/>
      <c r="Q58" s="46"/>
      <c r="R58" s="46"/>
      <c r="S58" s="46"/>
      <c r="T58" s="47">
        <f t="shared" si="2"/>
        <v>0</v>
      </c>
    </row>
    <row r="59" spans="1:20" ht="15.75" x14ac:dyDescent="0.25">
      <c r="A59" s="3">
        <f t="shared" si="3"/>
        <v>50</v>
      </c>
      <c r="B59" s="11" t="s">
        <v>63</v>
      </c>
      <c r="C59" s="15" t="s">
        <v>124</v>
      </c>
      <c r="D59" s="2"/>
      <c r="E59" s="22" t="s">
        <v>112</v>
      </c>
      <c r="F59" s="56" t="s">
        <v>224</v>
      </c>
      <c r="G59" s="26"/>
      <c r="H59" s="24"/>
      <c r="I59" s="24"/>
      <c r="J59" s="24"/>
      <c r="K59" s="46"/>
      <c r="L59" s="46"/>
      <c r="M59" s="46"/>
      <c r="N59" s="47">
        <f t="shared" si="1"/>
        <v>0</v>
      </c>
      <c r="O59" s="48"/>
      <c r="P59" s="46"/>
      <c r="Q59" s="46"/>
      <c r="R59" s="46"/>
      <c r="S59" s="46"/>
      <c r="T59" s="47">
        <f t="shared" si="2"/>
        <v>0</v>
      </c>
    </row>
    <row r="60" spans="1:20" ht="15.75" x14ac:dyDescent="0.25">
      <c r="A60" s="3">
        <f t="shared" si="3"/>
        <v>51</v>
      </c>
      <c r="B60" s="11" t="s">
        <v>64</v>
      </c>
      <c r="C60" s="15" t="s">
        <v>124</v>
      </c>
      <c r="D60" s="2"/>
      <c r="E60" s="22" t="s">
        <v>107</v>
      </c>
      <c r="F60" s="56" t="s">
        <v>180</v>
      </c>
      <c r="G60" s="26">
        <v>17</v>
      </c>
      <c r="H60" s="24">
        <v>3</v>
      </c>
      <c r="I60" s="24">
        <v>3</v>
      </c>
      <c r="J60" s="24">
        <v>1</v>
      </c>
      <c r="K60" s="46"/>
      <c r="L60" s="46"/>
      <c r="M60" s="46"/>
      <c r="N60" s="47">
        <f t="shared" si="1"/>
        <v>0</v>
      </c>
      <c r="O60" s="48">
        <v>5</v>
      </c>
      <c r="P60" s="46">
        <v>5</v>
      </c>
      <c r="Q60" s="46"/>
      <c r="R60" s="46"/>
      <c r="S60" s="46"/>
      <c r="T60" s="47">
        <f t="shared" si="2"/>
        <v>0</v>
      </c>
    </row>
    <row r="61" spans="1:20" ht="15.75" x14ac:dyDescent="0.25">
      <c r="A61" s="3">
        <f t="shared" si="3"/>
        <v>52</v>
      </c>
      <c r="B61" s="11" t="s">
        <v>135</v>
      </c>
      <c r="C61" s="15" t="s">
        <v>124</v>
      </c>
      <c r="D61" s="2"/>
      <c r="E61" s="22" t="s">
        <v>136</v>
      </c>
      <c r="F61" s="56" t="s">
        <v>181</v>
      </c>
      <c r="G61" s="26">
        <v>1</v>
      </c>
      <c r="H61" s="24"/>
      <c r="I61" s="24"/>
      <c r="J61" s="24"/>
      <c r="K61" s="46"/>
      <c r="L61" s="46"/>
      <c r="M61" s="46"/>
      <c r="N61" s="47">
        <f t="shared" si="1"/>
        <v>0</v>
      </c>
      <c r="O61" s="48"/>
      <c r="P61" s="46"/>
      <c r="Q61" s="46"/>
      <c r="R61" s="46"/>
      <c r="S61" s="46"/>
      <c r="T61" s="47">
        <f t="shared" si="2"/>
        <v>0</v>
      </c>
    </row>
    <row r="62" spans="1:20" ht="18.75" customHeight="1" x14ac:dyDescent="0.25">
      <c r="A62" s="3">
        <f t="shared" si="3"/>
        <v>53</v>
      </c>
      <c r="B62" s="13" t="s">
        <v>65</v>
      </c>
      <c r="C62" s="15" t="s">
        <v>124</v>
      </c>
      <c r="D62" s="2"/>
      <c r="E62" s="17" t="s">
        <v>106</v>
      </c>
      <c r="F62" s="56" t="s">
        <v>182</v>
      </c>
      <c r="G62" s="26">
        <v>4</v>
      </c>
      <c r="H62" s="24">
        <v>1</v>
      </c>
      <c r="I62" s="24">
        <v>1</v>
      </c>
      <c r="J62" s="24">
        <v>1</v>
      </c>
      <c r="K62" s="46"/>
      <c r="L62" s="46"/>
      <c r="M62" s="46"/>
      <c r="N62" s="47">
        <f t="shared" si="1"/>
        <v>0</v>
      </c>
      <c r="O62" s="48">
        <v>2</v>
      </c>
      <c r="P62" s="46">
        <v>2</v>
      </c>
      <c r="Q62" s="46"/>
      <c r="R62" s="46"/>
      <c r="S62" s="46"/>
      <c r="T62" s="47">
        <f t="shared" si="2"/>
        <v>0</v>
      </c>
    </row>
    <row r="63" spans="1:20" ht="15.75" x14ac:dyDescent="0.25">
      <c r="A63" s="3">
        <f t="shared" si="3"/>
        <v>54</v>
      </c>
      <c r="B63" s="13" t="s">
        <v>66</v>
      </c>
      <c r="C63" s="15" t="s">
        <v>124</v>
      </c>
      <c r="D63" s="2"/>
      <c r="E63" s="17" t="s">
        <v>112</v>
      </c>
      <c r="F63" s="56" t="s">
        <v>227</v>
      </c>
      <c r="G63" s="26"/>
      <c r="H63" s="24"/>
      <c r="I63" s="24"/>
      <c r="J63" s="24"/>
      <c r="K63" s="46"/>
      <c r="L63" s="46"/>
      <c r="M63" s="46"/>
      <c r="N63" s="47">
        <f t="shared" si="1"/>
        <v>0</v>
      </c>
      <c r="O63" s="48">
        <v>8</v>
      </c>
      <c r="P63" s="46">
        <v>8</v>
      </c>
      <c r="Q63" s="46">
        <v>8</v>
      </c>
      <c r="R63" s="46">
        <v>3232.69</v>
      </c>
      <c r="S63" s="46">
        <v>3232.69</v>
      </c>
      <c r="T63" s="47">
        <f t="shared" si="2"/>
        <v>0</v>
      </c>
    </row>
    <row r="64" spans="1:20" ht="15.75" x14ac:dyDescent="0.25">
      <c r="A64" s="3">
        <f t="shared" si="3"/>
        <v>55</v>
      </c>
      <c r="B64" s="10" t="s">
        <v>67</v>
      </c>
      <c r="C64" s="15" t="s">
        <v>124</v>
      </c>
      <c r="D64" s="2"/>
      <c r="E64" s="17" t="s">
        <v>106</v>
      </c>
      <c r="F64" s="56" t="s">
        <v>183</v>
      </c>
      <c r="G64" s="26">
        <v>6</v>
      </c>
      <c r="H64" s="24">
        <v>3</v>
      </c>
      <c r="I64" s="24">
        <v>4</v>
      </c>
      <c r="J64" s="24">
        <v>4</v>
      </c>
      <c r="K64" s="46"/>
      <c r="L64" s="46"/>
      <c r="M64" s="46"/>
      <c r="N64" s="47">
        <f t="shared" si="1"/>
        <v>0</v>
      </c>
      <c r="O64" s="48">
        <v>6</v>
      </c>
      <c r="P64" s="46">
        <v>6</v>
      </c>
      <c r="Q64" s="46"/>
      <c r="R64" s="46"/>
      <c r="S64" s="46"/>
      <c r="T64" s="47">
        <f t="shared" si="2"/>
        <v>0</v>
      </c>
    </row>
    <row r="65" spans="1:20" ht="15.75" x14ac:dyDescent="0.25">
      <c r="A65" s="3">
        <f t="shared" si="3"/>
        <v>56</v>
      </c>
      <c r="B65" s="10" t="s">
        <v>68</v>
      </c>
      <c r="C65" s="15" t="s">
        <v>124</v>
      </c>
      <c r="D65" s="2"/>
      <c r="E65" s="17" t="s">
        <v>111</v>
      </c>
      <c r="F65" s="56" t="s">
        <v>184</v>
      </c>
      <c r="G65" s="26">
        <v>9</v>
      </c>
      <c r="H65" s="24">
        <v>4</v>
      </c>
      <c r="I65" s="24">
        <v>4</v>
      </c>
      <c r="J65" s="24">
        <v>1</v>
      </c>
      <c r="K65" s="46"/>
      <c r="L65" s="46"/>
      <c r="M65" s="46"/>
      <c r="N65" s="47">
        <f t="shared" si="1"/>
        <v>0</v>
      </c>
      <c r="O65" s="48">
        <v>7</v>
      </c>
      <c r="P65" s="46">
        <v>6</v>
      </c>
      <c r="Q65" s="46">
        <v>4</v>
      </c>
      <c r="R65" s="46">
        <v>3302.91</v>
      </c>
      <c r="S65" s="46"/>
      <c r="T65" s="47">
        <f t="shared" si="2"/>
        <v>3302.91</v>
      </c>
    </row>
    <row r="66" spans="1:20" ht="15.75" x14ac:dyDescent="0.25">
      <c r="A66" s="3">
        <f t="shared" si="3"/>
        <v>57</v>
      </c>
      <c r="B66" s="13" t="s">
        <v>69</v>
      </c>
      <c r="C66" s="15" t="s">
        <v>124</v>
      </c>
      <c r="D66" s="2"/>
      <c r="E66" s="17" t="s">
        <v>106</v>
      </c>
      <c r="F66" s="56" t="s">
        <v>185</v>
      </c>
      <c r="G66" s="26">
        <v>2</v>
      </c>
      <c r="H66" s="24">
        <v>1</v>
      </c>
      <c r="I66" s="24">
        <v>1</v>
      </c>
      <c r="J66" s="24">
        <v>1</v>
      </c>
      <c r="K66" s="46"/>
      <c r="L66" s="46"/>
      <c r="M66" s="46"/>
      <c r="N66" s="47">
        <f t="shared" si="1"/>
        <v>0</v>
      </c>
      <c r="O66" s="48">
        <v>4</v>
      </c>
      <c r="P66" s="46">
        <v>4</v>
      </c>
      <c r="Q66" s="46">
        <v>3</v>
      </c>
      <c r="R66" s="46">
        <v>2317.17</v>
      </c>
      <c r="S66" s="46"/>
      <c r="T66" s="47">
        <f t="shared" si="2"/>
        <v>2317.17</v>
      </c>
    </row>
    <row r="67" spans="1:20" ht="15.75" x14ac:dyDescent="0.25">
      <c r="A67" s="3">
        <f t="shared" si="3"/>
        <v>58</v>
      </c>
      <c r="B67" s="11" t="s">
        <v>70</v>
      </c>
      <c r="C67" s="15" t="s">
        <v>124</v>
      </c>
      <c r="D67" s="2"/>
      <c r="E67" s="17" t="s">
        <v>107</v>
      </c>
      <c r="F67" s="56" t="s">
        <v>186</v>
      </c>
      <c r="G67" s="26">
        <v>13</v>
      </c>
      <c r="H67" s="24">
        <v>9</v>
      </c>
      <c r="I67" s="24">
        <v>11</v>
      </c>
      <c r="J67" s="24">
        <v>6</v>
      </c>
      <c r="K67" s="46">
        <v>2</v>
      </c>
      <c r="L67" s="46">
        <v>1327.02</v>
      </c>
      <c r="M67" s="46">
        <v>1327.02</v>
      </c>
      <c r="N67" s="47">
        <f t="shared" si="1"/>
        <v>0</v>
      </c>
      <c r="O67" s="48">
        <v>5</v>
      </c>
      <c r="P67" s="46">
        <v>3</v>
      </c>
      <c r="Q67" s="46">
        <v>3</v>
      </c>
      <c r="R67" s="46">
        <v>1207.07</v>
      </c>
      <c r="S67" s="46">
        <v>1207.07</v>
      </c>
      <c r="T67" s="47">
        <f t="shared" si="2"/>
        <v>0</v>
      </c>
    </row>
    <row r="68" spans="1:20" ht="15.75" x14ac:dyDescent="0.25">
      <c r="A68" s="3">
        <f t="shared" si="3"/>
        <v>59</v>
      </c>
      <c r="B68" s="11" t="s">
        <v>71</v>
      </c>
      <c r="C68" s="15" t="s">
        <v>124</v>
      </c>
      <c r="D68" s="2"/>
      <c r="E68" s="17" t="s">
        <v>117</v>
      </c>
      <c r="F68" s="56" t="s">
        <v>187</v>
      </c>
      <c r="G68" s="26">
        <v>13</v>
      </c>
      <c r="H68" s="24">
        <v>3</v>
      </c>
      <c r="I68" s="24">
        <v>4</v>
      </c>
      <c r="J68" s="24">
        <v>4</v>
      </c>
      <c r="K68" s="46">
        <v>1</v>
      </c>
      <c r="L68" s="46">
        <v>992.16</v>
      </c>
      <c r="M68" s="46">
        <v>992.16</v>
      </c>
      <c r="N68" s="47">
        <f t="shared" si="1"/>
        <v>0</v>
      </c>
      <c r="O68" s="48">
        <v>7</v>
      </c>
      <c r="P68" s="46">
        <v>7</v>
      </c>
      <c r="Q68" s="46">
        <v>6</v>
      </c>
      <c r="R68" s="46">
        <v>2992.76</v>
      </c>
      <c r="S68" s="46">
        <v>2992.76</v>
      </c>
      <c r="T68" s="47">
        <f t="shared" si="2"/>
        <v>0</v>
      </c>
    </row>
    <row r="69" spans="1:20" ht="15.75" x14ac:dyDescent="0.25">
      <c r="A69" s="3">
        <f t="shared" si="3"/>
        <v>60</v>
      </c>
      <c r="B69" s="11" t="s">
        <v>72</v>
      </c>
      <c r="C69" s="15" t="s">
        <v>125</v>
      </c>
      <c r="D69" s="38" t="s">
        <v>126</v>
      </c>
      <c r="E69" s="17" t="s">
        <v>106</v>
      </c>
      <c r="F69" s="56" t="s">
        <v>188</v>
      </c>
      <c r="G69" s="26">
        <v>1</v>
      </c>
      <c r="H69" s="24"/>
      <c r="I69" s="24"/>
      <c r="J69" s="24"/>
      <c r="K69" s="46"/>
      <c r="L69" s="46"/>
      <c r="M69" s="46"/>
      <c r="N69" s="47">
        <f t="shared" si="1"/>
        <v>0</v>
      </c>
      <c r="O69" s="48"/>
      <c r="P69" s="46"/>
      <c r="Q69" s="46"/>
      <c r="R69" s="46"/>
      <c r="S69" s="46"/>
      <c r="T69" s="47">
        <f t="shared" si="2"/>
        <v>0</v>
      </c>
    </row>
    <row r="70" spans="1:20" ht="15.75" x14ac:dyDescent="0.25">
      <c r="A70" s="3">
        <f t="shared" si="3"/>
        <v>61</v>
      </c>
      <c r="B70" s="10" t="s">
        <v>73</v>
      </c>
      <c r="C70" s="15" t="s">
        <v>124</v>
      </c>
      <c r="D70" s="2"/>
      <c r="E70" s="17" t="s">
        <v>106</v>
      </c>
      <c r="F70" s="56" t="s">
        <v>189</v>
      </c>
      <c r="G70" s="26">
        <v>3</v>
      </c>
      <c r="H70" s="24"/>
      <c r="I70" s="24"/>
      <c r="J70" s="24"/>
      <c r="K70" s="46"/>
      <c r="L70" s="46"/>
      <c r="M70" s="46"/>
      <c r="N70" s="47">
        <f t="shared" si="1"/>
        <v>0</v>
      </c>
      <c r="O70" s="48"/>
      <c r="P70" s="46"/>
      <c r="Q70" s="46"/>
      <c r="R70" s="46"/>
      <c r="S70" s="46"/>
      <c r="T70" s="47">
        <f t="shared" si="2"/>
        <v>0</v>
      </c>
    </row>
    <row r="71" spans="1:20" ht="15.75" x14ac:dyDescent="0.25">
      <c r="A71" s="3">
        <f t="shared" si="3"/>
        <v>62</v>
      </c>
      <c r="B71" s="11" t="s">
        <v>74</v>
      </c>
      <c r="C71" s="15" t="s">
        <v>124</v>
      </c>
      <c r="D71" s="2"/>
      <c r="E71" s="17" t="s">
        <v>111</v>
      </c>
      <c r="F71" s="56" t="s">
        <v>190</v>
      </c>
      <c r="G71" s="26">
        <v>4</v>
      </c>
      <c r="H71" s="24">
        <v>2</v>
      </c>
      <c r="I71" s="24">
        <v>2</v>
      </c>
      <c r="J71" s="24">
        <v>2</v>
      </c>
      <c r="K71" s="46"/>
      <c r="L71" s="46"/>
      <c r="M71" s="46"/>
      <c r="N71" s="47">
        <f t="shared" si="1"/>
        <v>0</v>
      </c>
      <c r="O71" s="48">
        <v>16</v>
      </c>
      <c r="P71" s="46">
        <v>12</v>
      </c>
      <c r="Q71" s="46"/>
      <c r="R71" s="46"/>
      <c r="S71" s="46"/>
      <c r="T71" s="47">
        <f t="shared" si="2"/>
        <v>0</v>
      </c>
    </row>
    <row r="72" spans="1:20" ht="15.75" x14ac:dyDescent="0.25">
      <c r="A72" s="3">
        <f t="shared" si="3"/>
        <v>63</v>
      </c>
      <c r="B72" s="11" t="s">
        <v>75</v>
      </c>
      <c r="C72" s="15" t="s">
        <v>124</v>
      </c>
      <c r="D72" s="2"/>
      <c r="E72" s="17" t="s">
        <v>118</v>
      </c>
      <c r="F72" s="56" t="s">
        <v>191</v>
      </c>
      <c r="G72" s="26">
        <v>3</v>
      </c>
      <c r="H72" s="24">
        <v>1</v>
      </c>
      <c r="I72" s="24">
        <v>1</v>
      </c>
      <c r="J72" s="24">
        <v>1</v>
      </c>
      <c r="K72" s="46"/>
      <c r="L72" s="46"/>
      <c r="M72" s="46"/>
      <c r="N72" s="47">
        <f t="shared" si="1"/>
        <v>0</v>
      </c>
      <c r="O72" s="48">
        <v>4</v>
      </c>
      <c r="P72" s="46">
        <v>4</v>
      </c>
      <c r="Q72" s="46">
        <v>3</v>
      </c>
      <c r="R72" s="46">
        <v>3128.76</v>
      </c>
      <c r="S72" s="46"/>
      <c r="T72" s="47">
        <f t="shared" si="2"/>
        <v>3128.76</v>
      </c>
    </row>
    <row r="73" spans="1:20" ht="15.75" x14ac:dyDescent="0.25">
      <c r="A73" s="3">
        <f t="shared" si="3"/>
        <v>64</v>
      </c>
      <c r="B73" s="10" t="s">
        <v>76</v>
      </c>
      <c r="C73" s="15" t="s">
        <v>124</v>
      </c>
      <c r="D73" s="2"/>
      <c r="E73" s="10" t="s">
        <v>105</v>
      </c>
      <c r="F73" s="56" t="s">
        <v>192</v>
      </c>
      <c r="G73" s="26">
        <v>4</v>
      </c>
      <c r="H73" s="24"/>
      <c r="I73" s="24"/>
      <c r="J73" s="24"/>
      <c r="K73" s="46"/>
      <c r="L73" s="46"/>
      <c r="M73" s="46"/>
      <c r="N73" s="47">
        <f t="shared" si="1"/>
        <v>0</v>
      </c>
      <c r="O73" s="48">
        <v>3</v>
      </c>
      <c r="P73" s="46">
        <v>2</v>
      </c>
      <c r="Q73" s="46">
        <v>2</v>
      </c>
      <c r="R73" s="46">
        <v>851.64</v>
      </c>
      <c r="S73" s="46"/>
      <c r="T73" s="47">
        <f t="shared" si="2"/>
        <v>851.64</v>
      </c>
    </row>
    <row r="74" spans="1:20" ht="15.75" x14ac:dyDescent="0.25">
      <c r="A74" s="3">
        <f t="shared" si="3"/>
        <v>65</v>
      </c>
      <c r="B74" s="11" t="s">
        <v>77</v>
      </c>
      <c r="C74" s="15" t="s">
        <v>124</v>
      </c>
      <c r="D74" s="2"/>
      <c r="E74" s="10" t="s">
        <v>111</v>
      </c>
      <c r="F74" s="56" t="s">
        <v>225</v>
      </c>
      <c r="G74" s="26"/>
      <c r="H74" s="24"/>
      <c r="I74" s="24"/>
      <c r="J74" s="24"/>
      <c r="K74" s="46"/>
      <c r="L74" s="46"/>
      <c r="M74" s="46"/>
      <c r="N74" s="47">
        <f t="shared" si="1"/>
        <v>0</v>
      </c>
      <c r="O74" s="48">
        <v>1</v>
      </c>
      <c r="P74" s="46">
        <v>1</v>
      </c>
      <c r="Q74" s="46">
        <v>1</v>
      </c>
      <c r="R74" s="46">
        <v>3278.32</v>
      </c>
      <c r="S74" s="46">
        <v>3278.32</v>
      </c>
      <c r="T74" s="47">
        <f t="shared" si="2"/>
        <v>0</v>
      </c>
    </row>
    <row r="75" spans="1:20" ht="15.75" x14ac:dyDescent="0.25">
      <c r="A75" s="3">
        <f t="shared" si="3"/>
        <v>66</v>
      </c>
      <c r="B75" s="10" t="s">
        <v>78</v>
      </c>
      <c r="C75" s="15" t="s">
        <v>124</v>
      </c>
      <c r="D75" s="2"/>
      <c r="E75" s="23" t="s">
        <v>119</v>
      </c>
      <c r="F75" s="56" t="s">
        <v>193</v>
      </c>
      <c r="G75" s="26">
        <v>2</v>
      </c>
      <c r="H75" s="24"/>
      <c r="I75" s="24"/>
      <c r="J75" s="24"/>
      <c r="K75" s="46"/>
      <c r="L75" s="46"/>
      <c r="M75" s="46"/>
      <c r="N75" s="47">
        <f t="shared" ref="N75:N102" si="4" xml:space="preserve"> (L75-M75)</f>
        <v>0</v>
      </c>
      <c r="O75" s="48">
        <v>2</v>
      </c>
      <c r="P75" s="46">
        <v>2</v>
      </c>
      <c r="Q75" s="46"/>
      <c r="R75" s="46"/>
      <c r="S75" s="46"/>
      <c r="T75" s="47">
        <f t="shared" ref="T75:T102" si="5" xml:space="preserve"> (R75-S75)</f>
        <v>0</v>
      </c>
    </row>
    <row r="76" spans="1:20" ht="15.75" x14ac:dyDescent="0.25">
      <c r="A76" s="3">
        <f t="shared" ref="A76:A102" si="6">A75+1</f>
        <v>67</v>
      </c>
      <c r="B76" s="11" t="s">
        <v>79</v>
      </c>
      <c r="C76" s="15" t="s">
        <v>124</v>
      </c>
      <c r="D76" s="2"/>
      <c r="E76" s="17" t="s">
        <v>106</v>
      </c>
      <c r="F76" s="56" t="s">
        <v>194</v>
      </c>
      <c r="G76" s="26">
        <v>7</v>
      </c>
      <c r="H76" s="24">
        <v>2</v>
      </c>
      <c r="I76" s="24">
        <v>2</v>
      </c>
      <c r="J76" s="24">
        <v>1</v>
      </c>
      <c r="K76" s="46">
        <v>1</v>
      </c>
      <c r="L76" s="46">
        <v>522.80999999999995</v>
      </c>
      <c r="M76" s="46"/>
      <c r="N76" s="47">
        <f t="shared" si="4"/>
        <v>522.80999999999995</v>
      </c>
      <c r="O76" s="48">
        <v>3</v>
      </c>
      <c r="P76" s="46">
        <v>3</v>
      </c>
      <c r="Q76" s="46">
        <v>1</v>
      </c>
      <c r="R76" s="46">
        <v>373.84</v>
      </c>
      <c r="S76" s="46"/>
      <c r="T76" s="47">
        <f t="shared" si="5"/>
        <v>373.84</v>
      </c>
    </row>
    <row r="77" spans="1:20" ht="15.75" x14ac:dyDescent="0.25">
      <c r="A77" s="3">
        <f t="shared" si="6"/>
        <v>68</v>
      </c>
      <c r="B77" s="11" t="s">
        <v>80</v>
      </c>
      <c r="C77" s="15" t="s">
        <v>124</v>
      </c>
      <c r="D77" s="2"/>
      <c r="E77" s="17" t="s">
        <v>106</v>
      </c>
      <c r="F77" s="56" t="s">
        <v>195</v>
      </c>
      <c r="G77" s="26">
        <v>2</v>
      </c>
      <c r="H77" s="24"/>
      <c r="I77" s="24"/>
      <c r="J77" s="24"/>
      <c r="K77" s="46"/>
      <c r="L77" s="46"/>
      <c r="M77" s="46"/>
      <c r="N77" s="47">
        <f t="shared" si="4"/>
        <v>0</v>
      </c>
      <c r="O77" s="48"/>
      <c r="P77" s="46"/>
      <c r="Q77" s="46"/>
      <c r="R77" s="46"/>
      <c r="S77" s="46"/>
      <c r="T77" s="47">
        <f t="shared" si="5"/>
        <v>0</v>
      </c>
    </row>
    <row r="78" spans="1:20" ht="16.5" customHeight="1" x14ac:dyDescent="0.25">
      <c r="A78" s="3">
        <f t="shared" si="6"/>
        <v>69</v>
      </c>
      <c r="B78" s="14" t="s">
        <v>81</v>
      </c>
      <c r="C78" s="15" t="s">
        <v>124</v>
      </c>
      <c r="D78" s="2"/>
      <c r="E78" s="10" t="s">
        <v>106</v>
      </c>
      <c r="F78" s="56" t="s">
        <v>226</v>
      </c>
      <c r="G78" s="26"/>
      <c r="H78" s="24"/>
      <c r="I78" s="24"/>
      <c r="J78" s="24"/>
      <c r="K78" s="46"/>
      <c r="L78" s="46"/>
      <c r="M78" s="46"/>
      <c r="N78" s="47">
        <f t="shared" si="4"/>
        <v>0</v>
      </c>
      <c r="O78" s="48">
        <v>8</v>
      </c>
      <c r="P78" s="46">
        <v>8</v>
      </c>
      <c r="Q78" s="46">
        <v>3</v>
      </c>
      <c r="R78" s="46">
        <v>852.2</v>
      </c>
      <c r="S78" s="46">
        <v>852.2</v>
      </c>
      <c r="T78" s="47">
        <f t="shared" si="5"/>
        <v>0</v>
      </c>
    </row>
    <row r="79" spans="1:20" ht="15.75" x14ac:dyDescent="0.25">
      <c r="A79" s="3">
        <f t="shared" si="6"/>
        <v>70</v>
      </c>
      <c r="B79" s="14" t="s">
        <v>82</v>
      </c>
      <c r="C79" s="15" t="s">
        <v>124</v>
      </c>
      <c r="D79" s="2"/>
      <c r="E79" s="10" t="s">
        <v>106</v>
      </c>
      <c r="F79" s="56" t="s">
        <v>196</v>
      </c>
      <c r="G79" s="26">
        <v>4</v>
      </c>
      <c r="H79" s="24">
        <v>1</v>
      </c>
      <c r="I79" s="24">
        <v>1</v>
      </c>
      <c r="J79" s="24">
        <v>1</v>
      </c>
      <c r="K79" s="46"/>
      <c r="L79" s="46"/>
      <c r="M79" s="46"/>
      <c r="N79" s="47">
        <f t="shared" si="4"/>
        <v>0</v>
      </c>
      <c r="O79" s="48">
        <v>1</v>
      </c>
      <c r="P79" s="46">
        <v>1</v>
      </c>
      <c r="Q79" s="46"/>
      <c r="R79" s="46"/>
      <c r="S79" s="46"/>
      <c r="T79" s="47">
        <f t="shared" si="5"/>
        <v>0</v>
      </c>
    </row>
    <row r="80" spans="1:20" ht="15.75" x14ac:dyDescent="0.25">
      <c r="A80" s="3">
        <f t="shared" si="6"/>
        <v>71</v>
      </c>
      <c r="B80" s="14" t="s">
        <v>83</v>
      </c>
      <c r="C80" s="15" t="s">
        <v>124</v>
      </c>
      <c r="D80" s="2"/>
      <c r="E80" s="10" t="s">
        <v>106</v>
      </c>
      <c r="F80" s="56" t="s">
        <v>197</v>
      </c>
      <c r="G80" s="26">
        <v>7</v>
      </c>
      <c r="H80" s="24">
        <v>1</v>
      </c>
      <c r="I80" s="24">
        <v>1</v>
      </c>
      <c r="J80" s="24">
        <v>1</v>
      </c>
      <c r="K80" s="46">
        <v>1</v>
      </c>
      <c r="L80" s="46">
        <v>531.74</v>
      </c>
      <c r="M80" s="46">
        <v>531.74</v>
      </c>
      <c r="N80" s="47">
        <f t="shared" si="4"/>
        <v>0</v>
      </c>
      <c r="O80" s="48">
        <v>5</v>
      </c>
      <c r="P80" s="46">
        <v>5</v>
      </c>
      <c r="Q80" s="46">
        <v>5</v>
      </c>
      <c r="R80" s="46">
        <v>12327.43</v>
      </c>
      <c r="S80" s="46">
        <v>12327.43</v>
      </c>
      <c r="T80" s="47">
        <f t="shared" si="5"/>
        <v>0</v>
      </c>
    </row>
    <row r="81" spans="1:20" ht="15.75" x14ac:dyDescent="0.25">
      <c r="A81" s="3">
        <f t="shared" si="6"/>
        <v>72</v>
      </c>
      <c r="B81" s="11" t="s">
        <v>84</v>
      </c>
      <c r="C81" s="15" t="s">
        <v>124</v>
      </c>
      <c r="D81" s="2"/>
      <c r="E81" s="10" t="s">
        <v>120</v>
      </c>
      <c r="F81" s="56" t="s">
        <v>198</v>
      </c>
      <c r="G81" s="26"/>
      <c r="H81" s="24"/>
      <c r="I81" s="24"/>
      <c r="J81" s="24"/>
      <c r="K81" s="46"/>
      <c r="L81" s="46"/>
      <c r="M81" s="46"/>
      <c r="N81" s="47">
        <f t="shared" si="4"/>
        <v>0</v>
      </c>
      <c r="O81" s="48"/>
      <c r="P81" s="46"/>
      <c r="Q81" s="46"/>
      <c r="R81" s="46"/>
      <c r="S81" s="46"/>
      <c r="T81" s="47">
        <f t="shared" si="5"/>
        <v>0</v>
      </c>
    </row>
    <row r="82" spans="1:20" ht="15.75" x14ac:dyDescent="0.25">
      <c r="A82" s="3">
        <f t="shared" si="6"/>
        <v>73</v>
      </c>
      <c r="B82" s="13" t="s">
        <v>85</v>
      </c>
      <c r="C82" s="15" t="s">
        <v>124</v>
      </c>
      <c r="D82" s="2"/>
      <c r="E82" s="19" t="s">
        <v>106</v>
      </c>
      <c r="F82" s="56" t="s">
        <v>199</v>
      </c>
      <c r="G82" s="26">
        <v>6</v>
      </c>
      <c r="H82" s="24">
        <v>2</v>
      </c>
      <c r="I82" s="24">
        <v>2</v>
      </c>
      <c r="J82" s="24">
        <v>2</v>
      </c>
      <c r="K82" s="46">
        <v>1</v>
      </c>
      <c r="L82" s="46">
        <v>654.54999999999995</v>
      </c>
      <c r="M82" s="46"/>
      <c r="N82" s="47">
        <f t="shared" si="4"/>
        <v>654.54999999999995</v>
      </c>
      <c r="O82" s="48">
        <v>5</v>
      </c>
      <c r="P82" s="46">
        <v>5</v>
      </c>
      <c r="Q82" s="46">
        <v>3</v>
      </c>
      <c r="R82" s="46">
        <v>5287.57</v>
      </c>
      <c r="S82" s="46"/>
      <c r="T82" s="47">
        <f t="shared" si="5"/>
        <v>5287.57</v>
      </c>
    </row>
    <row r="83" spans="1:20" ht="15.75" x14ac:dyDescent="0.25">
      <c r="A83" s="3">
        <f t="shared" si="6"/>
        <v>74</v>
      </c>
      <c r="B83" s="10" t="s">
        <v>86</v>
      </c>
      <c r="C83" s="15" t="s">
        <v>124</v>
      </c>
      <c r="D83" s="2"/>
      <c r="E83" s="22" t="s">
        <v>118</v>
      </c>
      <c r="F83" s="56" t="s">
        <v>200</v>
      </c>
      <c r="G83" s="26">
        <v>6</v>
      </c>
      <c r="H83" s="24"/>
      <c r="I83" s="24"/>
      <c r="J83" s="24"/>
      <c r="K83" s="46"/>
      <c r="L83" s="46"/>
      <c r="M83" s="46"/>
      <c r="N83" s="47">
        <f t="shared" si="4"/>
        <v>0</v>
      </c>
      <c r="O83" s="48"/>
      <c r="P83" s="46"/>
      <c r="Q83" s="46"/>
      <c r="R83" s="46"/>
      <c r="S83" s="46"/>
      <c r="T83" s="47">
        <f t="shared" si="5"/>
        <v>0</v>
      </c>
    </row>
    <row r="84" spans="1:20" ht="15.75" x14ac:dyDescent="0.25">
      <c r="A84" s="3">
        <f t="shared" si="6"/>
        <v>75</v>
      </c>
      <c r="B84" s="10" t="s">
        <v>87</v>
      </c>
      <c r="C84" s="15" t="s">
        <v>124</v>
      </c>
      <c r="D84" s="2"/>
      <c r="E84" s="22" t="s">
        <v>115</v>
      </c>
      <c r="F84" s="56" t="s">
        <v>201</v>
      </c>
      <c r="G84" s="26">
        <v>5</v>
      </c>
      <c r="H84" s="24">
        <v>1</v>
      </c>
      <c r="I84" s="24">
        <v>1</v>
      </c>
      <c r="J84" s="24">
        <v>1</v>
      </c>
      <c r="K84" s="46"/>
      <c r="L84" s="46"/>
      <c r="M84" s="46"/>
      <c r="N84" s="47">
        <f t="shared" si="4"/>
        <v>0</v>
      </c>
      <c r="O84" s="48">
        <v>1</v>
      </c>
      <c r="P84" s="46"/>
      <c r="Q84" s="46"/>
      <c r="R84" s="46"/>
      <c r="S84" s="46"/>
      <c r="T84" s="47">
        <f t="shared" si="5"/>
        <v>0</v>
      </c>
    </row>
    <row r="85" spans="1:20" ht="15.75" x14ac:dyDescent="0.25">
      <c r="A85" s="3">
        <f t="shared" si="6"/>
        <v>76</v>
      </c>
      <c r="B85" s="11" t="s">
        <v>88</v>
      </c>
      <c r="C85" s="15" t="s">
        <v>124</v>
      </c>
      <c r="D85" s="2"/>
      <c r="E85" s="17" t="s">
        <v>121</v>
      </c>
      <c r="F85" s="56" t="s">
        <v>203</v>
      </c>
      <c r="G85" s="26">
        <v>10</v>
      </c>
      <c r="H85" s="24">
        <v>4</v>
      </c>
      <c r="I85" s="24">
        <v>7</v>
      </c>
      <c r="J85" s="24">
        <v>7</v>
      </c>
      <c r="K85" s="46"/>
      <c r="L85" s="46"/>
      <c r="M85" s="46"/>
      <c r="N85" s="47">
        <f t="shared" si="4"/>
        <v>0</v>
      </c>
      <c r="O85" s="48">
        <v>5</v>
      </c>
      <c r="P85" s="46">
        <v>4</v>
      </c>
      <c r="Q85" s="46">
        <v>3</v>
      </c>
      <c r="R85" s="46">
        <v>2067.4699999999998</v>
      </c>
      <c r="S85" s="46"/>
      <c r="T85" s="47">
        <f t="shared" si="5"/>
        <v>2067.4699999999998</v>
      </c>
    </row>
    <row r="86" spans="1:20" ht="15.75" x14ac:dyDescent="0.25">
      <c r="A86" s="3">
        <f t="shared" si="6"/>
        <v>77</v>
      </c>
      <c r="B86" s="14" t="s">
        <v>89</v>
      </c>
      <c r="C86" s="15" t="s">
        <v>124</v>
      </c>
      <c r="D86" s="2"/>
      <c r="E86" s="19" t="s">
        <v>106</v>
      </c>
      <c r="F86" s="56" t="s">
        <v>202</v>
      </c>
      <c r="G86" s="26">
        <v>1</v>
      </c>
      <c r="H86" s="24"/>
      <c r="I86" s="24"/>
      <c r="J86" s="24"/>
      <c r="K86" s="46"/>
      <c r="L86" s="46"/>
      <c r="M86" s="46"/>
      <c r="N86" s="47">
        <f t="shared" si="4"/>
        <v>0</v>
      </c>
      <c r="O86" s="48">
        <v>2</v>
      </c>
      <c r="P86" s="46">
        <v>2</v>
      </c>
      <c r="Q86" s="46"/>
      <c r="R86" s="46"/>
      <c r="S86" s="46"/>
      <c r="T86" s="47">
        <f t="shared" si="5"/>
        <v>0</v>
      </c>
    </row>
    <row r="87" spans="1:20" ht="15.75" x14ac:dyDescent="0.25">
      <c r="A87" s="3">
        <f t="shared" si="6"/>
        <v>78</v>
      </c>
      <c r="B87" s="14" t="s">
        <v>90</v>
      </c>
      <c r="C87" s="15" t="s">
        <v>124</v>
      </c>
      <c r="D87" s="2"/>
      <c r="E87" s="19" t="s">
        <v>106</v>
      </c>
      <c r="F87" s="56" t="s">
        <v>204</v>
      </c>
      <c r="G87" s="26">
        <v>3</v>
      </c>
      <c r="H87" s="24">
        <v>1</v>
      </c>
      <c r="I87" s="24">
        <v>1</v>
      </c>
      <c r="J87" s="24">
        <v>1</v>
      </c>
      <c r="K87" s="46">
        <v>1</v>
      </c>
      <c r="L87" s="46">
        <v>250.11</v>
      </c>
      <c r="M87" s="46">
        <v>250.11</v>
      </c>
      <c r="N87" s="47">
        <f t="shared" si="4"/>
        <v>0</v>
      </c>
      <c r="O87" s="48">
        <v>2</v>
      </c>
      <c r="P87" s="46">
        <v>2</v>
      </c>
      <c r="Q87" s="46">
        <v>2</v>
      </c>
      <c r="R87" s="46">
        <v>2723.78</v>
      </c>
      <c r="S87" s="46">
        <v>2723.78</v>
      </c>
      <c r="T87" s="47">
        <f t="shared" si="5"/>
        <v>0</v>
      </c>
    </row>
    <row r="88" spans="1:20" ht="15.75" x14ac:dyDescent="0.25">
      <c r="A88" s="3">
        <f t="shared" si="6"/>
        <v>79</v>
      </c>
      <c r="B88" s="10" t="s">
        <v>91</v>
      </c>
      <c r="C88" s="15" t="s">
        <v>124</v>
      </c>
      <c r="D88" s="2"/>
      <c r="E88" s="17" t="s">
        <v>111</v>
      </c>
      <c r="F88" s="56" t="s">
        <v>231</v>
      </c>
      <c r="G88" s="26">
        <v>1</v>
      </c>
      <c r="H88" s="24"/>
      <c r="I88" s="24"/>
      <c r="J88" s="24"/>
      <c r="K88" s="46"/>
      <c r="L88" s="46"/>
      <c r="M88" s="46"/>
      <c r="N88" s="47">
        <f t="shared" si="4"/>
        <v>0</v>
      </c>
      <c r="O88" s="48">
        <v>6</v>
      </c>
      <c r="P88" s="46">
        <v>6</v>
      </c>
      <c r="Q88" s="46">
        <v>4</v>
      </c>
      <c r="R88" s="46">
        <v>4474.76</v>
      </c>
      <c r="S88" s="46">
        <v>4474.76</v>
      </c>
      <c r="T88" s="47">
        <f t="shared" si="5"/>
        <v>0</v>
      </c>
    </row>
    <row r="89" spans="1:20" ht="15.75" x14ac:dyDescent="0.25">
      <c r="A89" s="3">
        <f t="shared" si="6"/>
        <v>80</v>
      </c>
      <c r="B89" s="10" t="s">
        <v>92</v>
      </c>
      <c r="C89" s="15" t="s">
        <v>124</v>
      </c>
      <c r="D89" s="2"/>
      <c r="E89" s="19" t="s">
        <v>106</v>
      </c>
      <c r="F89" s="56" t="s">
        <v>205</v>
      </c>
      <c r="G89" s="26">
        <v>2</v>
      </c>
      <c r="H89" s="24">
        <v>1</v>
      </c>
      <c r="I89" s="24">
        <v>1</v>
      </c>
      <c r="J89" s="24">
        <v>1</v>
      </c>
      <c r="K89" s="46"/>
      <c r="L89" s="46"/>
      <c r="M89" s="46"/>
      <c r="N89" s="47">
        <f t="shared" si="4"/>
        <v>0</v>
      </c>
      <c r="O89" s="48">
        <v>2</v>
      </c>
      <c r="P89" s="46">
        <v>2</v>
      </c>
      <c r="Q89" s="46">
        <v>1</v>
      </c>
      <c r="R89" s="46">
        <v>5032.46</v>
      </c>
      <c r="S89" s="46"/>
      <c r="T89" s="47">
        <f t="shared" si="5"/>
        <v>5032.46</v>
      </c>
    </row>
    <row r="90" spans="1:20" ht="15.75" x14ac:dyDescent="0.25">
      <c r="A90" s="3">
        <f t="shared" si="6"/>
        <v>81</v>
      </c>
      <c r="B90" s="11" t="s">
        <v>93</v>
      </c>
      <c r="C90" s="15" t="s">
        <v>124</v>
      </c>
      <c r="D90" s="2"/>
      <c r="E90" s="17" t="s">
        <v>122</v>
      </c>
      <c r="F90" s="56" t="s">
        <v>206</v>
      </c>
      <c r="G90" s="26">
        <v>12</v>
      </c>
      <c r="H90" s="24">
        <v>9</v>
      </c>
      <c r="I90" s="24">
        <v>12</v>
      </c>
      <c r="J90" s="24"/>
      <c r="K90" s="46"/>
      <c r="L90" s="46"/>
      <c r="M90" s="46"/>
      <c r="N90" s="47">
        <f t="shared" si="4"/>
        <v>0</v>
      </c>
      <c r="O90" s="48">
        <v>6</v>
      </c>
      <c r="P90" s="46"/>
      <c r="Q90" s="46"/>
      <c r="R90" s="46"/>
      <c r="S90" s="46"/>
      <c r="T90" s="47">
        <f t="shared" si="5"/>
        <v>0</v>
      </c>
    </row>
    <row r="91" spans="1:20" ht="15.75" x14ac:dyDescent="0.25">
      <c r="A91" s="3">
        <f t="shared" si="6"/>
        <v>82</v>
      </c>
      <c r="B91" s="11" t="s">
        <v>94</v>
      </c>
      <c r="C91" s="15" t="s">
        <v>124</v>
      </c>
      <c r="D91" s="2"/>
      <c r="E91" s="19" t="s">
        <v>106</v>
      </c>
      <c r="F91" s="56" t="s">
        <v>218</v>
      </c>
      <c r="G91" s="26">
        <v>5</v>
      </c>
      <c r="H91" s="24">
        <v>1</v>
      </c>
      <c r="I91" s="24">
        <v>1</v>
      </c>
      <c r="J91" s="24">
        <v>1</v>
      </c>
      <c r="K91" s="46"/>
      <c r="L91" s="46"/>
      <c r="M91" s="46"/>
      <c r="N91" s="47">
        <f t="shared" si="4"/>
        <v>0</v>
      </c>
      <c r="O91" s="48">
        <v>4</v>
      </c>
      <c r="P91" s="46">
        <v>4</v>
      </c>
      <c r="Q91" s="46"/>
      <c r="R91" s="46"/>
      <c r="S91" s="46"/>
      <c r="T91" s="47">
        <f t="shared" si="5"/>
        <v>0</v>
      </c>
    </row>
    <row r="92" spans="1:20" ht="15.75" x14ac:dyDescent="0.25">
      <c r="A92" s="3">
        <f t="shared" si="6"/>
        <v>83</v>
      </c>
      <c r="B92" s="11" t="s">
        <v>95</v>
      </c>
      <c r="C92" s="15" t="s">
        <v>124</v>
      </c>
      <c r="D92" s="2"/>
      <c r="E92" s="19" t="s">
        <v>123</v>
      </c>
      <c r="F92" s="56" t="s">
        <v>217</v>
      </c>
      <c r="G92" s="26">
        <v>7</v>
      </c>
      <c r="H92" s="24">
        <v>4</v>
      </c>
      <c r="I92" s="24">
        <v>5</v>
      </c>
      <c r="J92" s="24">
        <v>5</v>
      </c>
      <c r="K92" s="46"/>
      <c r="L92" s="46"/>
      <c r="M92" s="46"/>
      <c r="N92" s="47">
        <f t="shared" si="4"/>
        <v>0</v>
      </c>
      <c r="O92" s="48">
        <v>1</v>
      </c>
      <c r="P92" s="46">
        <v>1</v>
      </c>
      <c r="Q92" s="46">
        <v>1</v>
      </c>
      <c r="R92" s="46">
        <v>206.7</v>
      </c>
      <c r="S92" s="46"/>
      <c r="T92" s="47">
        <f t="shared" si="5"/>
        <v>206.7</v>
      </c>
    </row>
    <row r="93" spans="1:20" ht="15.75" x14ac:dyDescent="0.25">
      <c r="A93" s="3">
        <f t="shared" si="6"/>
        <v>84</v>
      </c>
      <c r="B93" s="11" t="s">
        <v>96</v>
      </c>
      <c r="C93" s="15" t="s">
        <v>124</v>
      </c>
      <c r="D93" s="2"/>
      <c r="E93" s="22" t="s">
        <v>112</v>
      </c>
      <c r="F93" s="56" t="s">
        <v>216</v>
      </c>
      <c r="G93" s="26">
        <v>15</v>
      </c>
      <c r="H93" s="24"/>
      <c r="I93" s="24"/>
      <c r="J93" s="24"/>
      <c r="K93" s="46"/>
      <c r="L93" s="46"/>
      <c r="M93" s="46"/>
      <c r="N93" s="47">
        <f t="shared" si="4"/>
        <v>0</v>
      </c>
      <c r="O93" s="48">
        <v>3</v>
      </c>
      <c r="P93" s="46">
        <v>3</v>
      </c>
      <c r="Q93" s="46">
        <v>3</v>
      </c>
      <c r="R93" s="46">
        <v>5838.31</v>
      </c>
      <c r="S93" s="46"/>
      <c r="T93" s="47">
        <f t="shared" si="5"/>
        <v>5838.31</v>
      </c>
    </row>
    <row r="94" spans="1:20" ht="15.75" x14ac:dyDescent="0.25">
      <c r="A94" s="3">
        <f t="shared" si="6"/>
        <v>85</v>
      </c>
      <c r="B94" s="11" t="s">
        <v>97</v>
      </c>
      <c r="C94" s="15" t="s">
        <v>124</v>
      </c>
      <c r="D94" s="2"/>
      <c r="E94" s="17" t="s">
        <v>111</v>
      </c>
      <c r="F94" s="56" t="s">
        <v>215</v>
      </c>
      <c r="G94" s="26">
        <v>6</v>
      </c>
      <c r="H94" s="24">
        <v>1</v>
      </c>
      <c r="I94" s="24">
        <v>1</v>
      </c>
      <c r="J94" s="24"/>
      <c r="K94" s="46"/>
      <c r="L94" s="46"/>
      <c r="M94" s="46"/>
      <c r="N94" s="47">
        <f t="shared" si="4"/>
        <v>0</v>
      </c>
      <c r="O94" s="48">
        <v>18</v>
      </c>
      <c r="P94" s="46">
        <v>17</v>
      </c>
      <c r="Q94" s="46">
        <v>11</v>
      </c>
      <c r="R94" s="46">
        <v>12538.44</v>
      </c>
      <c r="S94" s="46"/>
      <c r="T94" s="47">
        <f t="shared" si="5"/>
        <v>12538.44</v>
      </c>
    </row>
    <row r="95" spans="1:20" ht="15.75" x14ac:dyDescent="0.25">
      <c r="A95" s="3">
        <f t="shared" si="6"/>
        <v>86</v>
      </c>
      <c r="B95" s="10" t="s">
        <v>98</v>
      </c>
      <c r="C95" s="15" t="s">
        <v>124</v>
      </c>
      <c r="D95" s="2"/>
      <c r="E95" s="19" t="s">
        <v>106</v>
      </c>
      <c r="F95" s="56" t="s">
        <v>214</v>
      </c>
      <c r="G95" s="26">
        <v>8</v>
      </c>
      <c r="H95" s="24"/>
      <c r="I95" s="24"/>
      <c r="J95" s="24"/>
      <c r="K95" s="46"/>
      <c r="L95" s="46"/>
      <c r="M95" s="46"/>
      <c r="N95" s="47">
        <f t="shared" si="4"/>
        <v>0</v>
      </c>
      <c r="O95" s="48">
        <v>8</v>
      </c>
      <c r="P95" s="46">
        <v>3</v>
      </c>
      <c r="Q95" s="46">
        <v>1</v>
      </c>
      <c r="R95" s="46">
        <v>410.39</v>
      </c>
      <c r="S95" s="46"/>
      <c r="T95" s="47">
        <f t="shared" si="5"/>
        <v>410.39</v>
      </c>
    </row>
    <row r="96" spans="1:20" ht="15.75" x14ac:dyDescent="0.25">
      <c r="A96" s="3">
        <f t="shared" si="6"/>
        <v>87</v>
      </c>
      <c r="B96" s="10" t="s">
        <v>129</v>
      </c>
      <c r="C96" s="15" t="s">
        <v>124</v>
      </c>
      <c r="D96" s="2"/>
      <c r="E96" s="19" t="s">
        <v>106</v>
      </c>
      <c r="F96" s="56" t="s">
        <v>212</v>
      </c>
      <c r="G96" s="26">
        <v>2</v>
      </c>
      <c r="H96" s="24"/>
      <c r="I96" s="24"/>
      <c r="J96" s="24"/>
      <c r="K96" s="46"/>
      <c r="L96" s="46"/>
      <c r="M96" s="46"/>
      <c r="N96" s="47">
        <f t="shared" si="4"/>
        <v>0</v>
      </c>
      <c r="O96" s="48"/>
      <c r="P96" s="46"/>
      <c r="Q96" s="46"/>
      <c r="R96" s="46"/>
      <c r="S96" s="46"/>
      <c r="T96" s="47">
        <f t="shared" si="5"/>
        <v>0</v>
      </c>
    </row>
    <row r="97" spans="1:20" ht="15.75" x14ac:dyDescent="0.25">
      <c r="A97" s="3">
        <f t="shared" si="6"/>
        <v>88</v>
      </c>
      <c r="B97" s="10" t="s">
        <v>99</v>
      </c>
      <c r="C97" s="15" t="s">
        <v>124</v>
      </c>
      <c r="D97" s="2"/>
      <c r="E97" s="19" t="s">
        <v>106</v>
      </c>
      <c r="F97" s="56" t="s">
        <v>213</v>
      </c>
      <c r="G97" s="26">
        <v>5</v>
      </c>
      <c r="H97" s="24">
        <v>2</v>
      </c>
      <c r="I97" s="24">
        <v>2</v>
      </c>
      <c r="J97" s="24">
        <v>2</v>
      </c>
      <c r="K97" s="46">
        <v>1</v>
      </c>
      <c r="L97" s="46">
        <v>408.82</v>
      </c>
      <c r="M97" s="46"/>
      <c r="N97" s="47">
        <f t="shared" si="4"/>
        <v>408.82</v>
      </c>
      <c r="O97" s="48">
        <v>3</v>
      </c>
      <c r="P97" s="46">
        <v>3</v>
      </c>
      <c r="Q97" s="46">
        <v>2</v>
      </c>
      <c r="R97" s="46">
        <v>567.42999999999995</v>
      </c>
      <c r="S97" s="46"/>
      <c r="T97" s="47">
        <f t="shared" si="5"/>
        <v>567.42999999999995</v>
      </c>
    </row>
    <row r="98" spans="1:20" ht="15.75" x14ac:dyDescent="0.25">
      <c r="A98" s="3">
        <f t="shared" si="6"/>
        <v>89</v>
      </c>
      <c r="B98" s="13" t="s">
        <v>100</v>
      </c>
      <c r="C98" s="15" t="s">
        <v>124</v>
      </c>
      <c r="D98" s="2"/>
      <c r="E98" s="19" t="s">
        <v>106</v>
      </c>
      <c r="F98" s="56" t="s">
        <v>211</v>
      </c>
      <c r="G98" s="26">
        <v>6</v>
      </c>
      <c r="H98" s="24"/>
      <c r="I98" s="24"/>
      <c r="J98" s="24"/>
      <c r="K98" s="46"/>
      <c r="L98" s="46"/>
      <c r="M98" s="46"/>
      <c r="N98" s="47">
        <f t="shared" si="4"/>
        <v>0</v>
      </c>
      <c r="O98" s="48">
        <v>5</v>
      </c>
      <c r="P98" s="46">
        <v>4</v>
      </c>
      <c r="Q98" s="46">
        <v>3</v>
      </c>
      <c r="R98" s="46">
        <v>1445.9</v>
      </c>
      <c r="S98" s="46"/>
      <c r="T98" s="47">
        <f t="shared" si="5"/>
        <v>1445.9</v>
      </c>
    </row>
    <row r="99" spans="1:20" ht="14.25" customHeight="1" x14ac:dyDescent="0.25">
      <c r="A99" s="3">
        <f t="shared" si="6"/>
        <v>90</v>
      </c>
      <c r="B99" s="13" t="s">
        <v>101</v>
      </c>
      <c r="C99" s="15" t="s">
        <v>124</v>
      </c>
      <c r="D99" s="2"/>
      <c r="E99" s="17" t="s">
        <v>106</v>
      </c>
      <c r="F99" s="56" t="s">
        <v>210</v>
      </c>
      <c r="G99" s="26">
        <v>5</v>
      </c>
      <c r="H99" s="24"/>
      <c r="I99" s="24"/>
      <c r="J99" s="24"/>
      <c r="K99" s="46"/>
      <c r="L99" s="46"/>
      <c r="M99" s="46"/>
      <c r="N99" s="47">
        <f t="shared" si="4"/>
        <v>0</v>
      </c>
      <c r="O99" s="48">
        <v>6</v>
      </c>
      <c r="P99" s="46">
        <v>6</v>
      </c>
      <c r="Q99" s="46">
        <v>3</v>
      </c>
      <c r="R99" s="46">
        <v>2189.71</v>
      </c>
      <c r="S99" s="46"/>
      <c r="T99" s="47">
        <f t="shared" si="5"/>
        <v>2189.71</v>
      </c>
    </row>
    <row r="100" spans="1:20" ht="15.75" x14ac:dyDescent="0.25">
      <c r="A100" s="3">
        <f t="shared" si="6"/>
        <v>91</v>
      </c>
      <c r="B100" s="13" t="s">
        <v>102</v>
      </c>
      <c r="C100" s="15" t="s">
        <v>124</v>
      </c>
      <c r="D100" s="2"/>
      <c r="E100" s="17" t="s">
        <v>106</v>
      </c>
      <c r="F100" s="56" t="s">
        <v>209</v>
      </c>
      <c r="G100" s="26">
        <v>8</v>
      </c>
      <c r="H100" s="24">
        <v>2</v>
      </c>
      <c r="I100" s="24">
        <v>3</v>
      </c>
      <c r="J100" s="24">
        <v>3</v>
      </c>
      <c r="K100" s="46">
        <v>1</v>
      </c>
      <c r="L100" s="46">
        <v>2669.35</v>
      </c>
      <c r="M100" s="46"/>
      <c r="N100" s="47">
        <f t="shared" si="4"/>
        <v>2669.35</v>
      </c>
      <c r="O100" s="48">
        <v>6</v>
      </c>
      <c r="P100" s="46">
        <v>6</v>
      </c>
      <c r="Q100" s="46">
        <v>5</v>
      </c>
      <c r="R100" s="46">
        <v>2273.39</v>
      </c>
      <c r="S100" s="46"/>
      <c r="T100" s="47">
        <f t="shared" si="5"/>
        <v>2273.39</v>
      </c>
    </row>
    <row r="101" spans="1:20" ht="15.75" x14ac:dyDescent="0.25">
      <c r="A101" s="3">
        <f t="shared" si="6"/>
        <v>92</v>
      </c>
      <c r="B101" s="11" t="s">
        <v>103</v>
      </c>
      <c r="C101" s="15" t="s">
        <v>124</v>
      </c>
      <c r="D101" s="2"/>
      <c r="E101" s="22" t="s">
        <v>112</v>
      </c>
      <c r="F101" s="56" t="s">
        <v>208</v>
      </c>
      <c r="G101" s="26">
        <v>17</v>
      </c>
      <c r="H101" s="24">
        <v>2</v>
      </c>
      <c r="I101" s="24">
        <v>2</v>
      </c>
      <c r="J101" s="24">
        <v>1</v>
      </c>
      <c r="K101" s="46"/>
      <c r="L101" s="46"/>
      <c r="M101" s="46"/>
      <c r="N101" s="47">
        <f t="shared" si="4"/>
        <v>0</v>
      </c>
      <c r="O101" s="48">
        <v>15</v>
      </c>
      <c r="P101" s="46">
        <v>11</v>
      </c>
      <c r="Q101" s="46">
        <v>4</v>
      </c>
      <c r="R101" s="46">
        <v>6585.82</v>
      </c>
      <c r="S101" s="46">
        <v>6585.82</v>
      </c>
      <c r="T101" s="47">
        <f t="shared" si="5"/>
        <v>0</v>
      </c>
    </row>
    <row r="102" spans="1:20" ht="16.5" thickBot="1" x14ac:dyDescent="0.3">
      <c r="A102" s="3">
        <f t="shared" si="6"/>
        <v>93</v>
      </c>
      <c r="B102" s="30" t="s">
        <v>104</v>
      </c>
      <c r="C102" s="31" t="s">
        <v>124</v>
      </c>
      <c r="D102" s="32"/>
      <c r="E102" s="33" t="s">
        <v>106</v>
      </c>
      <c r="F102" s="56" t="s">
        <v>207</v>
      </c>
      <c r="G102" s="35">
        <v>3</v>
      </c>
      <c r="H102" s="36"/>
      <c r="I102" s="36"/>
      <c r="J102" s="36"/>
      <c r="K102" s="50"/>
      <c r="L102" s="50"/>
      <c r="M102" s="50"/>
      <c r="N102" s="47">
        <f t="shared" si="4"/>
        <v>0</v>
      </c>
      <c r="O102" s="52">
        <v>1</v>
      </c>
      <c r="P102" s="50">
        <v>1</v>
      </c>
      <c r="Q102" s="50"/>
      <c r="R102" s="50"/>
      <c r="S102" s="50"/>
      <c r="T102" s="47">
        <f t="shared" si="5"/>
        <v>0</v>
      </c>
    </row>
    <row r="103" spans="1:20" ht="21" customHeight="1" x14ac:dyDescent="0.25">
      <c r="A103" s="294"/>
      <c r="B103" s="294"/>
      <c r="C103" s="294"/>
      <c r="D103" s="294"/>
      <c r="E103" s="294"/>
      <c r="F103" s="294"/>
      <c r="G103" s="27">
        <f t="shared" ref="G103:N103" si="7">SUM(G10:G102)</f>
        <v>483</v>
      </c>
      <c r="H103" s="27">
        <f t="shared" si="7"/>
        <v>120</v>
      </c>
      <c r="I103" s="27">
        <f t="shared" si="7"/>
        <v>142</v>
      </c>
      <c r="J103" s="27">
        <f t="shared" si="7"/>
        <v>99</v>
      </c>
      <c r="K103" s="53">
        <f t="shared" si="7"/>
        <v>28</v>
      </c>
      <c r="L103" s="53">
        <f t="shared" si="7"/>
        <v>21400.74</v>
      </c>
      <c r="M103" s="53">
        <f t="shared" si="7"/>
        <v>15771.480000000001</v>
      </c>
      <c r="N103" s="53">
        <f t="shared" si="7"/>
        <v>5629.26</v>
      </c>
      <c r="O103" s="53">
        <f>SUM(O10:O102)</f>
        <v>411</v>
      </c>
      <c r="P103" s="53">
        <f>SUM(P10:P102)</f>
        <v>361</v>
      </c>
      <c r="Q103" s="53">
        <f>SUM(Q11:Q102)</f>
        <v>192</v>
      </c>
      <c r="R103" s="53">
        <f>SUM(R10:R102)</f>
        <v>234807.86000000013</v>
      </c>
      <c r="S103" s="53">
        <f>SUM(S10:S102)</f>
        <v>178336.85000000003</v>
      </c>
      <c r="T103" s="54">
        <f>SUM(T10:T102)</f>
        <v>56471.01</v>
      </c>
    </row>
  </sheetData>
  <mergeCells count="8">
    <mergeCell ref="A103:F103"/>
    <mergeCell ref="A1:Q1"/>
    <mergeCell ref="R1:T1"/>
    <mergeCell ref="A2:T6"/>
    <mergeCell ref="A7:A8"/>
    <mergeCell ref="B7:F7"/>
    <mergeCell ref="G7:N7"/>
    <mergeCell ref="O7:T7"/>
  </mergeCells>
  <phoneticPr fontId="0" type="noConversion"/>
  <conditionalFormatting sqref="R46:S46">
    <cfRule type="cellIs" dxfId="442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3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52</vt:i4>
      </vt:variant>
      <vt:variant>
        <vt:lpstr>Именованные диапазоны</vt:lpstr>
      </vt:variant>
      <vt:variant>
        <vt:i4>1</vt:i4>
      </vt:variant>
    </vt:vector>
  </HeadingPairs>
  <TitlesOfParts>
    <vt:vector size="53" baseType="lpstr">
      <vt:lpstr>11.01.2016</vt:lpstr>
      <vt:lpstr>18.01.2016</vt:lpstr>
      <vt:lpstr>25.01.2016</vt:lpstr>
      <vt:lpstr>01.02.2016</vt:lpstr>
      <vt:lpstr>08.02.2016</vt:lpstr>
      <vt:lpstr>15.02.2016</vt:lpstr>
      <vt:lpstr>22.02.2016</vt:lpstr>
      <vt:lpstr>29.02.2016</vt:lpstr>
      <vt:lpstr>09.03.2016</vt:lpstr>
      <vt:lpstr>14.03.2016</vt:lpstr>
      <vt:lpstr>21.03.2016</vt:lpstr>
      <vt:lpstr>28.03.2016</vt:lpstr>
      <vt:lpstr>04.04.2016</vt:lpstr>
      <vt:lpstr>11.04.2016</vt:lpstr>
      <vt:lpstr>18.04.2016 </vt:lpstr>
      <vt:lpstr>25.04.2016 </vt:lpstr>
      <vt:lpstr>02.05.2016</vt:lpstr>
      <vt:lpstr>09.05.2016</vt:lpstr>
      <vt:lpstr>16.05.2016 </vt:lpstr>
      <vt:lpstr>23.05.2016</vt:lpstr>
      <vt:lpstr>30.05.2016</vt:lpstr>
      <vt:lpstr>06.06.2016</vt:lpstr>
      <vt:lpstr>13.06.2016</vt:lpstr>
      <vt:lpstr>20.06.2016</vt:lpstr>
      <vt:lpstr>27.06.2016</vt:lpstr>
      <vt:lpstr>04.07.2016</vt:lpstr>
      <vt:lpstr>11.07.2016</vt:lpstr>
      <vt:lpstr>18.07.2016</vt:lpstr>
      <vt:lpstr>25.07.2016 </vt:lpstr>
      <vt:lpstr>01.08.2016</vt:lpstr>
      <vt:lpstr>08.08.2016</vt:lpstr>
      <vt:lpstr>15.08.2016</vt:lpstr>
      <vt:lpstr>22.08.2016</vt:lpstr>
      <vt:lpstr>29.08.2016</vt:lpstr>
      <vt:lpstr>05.09.2016</vt:lpstr>
      <vt:lpstr>12.09.2016 </vt:lpstr>
      <vt:lpstr>19.09.2016</vt:lpstr>
      <vt:lpstr>26.09.2016</vt:lpstr>
      <vt:lpstr>03.10.2016</vt:lpstr>
      <vt:lpstr>10.10.2016</vt:lpstr>
      <vt:lpstr>17.10.2016</vt:lpstr>
      <vt:lpstr>24.10.2016</vt:lpstr>
      <vt:lpstr>31.10.2016</vt:lpstr>
      <vt:lpstr>07.11.2016</vt:lpstr>
      <vt:lpstr>14.11.2016</vt:lpstr>
      <vt:lpstr>21.11.2016</vt:lpstr>
      <vt:lpstr>28.11.2016</vt:lpstr>
      <vt:lpstr>05.12.2016</vt:lpstr>
      <vt:lpstr>12.12.2016</vt:lpstr>
      <vt:lpstr>19.12.2016</vt:lpstr>
      <vt:lpstr>26.12.2016</vt:lpstr>
      <vt:lpstr>31.12.2016</vt:lpstr>
      <vt:lpstr>'22.02.2016'!Область_печати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2018-01-02T14:40:34Z</dcterms:modified>
</cp:coreProperties>
</file>